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45" windowWidth="23715" windowHeight="10035" activeTab="1"/>
  </bookViews>
  <sheets>
    <sheet name="Deuda" sheetId="1" r:id="rId1"/>
    <sheet name="compras" sheetId="2" r:id="rId2"/>
    <sheet name="Alm Comparativo" sheetId="10" r:id="rId3"/>
    <sheet name="Alm Gral" sheetId="4" r:id="rId4"/>
    <sheet name="Cic" sheetId="6" r:id="rId5"/>
    <sheet name="Herr" sheetId="7" r:id="rId6"/>
    <sheet name="11 sur" sheetId="8" r:id="rId7"/>
    <sheet name="obrador" sheetId="9" r:id="rId8"/>
  </sheets>
  <definedNames>
    <definedName name="_xlnm.Print_Area" localSheetId="2">'Alm Comparativo'!$A$1:$J$33</definedName>
    <definedName name="_xlnm.Print_Area" localSheetId="3">'Alm Gral'!$A$1:$F$24</definedName>
  </definedNames>
  <calcPr calcId="144525"/>
</workbook>
</file>

<file path=xl/calcChain.xml><?xml version="1.0" encoding="utf-8"?>
<calcChain xmlns="http://schemas.openxmlformats.org/spreadsheetml/2006/main">
  <c r="X86" i="2"/>
  <c r="W86"/>
  <c r="F86"/>
  <c r="H86" s="1"/>
  <c r="W85"/>
  <c r="F85"/>
  <c r="T85" s="1"/>
  <c r="X85" s="1"/>
  <c r="U84"/>
  <c r="S84"/>
  <c r="R84"/>
  <c r="G84"/>
  <c r="F84"/>
  <c r="X84" s="1"/>
  <c r="X83"/>
  <c r="W83"/>
  <c r="Y83" s="1"/>
  <c r="H83"/>
  <c r="F82"/>
  <c r="E82"/>
  <c r="U82" s="1"/>
  <c r="X81"/>
  <c r="W81"/>
  <c r="F81"/>
  <c r="H81" s="1"/>
  <c r="W80"/>
  <c r="F80"/>
  <c r="T80" s="1"/>
  <c r="X80" s="1"/>
  <c r="W79"/>
  <c r="F79"/>
  <c r="T79" s="1"/>
  <c r="X79" s="1"/>
  <c r="W78"/>
  <c r="F78"/>
  <c r="T78" s="1"/>
  <c r="X78" s="1"/>
  <c r="G77"/>
  <c r="F77"/>
  <c r="E77"/>
  <c r="U77" s="1"/>
  <c r="X76"/>
  <c r="W76"/>
  <c r="Y76" s="1"/>
  <c r="H76"/>
  <c r="U75"/>
  <c r="S75"/>
  <c r="R75"/>
  <c r="G75"/>
  <c r="F75"/>
  <c r="X75" s="1"/>
  <c r="G73"/>
  <c r="F73"/>
  <c r="E73"/>
  <c r="U73" s="1"/>
  <c r="X72"/>
  <c r="W72"/>
  <c r="F72"/>
  <c r="H72" s="1"/>
  <c r="X71"/>
  <c r="W71"/>
  <c r="F71"/>
  <c r="H71" s="1"/>
  <c r="X70"/>
  <c r="W70"/>
  <c r="F70"/>
  <c r="H70" s="1"/>
  <c r="X69"/>
  <c r="W69"/>
  <c r="F69"/>
  <c r="H69" s="1"/>
  <c r="U68"/>
  <c r="F68"/>
  <c r="X68" s="1"/>
  <c r="U67"/>
  <c r="S67"/>
  <c r="R67"/>
  <c r="G67"/>
  <c r="F67"/>
  <c r="X67" s="1"/>
  <c r="W66"/>
  <c r="F66"/>
  <c r="T66" s="1"/>
  <c r="X66" s="1"/>
  <c r="U65"/>
  <c r="G65"/>
  <c r="F65"/>
  <c r="X65" s="1"/>
  <c r="X64"/>
  <c r="W64"/>
  <c r="Y64" s="1"/>
  <c r="H64"/>
  <c r="X63"/>
  <c r="W63"/>
  <c r="F63"/>
  <c r="H63" s="1"/>
  <c r="U62"/>
  <c r="X62" s="1"/>
  <c r="H62"/>
  <c r="G61"/>
  <c r="F61"/>
  <c r="E61"/>
  <c r="W60"/>
  <c r="F60"/>
  <c r="T60" s="1"/>
  <c r="X60" s="1"/>
  <c r="W59"/>
  <c r="F59"/>
  <c r="T59" s="1"/>
  <c r="X59" s="1"/>
  <c r="W58"/>
  <c r="F58"/>
  <c r="T58" s="1"/>
  <c r="X58" s="1"/>
  <c r="F57"/>
  <c r="E57"/>
  <c r="U57" s="1"/>
  <c r="X56"/>
  <c r="W56"/>
  <c r="Y56" s="1"/>
  <c r="H56"/>
  <c r="U55"/>
  <c r="S55"/>
  <c r="R55"/>
  <c r="G55"/>
  <c r="F55"/>
  <c r="X55" s="1"/>
  <c r="U53"/>
  <c r="S53"/>
  <c r="R53"/>
  <c r="G53"/>
  <c r="F53"/>
  <c r="X53" s="1"/>
  <c r="F52"/>
  <c r="F51"/>
  <c r="R51" s="1"/>
  <c r="X50"/>
  <c r="W50"/>
  <c r="F50"/>
  <c r="H50" s="1"/>
  <c r="U49"/>
  <c r="X49" s="1"/>
  <c r="H49"/>
  <c r="U48"/>
  <c r="X48" s="1"/>
  <c r="H48"/>
  <c r="W47"/>
  <c r="F47"/>
  <c r="T47" s="1"/>
  <c r="X47" s="1"/>
  <c r="U46"/>
  <c r="F46"/>
  <c r="X46" s="1"/>
  <c r="X45"/>
  <c r="W45"/>
  <c r="Y45" s="1"/>
  <c r="H45"/>
  <c r="W44"/>
  <c r="F44"/>
  <c r="T44" s="1"/>
  <c r="X44" s="1"/>
  <c r="U43"/>
  <c r="F43"/>
  <c r="X43" s="1"/>
  <c r="W42"/>
  <c r="F42"/>
  <c r="T42" s="1"/>
  <c r="X42" s="1"/>
  <c r="W41"/>
  <c r="F41"/>
  <c r="T41" s="1"/>
  <c r="X41" s="1"/>
  <c r="W40"/>
  <c r="F40"/>
  <c r="T40" s="1"/>
  <c r="X40" s="1"/>
  <c r="U39"/>
  <c r="G39"/>
  <c r="F39"/>
  <c r="X39" s="1"/>
  <c r="X38"/>
  <c r="W38"/>
  <c r="Y38" s="1"/>
  <c r="H38"/>
  <c r="U37"/>
  <c r="S37"/>
  <c r="R37"/>
  <c r="G37"/>
  <c r="F37"/>
  <c r="X37" s="1"/>
  <c r="U35"/>
  <c r="S35"/>
  <c r="R35"/>
  <c r="G35"/>
  <c r="F35"/>
  <c r="X35" s="1"/>
  <c r="X34"/>
  <c r="W34"/>
  <c r="F34"/>
  <c r="H34" s="1"/>
  <c r="W33"/>
  <c r="F33"/>
  <c r="T33" s="1"/>
  <c r="X33" s="1"/>
  <c r="X32"/>
  <c r="W32"/>
  <c r="Y32" s="1"/>
  <c r="H32"/>
  <c r="U31"/>
  <c r="F31"/>
  <c r="X31" s="1"/>
  <c r="U30"/>
  <c r="S30"/>
  <c r="R30"/>
  <c r="G30"/>
  <c r="F30"/>
  <c r="X30" s="1"/>
  <c r="W29"/>
  <c r="F29"/>
  <c r="T29" s="1"/>
  <c r="X29" s="1"/>
  <c r="X28"/>
  <c r="W28"/>
  <c r="Y28" s="1"/>
  <c r="H28"/>
  <c r="U27"/>
  <c r="S27"/>
  <c r="R27"/>
  <c r="G27"/>
  <c r="F27"/>
  <c r="X27" s="1"/>
  <c r="X26"/>
  <c r="W26"/>
  <c r="Y26" s="1"/>
  <c r="H26"/>
  <c r="X25"/>
  <c r="W25"/>
  <c r="Y25" s="1"/>
  <c r="H25"/>
  <c r="U24"/>
  <c r="X24" s="1"/>
  <c r="H24"/>
  <c r="U23"/>
  <c r="S23"/>
  <c r="R23"/>
  <c r="G23"/>
  <c r="F23"/>
  <c r="X23" s="1"/>
  <c r="W22"/>
  <c r="F22"/>
  <c r="T22" s="1"/>
  <c r="X22" s="1"/>
  <c r="X21"/>
  <c r="W21"/>
  <c r="Y21" s="1"/>
  <c r="H21"/>
  <c r="U20"/>
  <c r="S20"/>
  <c r="R20"/>
  <c r="G20"/>
  <c r="F20"/>
  <c r="X20" s="1"/>
  <c r="X19"/>
  <c r="W19"/>
  <c r="Y19" s="1"/>
  <c r="H19"/>
  <c r="X18"/>
  <c r="W18"/>
  <c r="Y18" s="1"/>
  <c r="H18"/>
  <c r="U17"/>
  <c r="S17"/>
  <c r="R17"/>
  <c r="G17"/>
  <c r="F17"/>
  <c r="X17" s="1"/>
  <c r="U15"/>
  <c r="F15"/>
  <c r="X15" s="1"/>
  <c r="U14"/>
  <c r="S14"/>
  <c r="R14"/>
  <c r="G14"/>
  <c r="F14"/>
  <c r="X14" s="1"/>
  <c r="W13"/>
  <c r="F13"/>
  <c r="T13" s="1"/>
  <c r="X13" s="1"/>
  <c r="W12"/>
  <c r="F12"/>
  <c r="T12" s="1"/>
  <c r="X12" s="1"/>
  <c r="X11"/>
  <c r="W11"/>
  <c r="F11"/>
  <c r="H11" s="1"/>
  <c r="X10"/>
  <c r="W10"/>
  <c r="Y10" s="1"/>
  <c r="H10"/>
  <c r="U9"/>
  <c r="S9"/>
  <c r="R9"/>
  <c r="G9"/>
  <c r="F9"/>
  <c r="X9" s="1"/>
  <c r="U8"/>
  <c r="S8"/>
  <c r="R8"/>
  <c r="G8"/>
  <c r="F8"/>
  <c r="X8" s="1"/>
  <c r="W7"/>
  <c r="F7"/>
  <c r="T7" s="1"/>
  <c r="X7" s="1"/>
  <c r="W6"/>
  <c r="F6"/>
  <c r="T6" s="1"/>
  <c r="X6" s="1"/>
  <c r="W5"/>
  <c r="F5"/>
  <c r="T5" s="1"/>
  <c r="X5" s="1"/>
  <c r="Y5" l="1"/>
  <c r="Y6"/>
  <c r="H8"/>
  <c r="H9"/>
  <c r="Y11"/>
  <c r="Y12"/>
  <c r="Y13"/>
  <c r="H14"/>
  <c r="H17"/>
  <c r="H20"/>
  <c r="Y22"/>
  <c r="H23"/>
  <c r="H27"/>
  <c r="Y29"/>
  <c r="H30"/>
  <c r="Y33"/>
  <c r="Y34"/>
  <c r="H35"/>
  <c r="H37"/>
  <c r="H39"/>
  <c r="Y40"/>
  <c r="Y41"/>
  <c r="Y42"/>
  <c r="Y44"/>
  <c r="Y47"/>
  <c r="Y50"/>
  <c r="R52"/>
  <c r="H53"/>
  <c r="H55"/>
  <c r="Y58"/>
  <c r="Y59"/>
  <c r="Y60"/>
  <c r="H61"/>
  <c r="Y63"/>
  <c r="H65"/>
  <c r="Y66"/>
  <c r="H67"/>
  <c r="Y69"/>
  <c r="Y70"/>
  <c r="Y71"/>
  <c r="Y72"/>
  <c r="H73"/>
  <c r="H75"/>
  <c r="H77"/>
  <c r="Y78"/>
  <c r="Y79"/>
  <c r="Y80"/>
  <c r="Y81"/>
  <c r="H84"/>
  <c r="Y85"/>
  <c r="Y86"/>
  <c r="H5"/>
  <c r="H6"/>
  <c r="H7"/>
  <c r="Y7"/>
  <c r="X57"/>
  <c r="W8"/>
  <c r="Y8" s="1"/>
  <c r="W9"/>
  <c r="Y9" s="1"/>
  <c r="H12"/>
  <c r="H13"/>
  <c r="W14"/>
  <c r="Y14" s="1"/>
  <c r="H15"/>
  <c r="W15"/>
  <c r="Y15" s="1"/>
  <c r="W17"/>
  <c r="Y17" s="1"/>
  <c r="W20"/>
  <c r="Y20" s="1"/>
  <c r="H22"/>
  <c r="W23"/>
  <c r="Y23" s="1"/>
  <c r="W24"/>
  <c r="Y24" s="1"/>
  <c r="W27"/>
  <c r="Y27" s="1"/>
  <c r="H29"/>
  <c r="W30"/>
  <c r="Y30" s="1"/>
  <c r="H31"/>
  <c r="W31"/>
  <c r="Y31" s="1"/>
  <c r="H33"/>
  <c r="W35"/>
  <c r="Y35" s="1"/>
  <c r="W37"/>
  <c r="Y37" s="1"/>
  <c r="W39"/>
  <c r="Y39" s="1"/>
  <c r="H40"/>
  <c r="H41"/>
  <c r="H42"/>
  <c r="H43"/>
  <c r="W43"/>
  <c r="Y43" s="1"/>
  <c r="H44"/>
  <c r="H46"/>
  <c r="W46"/>
  <c r="Y46" s="1"/>
  <c r="H47"/>
  <c r="W48"/>
  <c r="Y48" s="1"/>
  <c r="W49"/>
  <c r="Y49" s="1"/>
  <c r="H51"/>
  <c r="Q51"/>
  <c r="H52"/>
  <c r="Q52"/>
  <c r="W53"/>
  <c r="Y53" s="1"/>
  <c r="W55"/>
  <c r="Y55" s="1"/>
  <c r="H57"/>
  <c r="W57"/>
  <c r="Y57" s="1"/>
  <c r="H58"/>
  <c r="H59"/>
  <c r="H60"/>
  <c r="U61"/>
  <c r="S61"/>
  <c r="R61"/>
  <c r="X61"/>
  <c r="W61"/>
  <c r="Y61" s="1"/>
  <c r="X82"/>
  <c r="W62"/>
  <c r="Y62" s="1"/>
  <c r="W65"/>
  <c r="Y65" s="1"/>
  <c r="H66"/>
  <c r="W67"/>
  <c r="Y67" s="1"/>
  <c r="H68"/>
  <c r="W68"/>
  <c r="Y68" s="1"/>
  <c r="R73"/>
  <c r="S73"/>
  <c r="W73"/>
  <c r="Y73" s="1"/>
  <c r="W75"/>
  <c r="Y75" s="1"/>
  <c r="R77"/>
  <c r="S77"/>
  <c r="W77"/>
  <c r="Y77" s="1"/>
  <c r="H78"/>
  <c r="H79"/>
  <c r="H80"/>
  <c r="H82"/>
  <c r="W82"/>
  <c r="Y82" s="1"/>
  <c r="W84"/>
  <c r="Y84" s="1"/>
  <c r="H85"/>
  <c r="X77" l="1"/>
  <c r="X73"/>
  <c r="W52"/>
  <c r="W51"/>
  <c r="Y51" l="1"/>
  <c r="T51"/>
  <c r="X51" s="1"/>
  <c r="Y52"/>
  <c r="T52"/>
  <c r="X52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<sst xmlns="http://schemas.openxmlformats.org/spreadsheetml/2006/main" count="516" uniqueCount="196">
  <si>
    <t>flete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</si>
  <si>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</si>
  <si>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</si>
  <si>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</si>
  <si>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</si>
  <si>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</si>
  <si>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</si>
  <si>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</si>
  <si>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</si>
  <si>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</si>
  <si>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</si>
  <si>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</si>
  <si>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</si>
  <si>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</si>
  <si>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</si>
  <si>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</si>
  <si>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$ aduanal</t>
  </si>
  <si>
    <t>tipo cambio</t>
  </si>
  <si>
    <t>com</t>
  </si>
  <si>
    <t>costo real</t>
  </si>
  <si>
    <t>$ carga total</t>
  </si>
  <si>
    <t>Canal de cerdo</t>
  </si>
  <si>
    <t>lu</t>
  </si>
  <si>
    <t>Pernil con piel</t>
  </si>
  <si>
    <t>Seaboard</t>
  </si>
  <si>
    <t>Fortis</t>
  </si>
  <si>
    <t>24 combos</t>
  </si>
  <si>
    <t>ma</t>
  </si>
  <si>
    <t>mi</t>
  </si>
  <si>
    <t>Farmland</t>
  </si>
  <si>
    <t>Guerrero</t>
  </si>
  <si>
    <t>ju</t>
  </si>
  <si>
    <t>vi</t>
  </si>
  <si>
    <t>sa</t>
  </si>
  <si>
    <t>23 combos</t>
  </si>
  <si>
    <t>costo integrado</t>
  </si>
  <si>
    <t xml:space="preserve">Pernil con piel </t>
  </si>
  <si>
    <t>20 combos</t>
  </si>
  <si>
    <t>21 combos</t>
  </si>
  <si>
    <t>Agrop La Gaby</t>
  </si>
  <si>
    <t>Nu3</t>
  </si>
  <si>
    <t>Agrop Las Reses</t>
  </si>
  <si>
    <t>Agrop El Topete</t>
  </si>
  <si>
    <t>do</t>
  </si>
  <si>
    <t>Menudo</t>
  </si>
  <si>
    <t>seguro</t>
  </si>
  <si>
    <t>Cano</t>
  </si>
  <si>
    <t>Granjero Feliz</t>
  </si>
  <si>
    <t>Carnes Ali</t>
  </si>
  <si>
    <t>Atosa</t>
  </si>
  <si>
    <t>Cargill</t>
  </si>
  <si>
    <t>19 combos</t>
  </si>
  <si>
    <t>Swift</t>
  </si>
  <si>
    <t>Sukarne</t>
  </si>
  <si>
    <t>Agrop La Chemita</t>
  </si>
  <si>
    <t xml:space="preserve">GF </t>
  </si>
  <si>
    <t>686 cajas</t>
  </si>
  <si>
    <t>enero 2013</t>
  </si>
  <si>
    <t>Vectra</t>
  </si>
  <si>
    <t>IBP</t>
  </si>
  <si>
    <t>18 combos</t>
  </si>
  <si>
    <t>hoja + 15 vi 21 dic</t>
  </si>
  <si>
    <t>nl12-344</t>
  </si>
  <si>
    <t>hoja + 10.5 ju 27 dic</t>
  </si>
  <si>
    <t>nl12-345</t>
  </si>
  <si>
    <t>nl12-346</t>
  </si>
  <si>
    <t>fact 1384,1385,1386</t>
  </si>
  <si>
    <t>Porc San Bernardo</t>
  </si>
  <si>
    <t>fact 538,539,540</t>
  </si>
  <si>
    <t>fact 4901</t>
  </si>
  <si>
    <t>Corbata</t>
  </si>
  <si>
    <t>1028 cajas</t>
  </si>
  <si>
    <t>fact 4083</t>
  </si>
  <si>
    <t>nl13-350</t>
  </si>
  <si>
    <t>hoja + 10.5 vi 28 dic</t>
  </si>
  <si>
    <t>nl13-351</t>
  </si>
  <si>
    <t>fact 544,545,546</t>
  </si>
  <si>
    <t>fact 45788 y 45787</t>
  </si>
  <si>
    <t>Agrop Topete/Sn Bernardo</t>
  </si>
  <si>
    <t>fact 1194,1195,547,548</t>
  </si>
  <si>
    <t>Lengua de res</t>
  </si>
  <si>
    <t>excel</t>
  </si>
  <si>
    <t>Adams</t>
  </si>
  <si>
    <t>fact 12006</t>
  </si>
  <si>
    <t>fact 5054</t>
  </si>
  <si>
    <t>hoja + 16 lu 31 dic</t>
  </si>
  <si>
    <t>Agrop Reses y Topete</t>
  </si>
  <si>
    <t>fact 1846,1847,1196,1197</t>
  </si>
  <si>
    <t>6 combos</t>
  </si>
  <si>
    <t>fact 2822</t>
  </si>
  <si>
    <t>nl12-353</t>
  </si>
  <si>
    <t>hoja + 10.5 ju 3 ene</t>
  </si>
  <si>
    <t>fact 554,555,556</t>
  </si>
  <si>
    <t>fact 46011</t>
  </si>
  <si>
    <t>Impeg</t>
  </si>
  <si>
    <t>10 combos</t>
  </si>
  <si>
    <t>fact 55969</t>
  </si>
  <si>
    <t>fact 5242</t>
  </si>
  <si>
    <t>hoja + 15 vi 4 ene</t>
  </si>
  <si>
    <t>fact 1400,1401,1402</t>
  </si>
  <si>
    <t>Contra</t>
  </si>
  <si>
    <t>563 cajas</t>
  </si>
  <si>
    <t>fact 2825</t>
  </si>
  <si>
    <t>nl12-354</t>
  </si>
  <si>
    <t>hoja + 10.5 vi 4 ene</t>
  </si>
  <si>
    <t>Agrop Reses/paso blanco</t>
  </si>
  <si>
    <t>fact 1855,1856,634,635</t>
  </si>
  <si>
    <t>fact 46155 y 46186</t>
  </si>
  <si>
    <t xml:space="preserve">Excell  </t>
  </si>
  <si>
    <t>Carnes Victoria</t>
  </si>
  <si>
    <t>fact 36400</t>
  </si>
  <si>
    <t>Excell 86 M</t>
  </si>
  <si>
    <t>fact 5331</t>
  </si>
  <si>
    <t>22 combos</t>
  </si>
  <si>
    <t>fact 4149</t>
  </si>
  <si>
    <t>hoja + 16.5 lu 7 ene</t>
  </si>
  <si>
    <t>fact 1217,1218,1219</t>
  </si>
  <si>
    <t>fact 1862,1863,1864</t>
  </si>
  <si>
    <t>fact 5487</t>
  </si>
  <si>
    <t>hoja + 16 lu 7 ene</t>
  </si>
  <si>
    <t>fact 46455,46456</t>
  </si>
  <si>
    <t>nl12-355</t>
  </si>
  <si>
    <t>hoja + 10.5 ju 10 ene</t>
  </si>
  <si>
    <t>nl12-356</t>
  </si>
  <si>
    <t>fact 5339</t>
  </si>
  <si>
    <t>Torres</t>
  </si>
  <si>
    <t>fact 143</t>
  </si>
  <si>
    <t>nl12-352</t>
  </si>
  <si>
    <t>fact 5722</t>
  </si>
  <si>
    <t>hoja + 16 vi 11 ene</t>
  </si>
  <si>
    <t>fact 144</t>
  </si>
  <si>
    <t>nl12-357</t>
  </si>
  <si>
    <t>hoja + 10.5 vi 11 ene</t>
  </si>
  <si>
    <t>fact 145</t>
  </si>
  <si>
    <t>fact 46707</t>
  </si>
  <si>
    <t>fact 4204</t>
  </si>
  <si>
    <t>hoja + 16.5 lu 14 ene</t>
  </si>
  <si>
    <t>Cabeza de lomo</t>
  </si>
  <si>
    <t>nltf13-28</t>
  </si>
  <si>
    <t>hoja + 6 lu 14 ene</t>
  </si>
  <si>
    <t>Cuero Belly s/g fco</t>
  </si>
  <si>
    <t>11 combos</t>
  </si>
  <si>
    <t xml:space="preserve">  "   "</t>
  </si>
  <si>
    <t>Agrop Gaby y Chemita</t>
  </si>
  <si>
    <t>fact 1414,1415,842,843</t>
  </si>
  <si>
    <t>fact 844,845,846</t>
  </si>
  <si>
    <t>fact 5818</t>
  </si>
  <si>
    <t>hoja + 16 lu 14 ene</t>
  </si>
  <si>
    <t>fact 150</t>
  </si>
  <si>
    <t>nl12-358</t>
  </si>
  <si>
    <t>hoja + 10.5 ju 17 dic</t>
  </si>
  <si>
    <t>nl12-359</t>
  </si>
  <si>
    <t>683 cajas</t>
  </si>
  <si>
    <t>fact 5355</t>
  </si>
  <si>
    <t>Agrop Chemita y Reses</t>
  </si>
  <si>
    <t>fact 847,848,1890,1891</t>
  </si>
  <si>
    <t>fact 47065</t>
  </si>
  <si>
    <t>fact 4254</t>
  </si>
  <si>
    <t>hoja + 16  ju 17 ene</t>
  </si>
  <si>
    <t>fact 6146</t>
  </si>
  <si>
    <t>hoja + 16 vi 18 ene</t>
  </si>
  <si>
    <t xml:space="preserve">fact 15 </t>
  </si>
  <si>
    <t>nl12-360</t>
  </si>
  <si>
    <t>hoja + 10.5 vi 18 ene</t>
  </si>
  <si>
    <t>fact 1895,1896,1897</t>
  </si>
  <si>
    <t>fact 47234, 47235</t>
  </si>
  <si>
    <t>848 cajas</t>
  </si>
  <si>
    <t>fact 5363</t>
  </si>
  <si>
    <t>Buche</t>
  </si>
  <si>
    <t>750 cajas</t>
  </si>
  <si>
    <t>fact 4307</t>
  </si>
  <si>
    <t>Lengua de cerdo</t>
  </si>
  <si>
    <t>325 cajas</t>
  </si>
  <si>
    <t>fact 4304</t>
  </si>
  <si>
    <t>hoja + 16 ma 22 ene</t>
  </si>
  <si>
    <t>fact 1427,1428,1429</t>
  </si>
  <si>
    <t>fact 854,855,856</t>
  </si>
  <si>
    <t>fact 6377</t>
  </si>
  <si>
    <t>hoja + 16 lu 21 ene</t>
  </si>
  <si>
    <t>El Topete y La Gaby</t>
  </si>
  <si>
    <t>fact 1248,1249,1432,1433</t>
  </si>
  <si>
    <t>nl12-361</t>
  </si>
  <si>
    <t>hoja + 10.5 ju 24 ene</t>
  </si>
  <si>
    <t>nl12-362</t>
  </si>
  <si>
    <t>Cuero belly cong</t>
  </si>
  <si>
    <t>Maple</t>
  </si>
  <si>
    <t>680 cajas</t>
  </si>
  <si>
    <t>fact 4318</t>
  </si>
  <si>
    <t>hoja + 16 ju 24 ene</t>
  </si>
  <si>
    <t>fact 167</t>
  </si>
  <si>
    <t>fact 6501</t>
  </si>
  <si>
    <t>hoja + 16 vi 25 ene</t>
  </si>
  <si>
    <t>fact 865,866,867</t>
  </si>
  <si>
    <t>nl12-363</t>
  </si>
  <si>
    <t>hoja + 10.5 vi 25 ene</t>
  </si>
  <si>
    <t>fact 4350</t>
  </si>
</sst>
</file>

<file path=xl/styles.xml><?xml version="1.0" encoding="utf-8"?>
<styleSheet xmlns="http://schemas.openxmlformats.org/spreadsheetml/2006/main">
  <numFmts count="10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#,##0_ ;\-#,##0\ "/>
    <numFmt numFmtId="167" formatCode="_-&quot;$&quot;* #,##0.000_-;\-&quot;$&quot;* #,##0.000_-;_-&quot;$&quot;* &quot;-&quot;??_-;_-@_-"/>
    <numFmt numFmtId="168" formatCode="_-&quot;$&quot;* #,##0.0000_-;\-&quot;$&quot;* #,##0.0000_-;_-&quot;$&quot;* &quot;-&quot;??_-;_-@_-"/>
    <numFmt numFmtId="169" formatCode="d\-m\-yy;@"/>
    <numFmt numFmtId="170" formatCode="[$-F800]dddd\,\ mmmm\ dd\,\ yyyy"/>
    <numFmt numFmtId="171" formatCode="&quot;$&quot;#,##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2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14" fontId="2" fillId="0" borderId="0" xfId="0" applyNumberFormat="1" applyFont="1"/>
    <xf numFmtId="15" fontId="3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4" fontId="2" fillId="0" borderId="3" xfId="0" applyNumberFormat="1" applyFont="1" applyBorder="1"/>
    <xf numFmtId="0" fontId="2" fillId="0" borderId="3" xfId="0" applyFont="1" applyBorder="1"/>
    <xf numFmtId="0" fontId="2" fillId="0" borderId="0" xfId="0" applyFont="1" applyFill="1" applyBorder="1"/>
    <xf numFmtId="4" fontId="0" fillId="0" borderId="3" xfId="0" applyNumberFormat="1" applyBorder="1"/>
    <xf numFmtId="0" fontId="0" fillId="0" borderId="3" xfId="0" applyBorder="1"/>
    <xf numFmtId="44" fontId="0" fillId="0" borderId="3" xfId="1" applyFont="1" applyFill="1" applyBorder="1"/>
    <xf numFmtId="44" fontId="0" fillId="0" borderId="3" xfId="1" applyFont="1" applyBorder="1"/>
    <xf numFmtId="44" fontId="0" fillId="0" borderId="0" xfId="0" applyNumberForma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4" fontId="0" fillId="0" borderId="4" xfId="0" applyNumberFormat="1" applyBorder="1"/>
    <xf numFmtId="0" fontId="0" fillId="0" borderId="4" xfId="0" applyBorder="1"/>
    <xf numFmtId="44" fontId="0" fillId="0" borderId="4" xfId="1" applyFont="1" applyFill="1" applyBorder="1"/>
    <xf numFmtId="44" fontId="0" fillId="0" borderId="4" xfId="1" applyFont="1" applyBorder="1"/>
    <xf numFmtId="0" fontId="2" fillId="0" borderId="0" xfId="0" applyFont="1" applyBorder="1"/>
    <xf numFmtId="3" fontId="2" fillId="0" borderId="3" xfId="0" applyNumberFormat="1" applyFont="1" applyBorder="1"/>
    <xf numFmtId="44" fontId="2" fillId="0" borderId="3" xfId="1" applyFont="1" applyBorder="1"/>
    <xf numFmtId="4" fontId="0" fillId="0" borderId="0" xfId="0" applyNumberFormat="1" applyBorder="1"/>
    <xf numFmtId="0" fontId="0" fillId="0" borderId="0" xfId="0" applyBorder="1"/>
    <xf numFmtId="44" fontId="0" fillId="0" borderId="0" xfId="1" applyFont="1" applyFill="1" applyBorder="1"/>
    <xf numFmtId="44" fontId="0" fillId="0" borderId="0" xfId="1" applyFont="1" applyBorder="1"/>
    <xf numFmtId="44" fontId="0" fillId="0" borderId="0" xfId="0" applyNumberFormat="1" applyBorder="1"/>
    <xf numFmtId="44" fontId="4" fillId="0" borderId="0" xfId="0" applyNumberFormat="1" applyFont="1"/>
    <xf numFmtId="0" fontId="4" fillId="0" borderId="0" xfId="0" applyFont="1" applyBorder="1"/>
    <xf numFmtId="164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0" fontId="0" fillId="0" borderId="0" xfId="0" applyFont="1" applyFill="1" applyBorder="1"/>
    <xf numFmtId="4" fontId="0" fillId="0" borderId="0" xfId="0" applyNumberFormat="1"/>
    <xf numFmtId="44" fontId="0" fillId="0" borderId="0" xfId="1" applyFont="1"/>
    <xf numFmtId="44" fontId="2" fillId="0" borderId="0" xfId="1" applyFont="1"/>
    <xf numFmtId="14" fontId="2" fillId="0" borderId="10" xfId="0" applyNumberFormat="1" applyFont="1" applyBorder="1" applyAlignment="1">
      <alignment horizontal="right"/>
    </xf>
    <xf numFmtId="44" fontId="0" fillId="0" borderId="0" xfId="1" applyFont="1" applyAlignment="1">
      <alignment horizontal="right"/>
    </xf>
    <xf numFmtId="44" fontId="2" fillId="0" borderId="0" xfId="1" quotePrefix="1" applyFont="1"/>
    <xf numFmtId="0" fontId="2" fillId="0" borderId="11" xfId="0" applyFont="1" applyBorder="1"/>
    <xf numFmtId="4" fontId="0" fillId="0" borderId="12" xfId="0" applyNumberFormat="1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14" xfId="0" applyFont="1" applyBorder="1"/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0" fontId="4" fillId="0" borderId="14" xfId="0" applyFont="1" applyBorder="1"/>
    <xf numFmtId="4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44" fontId="4" fillId="0" borderId="0" xfId="1" applyFont="1" applyBorder="1" applyAlignment="1">
      <alignment horizontal="center"/>
    </xf>
    <xf numFmtId="44" fontId="0" fillId="0" borderId="15" xfId="1" applyFont="1" applyBorder="1"/>
    <xf numFmtId="44" fontId="2" fillId="0" borderId="15" xfId="1" applyFont="1" applyBorder="1"/>
    <xf numFmtId="4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4" fontId="4" fillId="0" borderId="15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4" fontId="4" fillId="0" borderId="0" xfId="1" applyFont="1" applyBorder="1" applyAlignment="1">
      <alignment horizontal="right"/>
    </xf>
    <xf numFmtId="44" fontId="4" fillId="0" borderId="15" xfId="1" applyFont="1" applyBorder="1" applyAlignment="1">
      <alignment horizontal="right"/>
    </xf>
    <xf numFmtId="0" fontId="0" fillId="0" borderId="14" xfId="0" applyBorder="1"/>
    <xf numFmtId="44" fontId="2" fillId="0" borderId="0" xfId="1" applyFont="1" applyBorder="1"/>
    <xf numFmtId="44" fontId="2" fillId="0" borderId="0" xfId="1" applyFont="1" applyBorder="1" applyAlignment="1">
      <alignment horizontal="right"/>
    </xf>
    <xf numFmtId="0" fontId="0" fillId="0" borderId="16" xfId="0" applyBorder="1"/>
    <xf numFmtId="0" fontId="0" fillId="0" borderId="17" xfId="0" applyBorder="1"/>
    <xf numFmtId="44" fontId="0" fillId="0" borderId="17" xfId="1" applyFont="1" applyBorder="1"/>
    <xf numFmtId="44" fontId="0" fillId="0" borderId="18" xfId="1" applyFont="1" applyBorder="1"/>
    <xf numFmtId="0" fontId="0" fillId="0" borderId="11" xfId="0" applyBorder="1"/>
    <xf numFmtId="14" fontId="2" fillId="0" borderId="0" xfId="0" quotePrefix="1" applyNumberFormat="1" applyFont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quotePrefix="1" applyFont="1"/>
    <xf numFmtId="4" fontId="0" fillId="0" borderId="10" xfId="0" applyNumberFormat="1" applyBorder="1"/>
    <xf numFmtId="0" fontId="0" fillId="0" borderId="10" xfId="0" applyBorder="1"/>
    <xf numFmtId="4" fontId="0" fillId="0" borderId="19" xfId="0" applyNumberFormat="1" applyBorder="1"/>
    <xf numFmtId="0" fontId="0" fillId="0" borderId="19" xfId="0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10" fillId="0" borderId="0" xfId="0" applyFont="1" applyBorder="1" applyAlignment="1">
      <alignment horizontal="center"/>
    </xf>
    <xf numFmtId="44" fontId="4" fillId="0" borderId="0" xfId="1" applyFont="1" applyFill="1"/>
    <xf numFmtId="166" fontId="4" fillId="0" borderId="0" xfId="1" applyNumberFormat="1" applyFont="1" applyFill="1"/>
    <xf numFmtId="14" fontId="4" fillId="0" borderId="0" xfId="1" applyNumberFormat="1" applyFont="1" applyFill="1"/>
    <xf numFmtId="0" fontId="4" fillId="0" borderId="0" xfId="0" quotePrefix="1" applyFont="1" applyFill="1"/>
    <xf numFmtId="167" fontId="4" fillId="0" borderId="0" xfId="1" applyNumberFormat="1" applyFont="1" applyFill="1"/>
    <xf numFmtId="4" fontId="6" fillId="0" borderId="0" xfId="0" applyNumberFormat="1" applyFont="1" applyFill="1"/>
    <xf numFmtId="44" fontId="6" fillId="0" borderId="0" xfId="1" applyFont="1" applyFill="1"/>
    <xf numFmtId="44" fontId="11" fillId="0" borderId="0" xfId="1" applyFont="1" applyFill="1"/>
    <xf numFmtId="168" fontId="4" fillId="0" borderId="0" xfId="1" applyNumberFormat="1" applyFont="1" applyFill="1"/>
    <xf numFmtId="166" fontId="10" fillId="0" borderId="0" xfId="1" applyNumberFormat="1" applyFont="1" applyFill="1"/>
    <xf numFmtId="166" fontId="5" fillId="0" borderId="0" xfId="1" applyNumberFormat="1" applyFont="1" applyFill="1"/>
    <xf numFmtId="166" fontId="11" fillId="0" borderId="0" xfId="1" applyNumberFormat="1" applyFont="1" applyFill="1"/>
    <xf numFmtId="166" fontId="6" fillId="0" borderId="0" xfId="1" applyNumberFormat="1" applyFont="1" applyFill="1"/>
    <xf numFmtId="0" fontId="4" fillId="0" borderId="3" xfId="0" applyFont="1" applyBorder="1"/>
    <xf numFmtId="44" fontId="0" fillId="0" borderId="15" xfId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4" fontId="4" fillId="0" borderId="0" xfId="1" applyFont="1" applyBorder="1"/>
    <xf numFmtId="44" fontId="4" fillId="0" borderId="15" xfId="1" applyFont="1" applyBorder="1"/>
    <xf numFmtId="2" fontId="0" fillId="0" borderId="0" xfId="0" applyNumberFormat="1" applyBorder="1"/>
    <xf numFmtId="4" fontId="4" fillId="0" borderId="3" xfId="0" applyNumberFormat="1" applyFont="1" applyBorder="1"/>
    <xf numFmtId="0" fontId="0" fillId="0" borderId="4" xfId="0" applyFont="1" applyFill="1" applyBorder="1"/>
    <xf numFmtId="44" fontId="4" fillId="0" borderId="3" xfId="1" applyFont="1" applyBorder="1"/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20" xfId="0" applyFont="1" applyBorder="1"/>
    <xf numFmtId="0" fontId="12" fillId="0" borderId="25" xfId="0" applyFont="1" applyBorder="1"/>
    <xf numFmtId="164" fontId="12" fillId="0" borderId="25" xfId="0" applyNumberFormat="1" applyFont="1" applyBorder="1"/>
    <xf numFmtId="169" fontId="12" fillId="0" borderId="26" xfId="0" applyNumberFormat="1" applyFont="1" applyBorder="1"/>
    <xf numFmtId="0" fontId="12" fillId="0" borderId="0" xfId="0" applyFont="1"/>
    <xf numFmtId="0" fontId="0" fillId="0" borderId="3" xfId="0" applyNumberFormat="1" applyBorder="1"/>
    <xf numFmtId="164" fontId="0" fillId="0" borderId="3" xfId="0" applyNumberFormat="1" applyBorder="1"/>
    <xf numFmtId="0" fontId="4" fillId="0" borderId="3" xfId="0" applyFont="1" applyFill="1" applyBorder="1"/>
    <xf numFmtId="164" fontId="0" fillId="0" borderId="3" xfId="0" applyNumberFormat="1" applyFill="1" applyBorder="1"/>
    <xf numFmtId="0" fontId="0" fillId="4" borderId="3" xfId="0" applyNumberFormat="1" applyFill="1" applyBorder="1"/>
    <xf numFmtId="0" fontId="0" fillId="0" borderId="3" xfId="0" applyFont="1" applyFill="1" applyBorder="1"/>
    <xf numFmtId="0" fontId="0" fillId="0" borderId="3" xfId="0" applyFill="1" applyBorder="1"/>
    <xf numFmtId="164" fontId="0" fillId="4" borderId="3" xfId="0" applyNumberFormat="1" applyFill="1" applyBorder="1"/>
    <xf numFmtId="4" fontId="4" fillId="0" borderId="0" xfId="0" applyNumberFormat="1" applyFont="1"/>
    <xf numFmtId="164" fontId="4" fillId="0" borderId="0" xfId="0" applyNumberFormat="1" applyFont="1"/>
    <xf numFmtId="4" fontId="14" fillId="0" borderId="0" xfId="0" applyNumberFormat="1" applyFont="1"/>
    <xf numFmtId="0" fontId="0" fillId="4" borderId="0" xfId="0" applyFill="1"/>
    <xf numFmtId="0" fontId="15" fillId="0" borderId="0" xfId="0" applyFont="1"/>
    <xf numFmtId="0" fontId="16" fillId="0" borderId="0" xfId="0" applyFont="1"/>
    <xf numFmtId="14" fontId="16" fillId="0" borderId="0" xfId="0" applyNumberFormat="1" applyFont="1" applyBorder="1" applyProtection="1"/>
    <xf numFmtId="164" fontId="4" fillId="0" borderId="0" xfId="0" applyNumberFormat="1" applyFont="1" applyBorder="1"/>
    <xf numFmtId="0" fontId="6" fillId="0" borderId="0" xfId="0" applyFont="1"/>
    <xf numFmtId="170" fontId="6" fillId="0" borderId="0" xfId="0" applyNumberFormat="1" applyFont="1" applyBorder="1"/>
    <xf numFmtId="0" fontId="16" fillId="0" borderId="1" xfId="0" applyFont="1" applyBorder="1"/>
    <xf numFmtId="0" fontId="16" fillId="0" borderId="27" xfId="0" applyFont="1" applyBorder="1"/>
    <xf numFmtId="0" fontId="16" fillId="0" borderId="3" xfId="0" applyFont="1" applyBorder="1"/>
    <xf numFmtId="0" fontId="16" fillId="0" borderId="3" xfId="0" applyFont="1" applyBorder="1" applyAlignment="1">
      <alignment horizontal="center"/>
    </xf>
    <xf numFmtId="4" fontId="16" fillId="0" borderId="1" xfId="0" applyNumberFormat="1" applyFont="1" applyBorder="1"/>
    <xf numFmtId="0" fontId="16" fillId="0" borderId="2" xfId="0" applyFont="1" applyBorder="1"/>
    <xf numFmtId="4" fontId="16" fillId="0" borderId="3" xfId="0" applyNumberFormat="1" applyFont="1" applyBorder="1"/>
    <xf numFmtId="164" fontId="16" fillId="0" borderId="3" xfId="0" applyNumberFormat="1" applyFont="1" applyBorder="1"/>
    <xf numFmtId="0" fontId="0" fillId="0" borderId="0" xfId="0" applyAlignment="1">
      <alignment horizontal="right" vertical="top"/>
    </xf>
    <xf numFmtId="4" fontId="16" fillId="0" borderId="28" xfId="0" applyNumberFormat="1" applyFont="1" applyBorder="1"/>
    <xf numFmtId="0" fontId="16" fillId="0" borderId="28" xfId="0" applyFont="1" applyBorder="1"/>
    <xf numFmtId="4" fontId="16" fillId="0" borderId="29" xfId="0" applyNumberFormat="1" applyFont="1" applyBorder="1"/>
    <xf numFmtId="0" fontId="16" fillId="0" borderId="30" xfId="0" applyFont="1" applyBorder="1"/>
    <xf numFmtId="4" fontId="16" fillId="0" borderId="29" xfId="0" applyNumberFormat="1" applyFont="1" applyFill="1" applyBorder="1"/>
    <xf numFmtId="0" fontId="16" fillId="0" borderId="2" xfId="0" applyFont="1" applyFill="1" applyBorder="1"/>
    <xf numFmtId="4" fontId="16" fillId="0" borderId="28" xfId="0" applyNumberFormat="1" applyFont="1" applyFill="1" applyBorder="1"/>
    <xf numFmtId="0" fontId="16" fillId="0" borderId="30" xfId="0" applyFont="1" applyFill="1" applyBorder="1"/>
    <xf numFmtId="4" fontId="16" fillId="0" borderId="30" xfId="0" applyNumberFormat="1" applyFont="1" applyFill="1" applyBorder="1"/>
    <xf numFmtId="164" fontId="16" fillId="4" borderId="3" xfId="0" applyNumberFormat="1" applyFont="1" applyFill="1" applyBorder="1"/>
    <xf numFmtId="3" fontId="16" fillId="0" borderId="30" xfId="0" applyNumberFormat="1" applyFont="1" applyFill="1" applyBorder="1"/>
    <xf numFmtId="4" fontId="16" fillId="0" borderId="3" xfId="0" applyNumberFormat="1" applyFont="1" applyFill="1" applyBorder="1"/>
    <xf numFmtId="0" fontId="16" fillId="0" borderId="3" xfId="0" applyFont="1" applyFill="1" applyBorder="1"/>
    <xf numFmtId="0" fontId="16" fillId="0" borderId="28" xfId="0" applyFont="1" applyFill="1" applyBorder="1"/>
    <xf numFmtId="164" fontId="16" fillId="0" borderId="28" xfId="0" applyNumberFormat="1" applyFont="1" applyBorder="1"/>
    <xf numFmtId="4" fontId="16" fillId="0" borderId="0" xfId="0" applyNumberFormat="1" applyFont="1" applyBorder="1"/>
    <xf numFmtId="164" fontId="16" fillId="0" borderId="0" xfId="0" applyNumberFormat="1" applyFont="1"/>
    <xf numFmtId="0" fontId="16" fillId="0" borderId="0" xfId="0" applyFont="1" applyAlignment="1">
      <alignment horizontal="right"/>
    </xf>
    <xf numFmtId="3" fontId="16" fillId="0" borderId="3" xfId="0" applyNumberFormat="1" applyFont="1" applyBorder="1"/>
    <xf numFmtId="4" fontId="16" fillId="0" borderId="2" xfId="0" applyNumberFormat="1" applyFont="1" applyBorder="1"/>
    <xf numFmtId="164" fontId="16" fillId="0" borderId="2" xfId="0" applyNumberFormat="1" applyFont="1" applyBorder="1"/>
    <xf numFmtId="164" fontId="0" fillId="0" borderId="0" xfId="0" applyNumberFormat="1" applyBorder="1"/>
    <xf numFmtId="0" fontId="12" fillId="0" borderId="0" xfId="0" applyFont="1" applyBorder="1"/>
    <xf numFmtId="0" fontId="17" fillId="0" borderId="20" xfId="0" applyFont="1" applyBorder="1" applyAlignment="1">
      <alignment horizontal="left"/>
    </xf>
    <xf numFmtId="0" fontId="17" fillId="0" borderId="25" xfId="0" applyFont="1" applyBorder="1"/>
    <xf numFmtId="164" fontId="17" fillId="0" borderId="25" xfId="0" applyNumberFormat="1" applyFont="1" applyBorder="1"/>
    <xf numFmtId="164" fontId="17" fillId="0" borderId="31" xfId="0" applyNumberFormat="1" applyFont="1" applyBorder="1"/>
    <xf numFmtId="0" fontId="17" fillId="0" borderId="26" xfId="0" applyFont="1" applyBorder="1"/>
    <xf numFmtId="0" fontId="17" fillId="0" borderId="0" xfId="0" applyFont="1" applyBorder="1"/>
    <xf numFmtId="0" fontId="17" fillId="0" borderId="0" xfId="0" applyFont="1"/>
    <xf numFmtId="0" fontId="4" fillId="0" borderId="32" xfId="0" applyFont="1" applyBorder="1" applyAlignment="1">
      <alignment horizontal="left"/>
    </xf>
    <xf numFmtId="0" fontId="4" fillId="0" borderId="33" xfId="0" applyFont="1" applyBorder="1"/>
    <xf numFmtId="0" fontId="0" fillId="0" borderId="32" xfId="0" applyBorder="1" applyAlignment="1">
      <alignment horizontal="left"/>
    </xf>
    <xf numFmtId="0" fontId="0" fillId="0" borderId="33" xfId="0" applyBorder="1"/>
    <xf numFmtId="0" fontId="0" fillId="0" borderId="34" xfId="0" applyBorder="1" applyAlignment="1">
      <alignment horizontal="left"/>
    </xf>
    <xf numFmtId="0" fontId="0" fillId="0" borderId="35" xfId="0" applyBorder="1"/>
    <xf numFmtId="164" fontId="0" fillId="4" borderId="35" xfId="0" applyNumberFormat="1" applyFill="1" applyBorder="1"/>
    <xf numFmtId="164" fontId="0" fillId="0" borderId="35" xfId="0" applyNumberFormat="1" applyBorder="1"/>
    <xf numFmtId="0" fontId="4" fillId="0" borderId="36" xfId="0" applyFont="1" applyBorder="1"/>
    <xf numFmtId="0" fontId="0" fillId="0" borderId="37" xfId="0" applyBorder="1" applyAlignment="1">
      <alignment horizontal="left"/>
    </xf>
    <xf numFmtId="0" fontId="0" fillId="0" borderId="38" xfId="0" applyFont="1" applyFill="1" applyBorder="1"/>
    <xf numFmtId="0" fontId="0" fillId="0" borderId="38" xfId="0" applyBorder="1"/>
    <xf numFmtId="164" fontId="0" fillId="0" borderId="38" xfId="0" applyNumberFormat="1" applyBorder="1"/>
    <xf numFmtId="0" fontId="4" fillId="0" borderId="39" xfId="0" applyFont="1" applyBorder="1"/>
    <xf numFmtId="164" fontId="13" fillId="0" borderId="40" xfId="0" applyNumberFormat="1" applyFont="1" applyBorder="1"/>
    <xf numFmtId="0" fontId="0" fillId="0" borderId="0" xfId="0" applyFont="1" applyFill="1"/>
    <xf numFmtId="4" fontId="0" fillId="0" borderId="0" xfId="0" applyNumberFormat="1" applyFont="1" applyFill="1"/>
    <xf numFmtId="44" fontId="1" fillId="0" borderId="0" xfId="1" applyFont="1" applyFill="1"/>
    <xf numFmtId="166" fontId="1" fillId="0" borderId="0" xfId="1" applyNumberFormat="1" applyFont="1" applyFill="1"/>
    <xf numFmtId="0" fontId="0" fillId="0" borderId="0" xfId="0" quotePrefix="1" applyFont="1" applyFill="1"/>
    <xf numFmtId="167" fontId="1" fillId="0" borderId="0" xfId="1" applyNumberFormat="1" applyFont="1" applyFill="1"/>
    <xf numFmtId="4" fontId="4" fillId="0" borderId="0" xfId="0" applyNumberFormat="1" applyFont="1" applyFill="1"/>
    <xf numFmtId="44" fontId="4" fillId="0" borderId="0" xfId="0" applyNumberFormat="1" applyFont="1" applyFill="1"/>
    <xf numFmtId="17" fontId="0" fillId="0" borderId="0" xfId="0" quotePrefix="1" applyNumberFormat="1" applyFont="1" applyFill="1"/>
    <xf numFmtId="14" fontId="0" fillId="0" borderId="0" xfId="0" applyNumberFormat="1" applyFont="1" applyFill="1"/>
    <xf numFmtId="14" fontId="1" fillId="0" borderId="0" xfId="1" applyNumberFormat="1" applyFont="1" applyFill="1"/>
    <xf numFmtId="8" fontId="6" fillId="0" borderId="0" xfId="1" applyNumberFormat="1" applyFont="1" applyFill="1"/>
    <xf numFmtId="44" fontId="6" fillId="0" borderId="0" xfId="0" applyNumberFormat="1" applyFont="1" applyFill="1"/>
    <xf numFmtId="17" fontId="0" fillId="0" borderId="0" xfId="0" quotePrefix="1" applyNumberFormat="1" applyFont="1"/>
    <xf numFmtId="0" fontId="0" fillId="0" borderId="0" xfId="0" applyFont="1"/>
    <xf numFmtId="0" fontId="0" fillId="0" borderId="5" xfId="0" applyFont="1" applyBorder="1"/>
    <xf numFmtId="0" fontId="0" fillId="0" borderId="5" xfId="0" applyFont="1" applyFill="1" applyBorder="1"/>
    <xf numFmtId="4" fontId="0" fillId="0" borderId="5" xfId="0" applyNumberFormat="1" applyFont="1" applyFill="1" applyBorder="1"/>
    <xf numFmtId="3" fontId="0" fillId="0" borderId="5" xfId="0" applyNumberFormat="1" applyFont="1" applyFill="1" applyBorder="1"/>
    <xf numFmtId="15" fontId="0" fillId="0" borderId="5" xfId="0" applyNumberFormat="1" applyFont="1" applyFill="1" applyBorder="1"/>
    <xf numFmtId="164" fontId="0" fillId="0" borderId="5" xfId="0" applyNumberFormat="1" applyFont="1" applyFill="1" applyBorder="1"/>
    <xf numFmtId="165" fontId="0" fillId="0" borderId="5" xfId="0" applyNumberFormat="1" applyFont="1" applyFill="1" applyBorder="1"/>
    <xf numFmtId="0" fontId="0" fillId="9" borderId="21" xfId="0" applyFont="1" applyFill="1" applyBorder="1" applyAlignment="1">
      <alignment textRotation="255"/>
    </xf>
    <xf numFmtId="0" fontId="0" fillId="0" borderId="6" xfId="0" applyFont="1" applyFill="1" applyBorder="1"/>
    <xf numFmtId="4" fontId="0" fillId="0" borderId="0" xfId="0" applyNumberFormat="1" applyFont="1" applyFill="1" applyBorder="1"/>
    <xf numFmtId="3" fontId="0" fillId="0" borderId="0" xfId="0" applyNumberFormat="1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4" fontId="0" fillId="0" borderId="7" xfId="0" applyNumberFormat="1" applyFont="1" applyFill="1" applyBorder="1"/>
    <xf numFmtId="4" fontId="17" fillId="0" borderId="0" xfId="0" applyNumberFormat="1" applyFont="1" applyFill="1" applyBorder="1"/>
    <xf numFmtId="0" fontId="17" fillId="0" borderId="0" xfId="0" applyFont="1" applyFill="1" applyBorder="1"/>
    <xf numFmtId="0" fontId="0" fillId="2" borderId="0" xfId="0" applyFont="1" applyFill="1" applyBorder="1"/>
    <xf numFmtId="165" fontId="17" fillId="0" borderId="0" xfId="0" applyNumberFormat="1" applyFont="1" applyFill="1" applyBorder="1"/>
    <xf numFmtId="164" fontId="17" fillId="0" borderId="0" xfId="0" applyNumberFormat="1" applyFont="1" applyFill="1" applyBorder="1"/>
    <xf numFmtId="0" fontId="0" fillId="0" borderId="0" xfId="0" applyFont="1" applyBorder="1"/>
    <xf numFmtId="165" fontId="17" fillId="6" borderId="0" xfId="0" applyNumberFormat="1" applyFont="1" applyFill="1" applyBorder="1"/>
    <xf numFmtId="164" fontId="17" fillId="6" borderId="0" xfId="0" applyNumberFormat="1" applyFont="1" applyFill="1" applyBorder="1"/>
    <xf numFmtId="0" fontId="0" fillId="0" borderId="9" xfId="0" applyFont="1" applyFill="1" applyBorder="1"/>
    <xf numFmtId="14" fontId="0" fillId="0" borderId="8" xfId="0" applyNumberFormat="1" applyFont="1" applyFill="1" applyBorder="1"/>
    <xf numFmtId="0" fontId="0" fillId="3" borderId="22" xfId="0" applyFont="1" applyFill="1" applyBorder="1" applyAlignment="1">
      <alignment textRotation="255"/>
    </xf>
    <xf numFmtId="0" fontId="0" fillId="0" borderId="23" xfId="0" applyFont="1" applyFill="1" applyBorder="1"/>
    <xf numFmtId="4" fontId="0" fillId="0" borderId="4" xfId="0" applyNumberFormat="1" applyFont="1" applyFill="1" applyBorder="1"/>
    <xf numFmtId="15" fontId="0" fillId="0" borderId="4" xfId="0" applyNumberFormat="1" applyFont="1" applyFill="1" applyBorder="1"/>
    <xf numFmtId="164" fontId="0" fillId="0" borderId="4" xfId="0" applyNumberFormat="1" applyFont="1" applyFill="1" applyBorder="1"/>
    <xf numFmtId="165" fontId="0" fillId="0" borderId="4" xfId="0" applyNumberFormat="1" applyFont="1" applyFill="1" applyBorder="1"/>
    <xf numFmtId="165" fontId="17" fillId="0" borderId="4" xfId="0" applyNumberFormat="1" applyFont="1" applyFill="1" applyBorder="1"/>
    <xf numFmtId="165" fontId="17" fillId="6" borderId="4" xfId="0" applyNumberFormat="1" applyFont="1" applyFill="1" applyBorder="1"/>
    <xf numFmtId="14" fontId="0" fillId="0" borderId="24" xfId="0" applyNumberFormat="1" applyFont="1" applyFill="1" applyBorder="1"/>
    <xf numFmtId="0" fontId="0" fillId="3" borderId="21" xfId="0" applyFont="1" applyFill="1" applyBorder="1" applyAlignment="1">
      <alignment textRotation="255"/>
    </xf>
    <xf numFmtId="164" fontId="17" fillId="10" borderId="0" xfId="0" applyNumberFormat="1" applyFont="1" applyFill="1" applyBorder="1"/>
    <xf numFmtId="0" fontId="17" fillId="0" borderId="6" xfId="0" applyFont="1" applyFill="1" applyBorder="1"/>
    <xf numFmtId="0" fontId="0" fillId="7" borderId="22" xfId="0" applyFont="1" applyFill="1" applyBorder="1" applyAlignment="1">
      <alignment textRotation="255"/>
    </xf>
    <xf numFmtId="0" fontId="0" fillId="7" borderId="21" xfId="0" applyFont="1" applyFill="1" applyBorder="1" applyAlignment="1">
      <alignment textRotation="255"/>
    </xf>
    <xf numFmtId="4" fontId="0" fillId="8" borderId="0" xfId="0" applyNumberFormat="1" applyFont="1" applyFill="1" applyBorder="1"/>
    <xf numFmtId="0" fontId="0" fillId="11" borderId="22" xfId="0" applyFont="1" applyFill="1" applyBorder="1" applyAlignment="1">
      <alignment textRotation="255"/>
    </xf>
    <xf numFmtId="0" fontId="0" fillId="11" borderId="21" xfId="0" applyFont="1" applyFill="1" applyBorder="1" applyAlignment="1">
      <alignment textRotation="255"/>
    </xf>
    <xf numFmtId="171" fontId="0" fillId="0" borderId="0" xfId="0" applyNumberFormat="1" applyFont="1" applyFill="1" applyBorder="1"/>
    <xf numFmtId="0" fontId="0" fillId="12" borderId="22" xfId="0" applyFont="1" applyFill="1" applyBorder="1" applyAlignment="1">
      <alignment textRotation="255"/>
    </xf>
    <xf numFmtId="0" fontId="0" fillId="12" borderId="21" xfId="0" applyFont="1" applyFill="1" applyBorder="1" applyAlignment="1">
      <alignment textRotation="255"/>
    </xf>
    <xf numFmtId="171" fontId="17" fillId="0" borderId="0" xfId="0" applyNumberFormat="1" applyFont="1" applyFill="1" applyBorder="1"/>
    <xf numFmtId="165" fontId="17" fillId="5" borderId="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3</xdr:row>
      <xdr:rowOff>38100</xdr:rowOff>
    </xdr:from>
    <xdr:to>
      <xdr:col>0</xdr:col>
      <xdr:colOff>1019174</xdr:colOff>
      <xdr:row>6</xdr:row>
      <xdr:rowOff>190500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899" y="676275"/>
          <a:ext cx="6762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03"/>
  <sheetViews>
    <sheetView topLeftCell="A55" zoomScale="78" zoomScaleNormal="78" workbookViewId="0">
      <selection activeCell="A55" sqref="A1:XFD1048576"/>
    </sheetView>
  </sheetViews>
  <sheetFormatPr baseColWidth="10" defaultRowHeight="15"/>
  <cols>
    <col min="1" max="1" width="3.85546875" style="189" customWidth="1"/>
    <col min="2" max="2" width="6.28515625" style="189" customWidth="1"/>
    <col min="3" max="3" width="19.42578125" style="189" customWidth="1"/>
    <col min="4" max="4" width="28.7109375" style="189" customWidth="1"/>
    <col min="5" max="5" width="18.42578125" style="189" customWidth="1"/>
    <col min="6" max="6" width="22.28515625" style="189" customWidth="1"/>
    <col min="7" max="7" width="13.7109375" style="189" customWidth="1"/>
    <col min="8" max="8" width="14.28515625" style="189" customWidth="1"/>
    <col min="9" max="9" width="12.5703125" style="189" customWidth="1"/>
    <col min="10" max="10" width="21.85546875" style="189" customWidth="1"/>
    <col min="11" max="11" width="11.42578125" style="189"/>
    <col min="12" max="12" width="23.140625" style="189" customWidth="1"/>
    <col min="13" max="16384" width="11.42578125" style="189"/>
  </cols>
  <sheetData>
    <row r="1" spans="1:30">
      <c r="A1" s="36"/>
      <c r="D1" s="190"/>
      <c r="E1" s="191"/>
      <c r="F1" s="191"/>
    </row>
    <row r="2" spans="1:30">
      <c r="A2" s="36"/>
      <c r="D2" s="190"/>
      <c r="E2" s="191"/>
      <c r="F2" s="191"/>
      <c r="O2" s="191"/>
      <c r="P2" s="191"/>
      <c r="Q2" s="191"/>
      <c r="AC2" s="191"/>
      <c r="AD2" s="191"/>
    </row>
    <row r="3" spans="1:30">
      <c r="D3" s="190"/>
      <c r="E3" s="191"/>
      <c r="F3" s="191"/>
      <c r="O3" s="191"/>
      <c r="P3" s="191"/>
      <c r="Q3" s="191"/>
      <c r="AC3" s="191"/>
      <c r="AD3" s="191"/>
    </row>
    <row r="4" spans="1:30">
      <c r="C4" s="88"/>
      <c r="D4" s="88"/>
      <c r="E4" s="89"/>
      <c r="F4" s="88"/>
      <c r="G4" s="90"/>
      <c r="H4" s="88"/>
      <c r="I4" s="191"/>
      <c r="J4" s="191"/>
      <c r="K4" s="191"/>
      <c r="L4" s="191"/>
      <c r="M4" s="191"/>
      <c r="N4" s="191"/>
      <c r="O4" s="191"/>
      <c r="P4" s="191"/>
      <c r="Q4" s="191"/>
      <c r="AC4" s="191"/>
      <c r="AD4" s="191"/>
    </row>
    <row r="5" spans="1:30">
      <c r="C5" s="191"/>
      <c r="D5" s="191"/>
      <c r="E5" s="89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AC5" s="191"/>
      <c r="AD5" s="191"/>
    </row>
    <row r="6" spans="1:30">
      <c r="C6" s="88"/>
      <c r="D6" s="88"/>
      <c r="E6" s="89"/>
      <c r="F6" s="88"/>
      <c r="G6" s="90"/>
      <c r="H6" s="88"/>
      <c r="I6" s="191"/>
      <c r="J6" s="191"/>
      <c r="K6" s="191"/>
      <c r="L6" s="191"/>
      <c r="M6" s="191"/>
      <c r="N6" s="191"/>
      <c r="O6" s="191"/>
      <c r="P6" s="191"/>
      <c r="Q6" s="191"/>
      <c r="AC6" s="191"/>
      <c r="AD6" s="191"/>
    </row>
    <row r="7" spans="1:30">
      <c r="C7" s="88"/>
      <c r="D7" s="88"/>
      <c r="E7" s="89"/>
      <c r="F7" s="88"/>
      <c r="G7" s="90"/>
      <c r="H7" s="88"/>
      <c r="I7" s="191"/>
      <c r="J7" s="191"/>
      <c r="K7" s="191"/>
      <c r="L7" s="191"/>
      <c r="M7" s="191"/>
      <c r="N7" s="191"/>
    </row>
    <row r="8" spans="1:30">
      <c r="C8" s="88"/>
      <c r="D8" s="88"/>
      <c r="E8" s="89"/>
      <c r="F8" s="88"/>
      <c r="G8" s="88"/>
      <c r="H8" s="88"/>
      <c r="I8" s="90"/>
      <c r="J8" s="88"/>
      <c r="K8" s="191"/>
      <c r="L8" s="191"/>
      <c r="M8" s="191"/>
      <c r="N8" s="191"/>
      <c r="O8" s="191"/>
      <c r="P8" s="191"/>
      <c r="Q8" s="191"/>
      <c r="AC8" s="191"/>
      <c r="AD8" s="191"/>
    </row>
    <row r="9" spans="1:30">
      <c r="C9" s="88"/>
      <c r="D9" s="88"/>
      <c r="E9" s="89"/>
      <c r="F9" s="88"/>
      <c r="G9" s="88"/>
      <c r="H9" s="88"/>
      <c r="I9" s="90"/>
      <c r="J9" s="88"/>
      <c r="K9" s="191"/>
      <c r="L9" s="191"/>
      <c r="M9" s="191"/>
      <c r="N9" s="191"/>
      <c r="O9" s="191"/>
      <c r="P9" s="191"/>
      <c r="Q9" s="191"/>
      <c r="AC9" s="191"/>
      <c r="AD9" s="191"/>
    </row>
    <row r="10" spans="1:30">
      <c r="C10" s="88"/>
      <c r="D10" s="88"/>
      <c r="E10" s="89"/>
      <c r="F10" s="88"/>
      <c r="G10" s="92"/>
      <c r="H10" s="88"/>
      <c r="I10" s="90"/>
      <c r="J10" s="88"/>
      <c r="K10" s="191"/>
      <c r="L10" s="191"/>
      <c r="M10" s="191"/>
      <c r="N10" s="191"/>
      <c r="O10" s="191"/>
      <c r="P10" s="191"/>
      <c r="Q10" s="191"/>
      <c r="AC10" s="191"/>
      <c r="AD10" s="191"/>
    </row>
    <row r="11" spans="1:30">
      <c r="C11" s="88"/>
      <c r="D11" s="88"/>
      <c r="E11" s="89"/>
      <c r="F11" s="88"/>
      <c r="G11" s="88"/>
      <c r="H11" s="88"/>
      <c r="I11" s="90"/>
      <c r="J11" s="88"/>
      <c r="K11" s="191"/>
      <c r="L11" s="191"/>
      <c r="M11" s="191"/>
      <c r="N11" s="191"/>
      <c r="O11" s="191"/>
      <c r="P11" s="191"/>
      <c r="Q11" s="191"/>
      <c r="AC11" s="191"/>
      <c r="AD11" s="191"/>
    </row>
    <row r="12" spans="1:30">
      <c r="C12" s="88"/>
      <c r="D12" s="88"/>
      <c r="E12" s="89"/>
      <c r="F12" s="88"/>
      <c r="G12" s="92"/>
      <c r="H12" s="88"/>
      <c r="I12" s="90"/>
      <c r="J12" s="88"/>
      <c r="K12" s="191"/>
      <c r="L12" s="191"/>
      <c r="M12" s="191"/>
      <c r="N12" s="191"/>
      <c r="O12" s="191"/>
      <c r="P12" s="191"/>
      <c r="Q12" s="191"/>
      <c r="AC12" s="191"/>
      <c r="AD12" s="191"/>
    </row>
    <row r="13" spans="1:30">
      <c r="C13" s="88"/>
      <c r="D13" s="88"/>
      <c r="E13" s="89"/>
      <c r="F13" s="88"/>
      <c r="G13" s="90"/>
      <c r="H13" s="88"/>
      <c r="I13" s="191"/>
      <c r="J13" s="191"/>
      <c r="K13" s="191"/>
      <c r="L13" s="191"/>
      <c r="M13" s="191"/>
      <c r="N13" s="191"/>
      <c r="O13" s="191"/>
      <c r="P13" s="191"/>
      <c r="Q13" s="191"/>
      <c r="AC13" s="191"/>
      <c r="AD13" s="191"/>
    </row>
    <row r="14" spans="1:30">
      <c r="C14" s="88"/>
      <c r="D14" s="88"/>
      <c r="E14" s="89"/>
      <c r="F14" s="88"/>
      <c r="G14" s="92"/>
      <c r="H14" s="88"/>
      <c r="I14" s="90"/>
      <c r="J14" s="88"/>
      <c r="K14" s="191"/>
      <c r="L14" s="191"/>
      <c r="M14" s="191"/>
      <c r="N14" s="191"/>
      <c r="O14" s="191"/>
      <c r="P14" s="191"/>
      <c r="Q14" s="191"/>
      <c r="AC14" s="191"/>
      <c r="AD14" s="191"/>
    </row>
    <row r="15" spans="1:30">
      <c r="C15" s="88"/>
      <c r="D15" s="88"/>
      <c r="E15" s="89"/>
      <c r="F15" s="88"/>
      <c r="G15" s="92"/>
      <c r="H15" s="88"/>
      <c r="I15" s="90"/>
      <c r="J15" s="88"/>
      <c r="K15" s="191"/>
      <c r="L15" s="191"/>
      <c r="M15" s="191"/>
      <c r="N15" s="191"/>
      <c r="O15" s="191"/>
      <c r="P15" s="191"/>
      <c r="Q15" s="191"/>
      <c r="AC15" s="191"/>
      <c r="AD15" s="191"/>
    </row>
    <row r="16" spans="1:30">
      <c r="C16" s="88"/>
      <c r="D16" s="88"/>
      <c r="E16" s="89"/>
      <c r="F16" s="88"/>
      <c r="G16" s="92"/>
      <c r="H16" s="88"/>
      <c r="I16" s="90"/>
      <c r="J16" s="88"/>
      <c r="K16" s="191"/>
      <c r="L16" s="191"/>
      <c r="M16" s="191"/>
      <c r="N16" s="191"/>
      <c r="O16" s="191"/>
      <c r="P16" s="191"/>
      <c r="Q16" s="191"/>
      <c r="AC16" s="191"/>
      <c r="AD16" s="191"/>
    </row>
    <row r="17" spans="3:30">
      <c r="C17" s="88"/>
      <c r="D17" s="88"/>
      <c r="E17" s="89"/>
      <c r="F17" s="88"/>
      <c r="G17" s="90"/>
      <c r="H17" s="88"/>
      <c r="I17" s="191"/>
      <c r="J17" s="191"/>
      <c r="K17" s="191"/>
      <c r="L17" s="191"/>
      <c r="M17" s="191"/>
      <c r="N17" s="191"/>
      <c r="O17" s="191"/>
      <c r="P17" s="191"/>
      <c r="Q17" s="191"/>
      <c r="AC17" s="191"/>
      <c r="AD17" s="191"/>
    </row>
    <row r="18" spans="3:30">
      <c r="C18" s="88"/>
      <c r="D18" s="88"/>
      <c r="E18" s="89"/>
      <c r="F18" s="88"/>
      <c r="G18" s="92"/>
      <c r="H18" s="88"/>
      <c r="I18" s="90"/>
      <c r="J18" s="88"/>
      <c r="K18" s="191"/>
      <c r="L18" s="191"/>
      <c r="M18" s="191"/>
      <c r="N18" s="191"/>
      <c r="O18" s="191"/>
      <c r="P18" s="191"/>
      <c r="Q18" s="191"/>
      <c r="AC18" s="191"/>
      <c r="AD18" s="191"/>
    </row>
    <row r="19" spans="3:30">
      <c r="C19" s="88"/>
      <c r="D19" s="88"/>
      <c r="E19" s="89"/>
      <c r="F19" s="88"/>
      <c r="G19" s="92"/>
      <c r="H19" s="88"/>
      <c r="I19" s="90"/>
      <c r="J19" s="88"/>
      <c r="K19" s="191"/>
      <c r="L19" s="191"/>
      <c r="M19" s="191"/>
      <c r="N19" s="191"/>
      <c r="O19" s="191"/>
      <c r="P19" s="191"/>
      <c r="Q19" s="191"/>
      <c r="AC19" s="191"/>
      <c r="AD19" s="191"/>
    </row>
    <row r="20" spans="3:30">
      <c r="C20" s="88"/>
      <c r="D20" s="88"/>
      <c r="E20" s="89"/>
      <c r="F20" s="88"/>
      <c r="G20" s="92"/>
      <c r="H20" s="88"/>
      <c r="I20" s="90"/>
      <c r="J20" s="88"/>
      <c r="K20" s="191"/>
      <c r="L20" s="191"/>
      <c r="M20" s="191"/>
      <c r="N20" s="191"/>
      <c r="O20" s="191"/>
      <c r="P20" s="191"/>
      <c r="Q20" s="191"/>
      <c r="AC20" s="191"/>
      <c r="AD20" s="191"/>
    </row>
    <row r="21" spans="3:30">
      <c r="C21" s="88"/>
      <c r="D21" s="88"/>
      <c r="E21" s="89"/>
      <c r="F21" s="88"/>
      <c r="G21" s="92"/>
      <c r="H21" s="88"/>
      <c r="I21" s="90"/>
      <c r="J21" s="88"/>
      <c r="K21" s="191"/>
      <c r="L21" s="191"/>
      <c r="M21" s="191"/>
      <c r="N21" s="191"/>
      <c r="O21" s="191"/>
      <c r="P21" s="191"/>
      <c r="Q21" s="191"/>
      <c r="AC21" s="191"/>
      <c r="AD21" s="191"/>
    </row>
    <row r="22" spans="3:30">
      <c r="C22" s="191"/>
      <c r="D22" s="191"/>
      <c r="E22" s="192"/>
      <c r="F22" s="191"/>
      <c r="G22" s="88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AC22" s="191"/>
      <c r="AD22" s="191"/>
    </row>
    <row r="23" spans="3:30">
      <c r="C23" s="191"/>
      <c r="D23" s="191"/>
      <c r="E23" s="192"/>
      <c r="F23" s="191"/>
      <c r="G23" s="88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AC23" s="191"/>
      <c r="AD23" s="191"/>
    </row>
    <row r="24" spans="3:30">
      <c r="C24" s="191"/>
      <c r="D24" s="191"/>
      <c r="E24" s="192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AC24" s="191"/>
      <c r="AD24" s="191"/>
    </row>
    <row r="25" spans="3:30">
      <c r="C25" s="88"/>
      <c r="D25" s="88"/>
      <c r="E25" s="89"/>
      <c r="F25" s="88"/>
      <c r="G25" s="92"/>
      <c r="H25" s="88"/>
      <c r="I25" s="90"/>
      <c r="J25" s="88"/>
      <c r="K25" s="191"/>
      <c r="L25" s="191"/>
      <c r="M25" s="191"/>
      <c r="N25" s="191"/>
      <c r="O25" s="191"/>
      <c r="P25" s="191"/>
      <c r="Q25" s="191"/>
      <c r="AC25" s="191"/>
      <c r="AD25" s="191"/>
    </row>
    <row r="26" spans="3:30">
      <c r="C26" s="88"/>
      <c r="D26" s="88"/>
      <c r="E26" s="89"/>
      <c r="F26" s="88"/>
      <c r="G26" s="88"/>
      <c r="H26" s="88"/>
      <c r="I26" s="90"/>
      <c r="J26" s="88"/>
      <c r="K26" s="191"/>
      <c r="L26" s="191"/>
      <c r="M26" s="191"/>
      <c r="N26" s="191"/>
      <c r="O26" s="191"/>
      <c r="P26" s="191"/>
      <c r="Q26" s="191"/>
      <c r="AC26" s="191"/>
      <c r="AD26" s="191"/>
    </row>
    <row r="27" spans="3:30">
      <c r="C27" s="88"/>
      <c r="D27" s="88"/>
      <c r="E27" s="89"/>
      <c r="F27" s="88"/>
      <c r="G27" s="88"/>
      <c r="H27" s="88"/>
      <c r="I27" s="90"/>
      <c r="J27" s="88"/>
      <c r="K27" s="191"/>
      <c r="L27" s="191"/>
      <c r="M27" s="191"/>
      <c r="N27" s="191"/>
      <c r="O27" s="191"/>
      <c r="P27" s="191"/>
      <c r="Q27" s="191"/>
      <c r="AC27" s="191"/>
      <c r="AD27" s="191"/>
    </row>
    <row r="28" spans="3:30">
      <c r="C28" s="88"/>
      <c r="D28" s="88"/>
      <c r="E28" s="89"/>
      <c r="F28" s="88"/>
      <c r="G28" s="90"/>
      <c r="H28" s="88"/>
      <c r="I28" s="191"/>
      <c r="J28" s="191"/>
      <c r="K28" s="191"/>
      <c r="L28" s="191"/>
      <c r="M28" s="191"/>
      <c r="N28" s="191"/>
      <c r="O28" s="191"/>
      <c r="P28" s="191"/>
      <c r="Q28" s="191"/>
      <c r="AC28" s="191"/>
      <c r="AD28" s="191"/>
    </row>
    <row r="29" spans="3:30">
      <c r="C29" s="88"/>
      <c r="D29" s="88"/>
      <c r="E29" s="89"/>
      <c r="F29" s="88"/>
      <c r="G29" s="90"/>
      <c r="H29" s="88"/>
      <c r="I29" s="191"/>
      <c r="J29" s="191"/>
      <c r="K29" s="191"/>
      <c r="L29" s="191"/>
      <c r="M29" s="191"/>
      <c r="N29" s="191"/>
      <c r="O29" s="191"/>
      <c r="P29" s="191"/>
      <c r="Q29" s="191"/>
      <c r="AC29" s="191"/>
      <c r="AD29" s="191"/>
    </row>
    <row r="30" spans="3:30">
      <c r="C30" s="88"/>
      <c r="D30" s="88"/>
      <c r="E30" s="89"/>
      <c r="F30" s="88"/>
      <c r="G30" s="90"/>
      <c r="H30" s="88"/>
      <c r="I30" s="191"/>
      <c r="J30" s="191"/>
      <c r="K30" s="191"/>
      <c r="L30" s="191"/>
      <c r="M30" s="191"/>
      <c r="N30" s="191"/>
      <c r="O30" s="191"/>
      <c r="P30" s="191"/>
      <c r="Q30" s="191"/>
      <c r="AC30" s="191"/>
      <c r="AD30" s="191"/>
    </row>
    <row r="31" spans="3:30">
      <c r="C31" s="88"/>
      <c r="D31" s="88"/>
      <c r="E31" s="89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AC31" s="191"/>
      <c r="AD31" s="191"/>
    </row>
    <row r="32" spans="3:30">
      <c r="C32" s="88"/>
      <c r="D32" s="88"/>
      <c r="E32" s="89"/>
      <c r="F32" s="88"/>
      <c r="G32" s="90"/>
      <c r="H32" s="88"/>
      <c r="I32" s="191"/>
      <c r="J32" s="191"/>
      <c r="K32" s="191"/>
      <c r="L32" s="191"/>
      <c r="M32" s="191"/>
      <c r="N32" s="191"/>
      <c r="O32" s="191"/>
      <c r="P32" s="191"/>
      <c r="Q32" s="191"/>
      <c r="AC32" s="191"/>
      <c r="AD32" s="191"/>
    </row>
    <row r="33" spans="3:30">
      <c r="C33" s="88"/>
      <c r="D33" s="88"/>
      <c r="E33" s="89"/>
      <c r="F33" s="88"/>
      <c r="G33" s="90"/>
      <c r="H33" s="88"/>
      <c r="I33" s="191"/>
      <c r="J33" s="191"/>
      <c r="K33" s="191"/>
      <c r="L33" s="191"/>
      <c r="M33" s="191"/>
      <c r="N33" s="191"/>
      <c r="O33" s="191"/>
      <c r="P33" s="191"/>
      <c r="Q33" s="191"/>
      <c r="AC33" s="191"/>
      <c r="AD33" s="191"/>
    </row>
    <row r="34" spans="3:30">
      <c r="C34" s="88"/>
      <c r="D34" s="88"/>
      <c r="E34" s="89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AC34" s="191"/>
      <c r="AD34" s="191"/>
    </row>
    <row r="35" spans="3:30">
      <c r="C35" s="191"/>
      <c r="D35" s="191"/>
      <c r="E35" s="19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AC35" s="191"/>
      <c r="AD35" s="191"/>
    </row>
    <row r="36" spans="3:30">
      <c r="C36" s="88"/>
      <c r="D36" s="88"/>
      <c r="E36" s="89"/>
      <c r="F36" s="88"/>
      <c r="G36" s="90"/>
      <c r="H36" s="88"/>
      <c r="I36" s="191"/>
      <c r="J36" s="191"/>
      <c r="K36" s="191"/>
      <c r="L36" s="191"/>
      <c r="M36" s="191"/>
      <c r="N36" s="191"/>
      <c r="O36" s="191"/>
      <c r="P36" s="191"/>
      <c r="Q36" s="191"/>
      <c r="AC36" s="191"/>
      <c r="AD36" s="191"/>
    </row>
    <row r="37" spans="3:30">
      <c r="C37" s="88"/>
      <c r="D37" s="88"/>
      <c r="E37" s="89"/>
      <c r="F37" s="88"/>
      <c r="G37" s="90"/>
      <c r="H37" s="88"/>
      <c r="I37" s="191"/>
      <c r="J37" s="191"/>
      <c r="K37" s="191"/>
      <c r="L37" s="191"/>
      <c r="M37" s="191"/>
      <c r="N37" s="191"/>
      <c r="O37" s="191"/>
      <c r="P37" s="191"/>
      <c r="Q37" s="191"/>
      <c r="AC37" s="191"/>
      <c r="AD37" s="191"/>
    </row>
    <row r="38" spans="3:30">
      <c r="C38" s="88"/>
      <c r="D38" s="88"/>
      <c r="E38" s="89"/>
      <c r="F38" s="88"/>
      <c r="G38" s="88"/>
      <c r="H38" s="88"/>
      <c r="I38" s="90"/>
      <c r="J38" s="88"/>
      <c r="K38" s="191"/>
      <c r="L38" s="191"/>
      <c r="M38" s="191"/>
      <c r="N38" s="191"/>
      <c r="O38" s="191"/>
      <c r="P38" s="191"/>
      <c r="Q38" s="191"/>
      <c r="AC38" s="191"/>
      <c r="AD38" s="191"/>
    </row>
    <row r="39" spans="3:30">
      <c r="C39" s="88"/>
      <c r="D39" s="88"/>
      <c r="E39" s="89"/>
      <c r="F39" s="88"/>
      <c r="G39" s="90"/>
      <c r="H39" s="88"/>
      <c r="I39" s="191"/>
      <c r="J39" s="191"/>
      <c r="K39" s="191"/>
      <c r="L39" s="191"/>
      <c r="M39" s="191"/>
      <c r="N39" s="191"/>
      <c r="O39" s="191"/>
      <c r="P39" s="191"/>
      <c r="Q39" s="191"/>
      <c r="AC39" s="191"/>
      <c r="AD39" s="191"/>
    </row>
    <row r="40" spans="3:30">
      <c r="C40" s="88"/>
      <c r="D40" s="88"/>
      <c r="E40" s="89"/>
      <c r="F40" s="88"/>
      <c r="G40" s="90"/>
      <c r="H40" s="88"/>
      <c r="I40" s="191"/>
      <c r="J40" s="191"/>
      <c r="K40" s="191"/>
      <c r="L40" s="191"/>
      <c r="M40" s="191"/>
      <c r="N40" s="191"/>
      <c r="O40" s="191"/>
      <c r="P40" s="191"/>
      <c r="Q40" s="191"/>
      <c r="AC40" s="191"/>
      <c r="AD40" s="191"/>
    </row>
    <row r="41" spans="3:30">
      <c r="C41" s="88"/>
      <c r="D41" s="88"/>
      <c r="E41" s="89"/>
      <c r="F41" s="88"/>
      <c r="G41" s="90"/>
      <c r="H41" s="88"/>
      <c r="I41" s="191"/>
      <c r="J41" s="191"/>
      <c r="K41" s="191"/>
      <c r="L41" s="191"/>
      <c r="M41" s="191"/>
      <c r="N41" s="191"/>
      <c r="O41" s="191"/>
      <c r="P41" s="191"/>
      <c r="Q41" s="191"/>
      <c r="AC41" s="191"/>
      <c r="AD41" s="191"/>
    </row>
    <row r="42" spans="3:30">
      <c r="C42" s="88"/>
      <c r="D42" s="88"/>
      <c r="E42" s="89"/>
      <c r="F42" s="88"/>
      <c r="G42" s="90"/>
      <c r="H42" s="88"/>
      <c r="I42" s="191"/>
      <c r="J42" s="191"/>
      <c r="K42" s="191"/>
      <c r="L42" s="191"/>
      <c r="M42" s="191"/>
      <c r="N42" s="191"/>
      <c r="O42" s="191"/>
      <c r="P42" s="191"/>
      <c r="Q42" s="191"/>
      <c r="AC42" s="191"/>
      <c r="AD42" s="191"/>
    </row>
    <row r="43" spans="3:30">
      <c r="C43" s="88"/>
      <c r="D43" s="88"/>
      <c r="E43" s="89"/>
      <c r="F43" s="88"/>
      <c r="G43" s="90"/>
      <c r="H43" s="88"/>
      <c r="I43" s="191"/>
      <c r="J43" s="191"/>
      <c r="K43" s="191"/>
      <c r="L43" s="191"/>
      <c r="M43" s="191"/>
      <c r="N43" s="191"/>
      <c r="O43" s="191"/>
      <c r="P43" s="191"/>
      <c r="Q43" s="191"/>
      <c r="AC43" s="191"/>
      <c r="AD43" s="191"/>
    </row>
    <row r="44" spans="3:30">
      <c r="C44" s="88"/>
      <c r="D44" s="88"/>
      <c r="E44" s="89"/>
      <c r="F44" s="88"/>
      <c r="G44" s="90"/>
      <c r="H44" s="88"/>
      <c r="I44" s="191"/>
      <c r="J44" s="191"/>
      <c r="K44" s="191"/>
      <c r="L44" s="191"/>
      <c r="M44" s="191"/>
      <c r="N44" s="191"/>
      <c r="O44" s="191"/>
      <c r="P44" s="191"/>
      <c r="Q44" s="191"/>
      <c r="AC44" s="191"/>
      <c r="AD44" s="191"/>
    </row>
    <row r="45" spans="3:30">
      <c r="C45" s="88"/>
      <c r="D45" s="88"/>
      <c r="E45" s="89"/>
      <c r="F45" s="88"/>
      <c r="G45" s="88"/>
      <c r="H45" s="88"/>
      <c r="I45" s="90"/>
      <c r="J45" s="88"/>
      <c r="K45" s="191"/>
      <c r="L45" s="191"/>
      <c r="M45" s="191"/>
      <c r="N45" s="191"/>
      <c r="O45" s="191"/>
      <c r="P45" s="191"/>
      <c r="Q45" s="191"/>
      <c r="AC45" s="191"/>
      <c r="AD45" s="191"/>
    </row>
    <row r="46" spans="3:30">
      <c r="C46" s="88"/>
      <c r="D46" s="88"/>
      <c r="E46" s="89"/>
      <c r="F46" s="88"/>
      <c r="G46" s="88"/>
      <c r="H46" s="90"/>
      <c r="I46" s="90"/>
      <c r="J46" s="88"/>
      <c r="K46" s="191"/>
      <c r="L46" s="191"/>
      <c r="M46" s="191"/>
      <c r="N46" s="191"/>
      <c r="O46" s="191"/>
      <c r="P46" s="191"/>
      <c r="Q46" s="191"/>
      <c r="AC46" s="191"/>
      <c r="AD46" s="191"/>
    </row>
    <row r="47" spans="3:30">
      <c r="C47" s="88"/>
      <c r="D47" s="88"/>
      <c r="E47" s="89"/>
      <c r="F47" s="88"/>
      <c r="G47" s="88"/>
      <c r="H47" s="88"/>
      <c r="I47" s="90"/>
      <c r="J47" s="88"/>
      <c r="K47" s="191"/>
      <c r="L47" s="191"/>
      <c r="M47" s="191"/>
      <c r="N47" s="191"/>
      <c r="O47" s="191"/>
      <c r="P47" s="191"/>
      <c r="Q47" s="191"/>
      <c r="AC47" s="191"/>
      <c r="AD47" s="191"/>
    </row>
    <row r="48" spans="3:30">
      <c r="C48" s="88"/>
      <c r="D48" s="88"/>
      <c r="E48" s="89"/>
      <c r="F48" s="88"/>
      <c r="G48" s="90"/>
      <c r="H48" s="88"/>
      <c r="I48" s="90"/>
      <c r="J48" s="88"/>
      <c r="K48" s="191"/>
      <c r="L48" s="191"/>
      <c r="M48" s="191"/>
      <c r="N48" s="191"/>
      <c r="O48" s="191"/>
      <c r="P48" s="191"/>
      <c r="Q48" s="191"/>
      <c r="AC48" s="191"/>
      <c r="AD48" s="191"/>
    </row>
    <row r="49" spans="1:30">
      <c r="C49" s="191"/>
      <c r="D49" s="191"/>
      <c r="E49" s="192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AC49" s="191"/>
      <c r="AD49" s="191"/>
    </row>
    <row r="50" spans="1:30">
      <c r="C50" s="191"/>
      <c r="D50" s="191"/>
      <c r="E50" s="192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AC50" s="191"/>
      <c r="AD50" s="191"/>
    </row>
    <row r="51" spans="1:30">
      <c r="C51" s="191"/>
      <c r="D51" s="191"/>
      <c r="E51" s="192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AC51" s="191"/>
      <c r="AD51" s="191"/>
    </row>
    <row r="52" spans="1:30">
      <c r="C52" s="88"/>
      <c r="D52" s="88"/>
      <c r="E52" s="89"/>
      <c r="F52" s="88"/>
      <c r="G52" s="90"/>
      <c r="H52" s="88"/>
      <c r="I52" s="191"/>
      <c r="J52" s="191"/>
      <c r="K52" s="191"/>
      <c r="L52" s="191"/>
      <c r="M52" s="191"/>
      <c r="N52" s="191"/>
      <c r="O52" s="191"/>
      <c r="P52" s="191"/>
      <c r="Q52" s="191"/>
      <c r="AC52" s="191"/>
      <c r="AD52" s="191"/>
    </row>
    <row r="53" spans="1:30">
      <c r="C53" s="88"/>
      <c r="D53" s="88"/>
      <c r="E53" s="89"/>
      <c r="F53" s="88"/>
      <c r="G53" s="92"/>
      <c r="H53" s="88"/>
      <c r="I53" s="90"/>
      <c r="J53" s="88"/>
      <c r="K53" s="191"/>
      <c r="L53" s="191"/>
      <c r="M53" s="191"/>
      <c r="N53" s="191"/>
      <c r="O53" s="191"/>
      <c r="P53" s="191"/>
      <c r="Q53" s="191"/>
      <c r="AC53" s="191"/>
      <c r="AD53" s="191"/>
    </row>
    <row r="54" spans="1:30">
      <c r="C54" s="88"/>
      <c r="D54" s="88"/>
      <c r="E54" s="89"/>
      <c r="F54" s="88"/>
      <c r="G54" s="92"/>
      <c r="H54" s="88"/>
      <c r="I54" s="90"/>
      <c r="J54" s="88"/>
      <c r="K54" s="191"/>
      <c r="L54" s="191"/>
      <c r="M54" s="191"/>
      <c r="N54" s="191"/>
      <c r="O54" s="191"/>
      <c r="P54" s="191"/>
      <c r="Q54" s="191"/>
      <c r="AC54" s="191"/>
      <c r="AD54" s="191"/>
    </row>
    <row r="55" spans="1:30">
      <c r="A55" s="36"/>
      <c r="C55" s="88"/>
      <c r="D55" s="88"/>
      <c r="E55" s="89"/>
      <c r="F55" s="88"/>
      <c r="G55" s="92"/>
      <c r="H55" s="88"/>
      <c r="I55" s="90"/>
      <c r="J55" s="88"/>
      <c r="K55" s="191"/>
      <c r="L55" s="191"/>
      <c r="M55" s="191"/>
      <c r="N55" s="191"/>
      <c r="O55" s="191"/>
      <c r="P55" s="191"/>
      <c r="Q55" s="191"/>
      <c r="AC55" s="191"/>
      <c r="AD55" s="191"/>
    </row>
    <row r="56" spans="1:30">
      <c r="A56" s="36"/>
      <c r="C56" s="88"/>
      <c r="D56" s="88"/>
      <c r="E56" s="89"/>
      <c r="F56" s="88"/>
      <c r="G56" s="92"/>
      <c r="H56" s="88"/>
      <c r="I56" s="90"/>
      <c r="J56" s="88"/>
      <c r="K56" s="191"/>
      <c r="L56" s="191"/>
      <c r="M56" s="191"/>
      <c r="N56" s="191"/>
      <c r="O56" s="191"/>
      <c r="P56" s="191"/>
      <c r="Q56" s="191"/>
      <c r="AC56" s="191"/>
      <c r="AD56" s="191"/>
    </row>
    <row r="57" spans="1:30">
      <c r="A57" s="193"/>
      <c r="C57" s="191"/>
      <c r="D57" s="191"/>
      <c r="E57" s="192"/>
      <c r="F57" s="191"/>
      <c r="G57" s="194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AC57" s="191"/>
      <c r="AD57" s="191"/>
    </row>
    <row r="58" spans="1:30">
      <c r="C58" s="191"/>
      <c r="D58" s="191"/>
      <c r="E58" s="192"/>
      <c r="F58" s="191"/>
      <c r="G58" s="194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AC58" s="191"/>
      <c r="AD58" s="191"/>
    </row>
    <row r="59" spans="1:30">
      <c r="C59" s="88"/>
      <c r="D59" s="88"/>
      <c r="E59" s="89"/>
      <c r="F59" s="88"/>
      <c r="G59" s="92"/>
      <c r="H59" s="88"/>
      <c r="I59" s="90"/>
      <c r="J59" s="88"/>
      <c r="K59" s="191"/>
      <c r="L59" s="191"/>
      <c r="M59" s="191"/>
      <c r="N59" s="191"/>
      <c r="O59" s="191"/>
      <c r="P59" s="191"/>
      <c r="Q59" s="191"/>
      <c r="AC59" s="191"/>
      <c r="AD59" s="191"/>
    </row>
    <row r="60" spans="1:30">
      <c r="C60" s="88"/>
      <c r="D60" s="88"/>
      <c r="E60" s="89"/>
      <c r="F60" s="88"/>
      <c r="G60" s="92"/>
      <c r="H60" s="88"/>
      <c r="I60" s="90"/>
      <c r="J60" s="88"/>
      <c r="K60" s="191"/>
      <c r="L60" s="191"/>
      <c r="M60" s="191"/>
      <c r="N60" s="191"/>
      <c r="O60" s="191"/>
      <c r="P60" s="191"/>
      <c r="Q60" s="191"/>
      <c r="AC60" s="191"/>
      <c r="AD60" s="191"/>
    </row>
    <row r="61" spans="1:30">
      <c r="C61" s="88"/>
      <c r="D61" s="88"/>
      <c r="E61" s="89"/>
      <c r="F61" s="88"/>
      <c r="G61" s="92"/>
      <c r="H61" s="88"/>
      <c r="I61" s="90"/>
      <c r="J61" s="88"/>
      <c r="K61" s="191"/>
      <c r="L61" s="191"/>
      <c r="M61" s="191"/>
      <c r="N61" s="191"/>
      <c r="O61" s="191"/>
      <c r="P61" s="191"/>
      <c r="Q61" s="191"/>
      <c r="AC61" s="191"/>
      <c r="AD61" s="191"/>
    </row>
    <row r="62" spans="1:30">
      <c r="A62" s="36"/>
      <c r="C62" s="88"/>
      <c r="D62" s="88"/>
      <c r="E62" s="89"/>
      <c r="F62" s="88"/>
      <c r="G62" s="92"/>
      <c r="H62" s="88"/>
      <c r="I62" s="90"/>
      <c r="J62" s="88"/>
      <c r="K62" s="191"/>
      <c r="L62" s="191"/>
      <c r="M62" s="191"/>
      <c r="N62" s="191"/>
      <c r="O62" s="191"/>
      <c r="P62" s="191"/>
      <c r="Q62" s="191"/>
      <c r="AC62" s="191"/>
      <c r="AD62" s="191"/>
    </row>
    <row r="63" spans="1:30">
      <c r="A63" s="36"/>
      <c r="C63" s="88"/>
      <c r="D63" s="88"/>
      <c r="E63" s="89"/>
      <c r="F63" s="88"/>
      <c r="G63" s="92"/>
      <c r="H63" s="88"/>
      <c r="I63" s="90"/>
      <c r="J63" s="88"/>
      <c r="K63" s="191"/>
      <c r="L63" s="191"/>
      <c r="M63" s="191"/>
      <c r="N63" s="191"/>
      <c r="O63" s="191"/>
      <c r="P63" s="191"/>
      <c r="Q63" s="191"/>
      <c r="AC63" s="191"/>
      <c r="AD63" s="191"/>
    </row>
    <row r="64" spans="1:30">
      <c r="C64" s="88"/>
      <c r="D64" s="88"/>
      <c r="E64" s="89"/>
      <c r="F64" s="88"/>
      <c r="G64" s="90"/>
      <c r="H64" s="88"/>
      <c r="I64" s="191"/>
      <c r="J64" s="191"/>
      <c r="K64" s="191"/>
      <c r="L64" s="191"/>
      <c r="M64" s="191"/>
      <c r="N64" s="191"/>
      <c r="O64" s="191"/>
      <c r="P64" s="191"/>
      <c r="Q64" s="191"/>
      <c r="AC64" s="191"/>
      <c r="AD64" s="191"/>
    </row>
    <row r="65" spans="1:30">
      <c r="A65" s="36"/>
      <c r="C65" s="88"/>
      <c r="D65" s="88"/>
      <c r="E65" s="89"/>
      <c r="F65" s="88"/>
      <c r="G65" s="90"/>
      <c r="H65" s="88"/>
      <c r="I65" s="191"/>
      <c r="J65" s="191"/>
      <c r="K65" s="191"/>
      <c r="L65" s="191"/>
      <c r="M65" s="191"/>
      <c r="N65" s="191"/>
      <c r="O65" s="191"/>
      <c r="P65" s="191"/>
      <c r="Q65" s="191"/>
      <c r="AC65" s="191"/>
      <c r="AD65" s="191"/>
    </row>
    <row r="66" spans="1:30">
      <c r="C66" s="191"/>
      <c r="D66" s="191"/>
      <c r="E66" s="192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AC66" s="191"/>
      <c r="AD66" s="191"/>
    </row>
    <row r="67" spans="1:30">
      <c r="C67" s="191"/>
      <c r="D67" s="191"/>
      <c r="E67" s="192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AC67" s="191"/>
      <c r="AD67" s="191"/>
    </row>
    <row r="68" spans="1:30">
      <c r="A68" s="36"/>
      <c r="C68" s="191"/>
      <c r="D68" s="88"/>
      <c r="E68" s="192"/>
      <c r="F68" s="88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AC68" s="191"/>
      <c r="AD68" s="191"/>
    </row>
    <row r="69" spans="1:30">
      <c r="C69" s="191"/>
      <c r="D69" s="191"/>
      <c r="E69" s="192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AC69" s="191"/>
      <c r="AD69" s="191"/>
    </row>
    <row r="70" spans="1:30">
      <c r="C70" s="191"/>
      <c r="D70" s="191"/>
      <c r="E70" s="192"/>
      <c r="F70" s="191"/>
      <c r="G70" s="191"/>
      <c r="H70" s="191"/>
      <c r="I70" s="191"/>
      <c r="J70" s="191"/>
      <c r="K70" s="191"/>
      <c r="L70" s="191"/>
      <c r="M70" s="191"/>
      <c r="N70" s="191"/>
    </row>
    <row r="71" spans="1:30">
      <c r="C71" s="191"/>
      <c r="D71" s="191"/>
      <c r="E71" s="192"/>
      <c r="F71" s="191"/>
      <c r="G71" s="191"/>
      <c r="H71" s="191"/>
      <c r="I71" s="191"/>
      <c r="J71" s="191"/>
      <c r="K71" s="191"/>
      <c r="L71" s="191"/>
      <c r="M71" s="191"/>
      <c r="N71" s="191"/>
    </row>
    <row r="72" spans="1:30">
      <c r="C72" s="191"/>
      <c r="D72" s="88"/>
      <c r="E72" s="89"/>
      <c r="F72" s="88"/>
      <c r="G72" s="191"/>
      <c r="H72" s="191"/>
      <c r="I72" s="191"/>
      <c r="J72" s="191"/>
      <c r="K72" s="191"/>
      <c r="L72" s="191"/>
      <c r="M72" s="191"/>
      <c r="N72" s="191"/>
    </row>
    <row r="73" spans="1:30">
      <c r="C73" s="191"/>
      <c r="D73" s="88"/>
      <c r="E73" s="89"/>
      <c r="F73" s="88"/>
      <c r="G73" s="191"/>
      <c r="H73" s="191"/>
      <c r="I73" s="191"/>
      <c r="J73" s="191"/>
      <c r="K73" s="191"/>
      <c r="L73" s="191"/>
      <c r="M73" s="191"/>
      <c r="N73" s="191"/>
    </row>
    <row r="74" spans="1:30">
      <c r="C74" s="191"/>
      <c r="D74" s="88"/>
      <c r="E74" s="89"/>
      <c r="F74" s="88"/>
      <c r="G74" s="191"/>
      <c r="H74" s="191"/>
      <c r="I74" s="191"/>
      <c r="J74" s="191"/>
      <c r="K74" s="191"/>
      <c r="L74" s="191"/>
      <c r="M74" s="191"/>
      <c r="N74" s="191"/>
    </row>
    <row r="75" spans="1:30">
      <c r="C75" s="191"/>
      <c r="D75" s="191"/>
      <c r="E75" s="192"/>
      <c r="F75" s="191"/>
      <c r="G75" s="191"/>
      <c r="H75" s="191"/>
      <c r="I75" s="191"/>
      <c r="J75" s="191"/>
      <c r="K75" s="191"/>
      <c r="L75" s="191"/>
      <c r="M75" s="191"/>
      <c r="N75" s="191"/>
    </row>
    <row r="76" spans="1:30">
      <c r="C76" s="88"/>
      <c r="D76" s="88"/>
      <c r="E76" s="89"/>
      <c r="F76" s="88"/>
      <c r="G76" s="88"/>
      <c r="H76" s="90"/>
      <c r="I76" s="88"/>
      <c r="J76" s="191"/>
      <c r="K76" s="191"/>
      <c r="L76" s="191"/>
      <c r="M76" s="191"/>
      <c r="N76" s="191"/>
    </row>
    <row r="77" spans="1:30">
      <c r="C77" s="88"/>
      <c r="D77" s="88"/>
      <c r="E77" s="89"/>
      <c r="F77" s="88"/>
      <c r="G77" s="90"/>
      <c r="H77" s="88"/>
      <c r="I77" s="191"/>
      <c r="J77" s="191"/>
      <c r="K77" s="191"/>
      <c r="L77" s="191"/>
      <c r="M77" s="191"/>
      <c r="N77" s="191"/>
    </row>
    <row r="78" spans="1:30">
      <c r="C78" s="191"/>
      <c r="D78" s="191"/>
      <c r="E78" s="192"/>
      <c r="F78" s="191"/>
      <c r="G78" s="191"/>
      <c r="H78" s="191"/>
      <c r="I78" s="191"/>
      <c r="J78" s="191"/>
      <c r="K78" s="191"/>
      <c r="L78" s="191"/>
      <c r="M78" s="191"/>
      <c r="N78" s="191"/>
    </row>
    <row r="79" spans="1:30">
      <c r="C79" s="191"/>
      <c r="D79" s="191"/>
      <c r="E79" s="192"/>
      <c r="F79" s="191"/>
      <c r="G79" s="191"/>
      <c r="H79" s="191"/>
      <c r="I79" s="191"/>
      <c r="J79" s="191"/>
      <c r="K79" s="191"/>
      <c r="L79" s="191"/>
      <c r="M79" s="191"/>
      <c r="N79" s="191"/>
    </row>
    <row r="80" spans="1:30">
      <c r="C80" s="191"/>
      <c r="D80" s="191"/>
      <c r="E80" s="192"/>
      <c r="F80" s="191"/>
      <c r="G80" s="191"/>
      <c r="H80" s="191"/>
      <c r="I80" s="191"/>
      <c r="J80" s="191"/>
      <c r="K80" s="191"/>
      <c r="L80" s="191"/>
      <c r="M80" s="191"/>
      <c r="N80" s="191"/>
    </row>
    <row r="81" spans="3:6" ht="15.75">
      <c r="C81" s="94"/>
      <c r="D81" s="94"/>
      <c r="E81" s="192"/>
      <c r="F81" s="191"/>
    </row>
    <row r="82" spans="3:6">
      <c r="D82" s="190"/>
      <c r="E82" s="191"/>
      <c r="F82" s="191"/>
    </row>
    <row r="83" spans="3:6" ht="15.75">
      <c r="D83" s="94"/>
      <c r="E83" s="94"/>
      <c r="F83" s="191"/>
    </row>
    <row r="84" spans="3:6" ht="15.75">
      <c r="D84" s="94"/>
      <c r="E84" s="94"/>
      <c r="F84" s="191"/>
    </row>
    <row r="85" spans="3:6" ht="15.75">
      <c r="D85" s="94"/>
      <c r="E85" s="94"/>
      <c r="F85" s="191"/>
    </row>
    <row r="86" spans="3:6" ht="15.75">
      <c r="D86" s="94"/>
      <c r="E86" s="94"/>
      <c r="F86" s="191"/>
    </row>
    <row r="87" spans="3:6" ht="15.75">
      <c r="D87" s="94"/>
      <c r="E87" s="94"/>
      <c r="F87" s="191"/>
    </row>
    <row r="88" spans="3:6" ht="15.75">
      <c r="D88" s="94"/>
      <c r="E88" s="94"/>
      <c r="F88" s="191"/>
    </row>
    <row r="89" spans="3:6">
      <c r="D89" s="190"/>
      <c r="E89" s="191"/>
      <c r="F89" s="191"/>
    </row>
    <row r="90" spans="3:6">
      <c r="C90" s="88"/>
      <c r="D90" s="195"/>
      <c r="E90" s="191"/>
      <c r="F90" s="191"/>
    </row>
    <row r="91" spans="3:6">
      <c r="E91" s="191"/>
      <c r="F91" s="191"/>
    </row>
    <row r="92" spans="3:6">
      <c r="C92" s="196"/>
      <c r="D92" s="195"/>
      <c r="E92" s="191"/>
      <c r="F92" s="191"/>
    </row>
    <row r="93" spans="3:6">
      <c r="D93" s="190"/>
      <c r="E93" s="191"/>
      <c r="F93" s="191"/>
    </row>
    <row r="94" spans="3:6">
      <c r="D94" s="190"/>
      <c r="E94" s="191"/>
      <c r="F94" s="191"/>
    </row>
    <row r="95" spans="3:6">
      <c r="D95" s="190"/>
      <c r="E95" s="191"/>
      <c r="F95" s="191"/>
    </row>
    <row r="96" spans="3:6">
      <c r="D96" s="190"/>
      <c r="E96" s="191"/>
      <c r="F96" s="191"/>
    </row>
    <row r="97" spans="1:9">
      <c r="A97" s="36"/>
      <c r="C97" s="88"/>
      <c r="D97" s="88"/>
      <c r="E97" s="89"/>
      <c r="F97" s="88"/>
      <c r="G97" s="92"/>
      <c r="H97" s="90"/>
      <c r="I97" s="88"/>
    </row>
    <row r="98" spans="1:9">
      <c r="A98" s="36"/>
      <c r="C98" s="88"/>
      <c r="D98" s="88"/>
      <c r="E98" s="89"/>
      <c r="F98" s="88"/>
      <c r="G98" s="90"/>
      <c r="H98" s="88"/>
      <c r="I98" s="191"/>
    </row>
    <row r="99" spans="1:9">
      <c r="A99" s="36"/>
      <c r="C99" s="88"/>
      <c r="D99" s="88"/>
      <c r="E99" s="97"/>
      <c r="F99" s="88"/>
      <c r="G99" s="90"/>
      <c r="H99" s="88"/>
      <c r="I99" s="191"/>
    </row>
    <row r="100" spans="1:9">
      <c r="A100" s="36"/>
      <c r="C100" s="88"/>
      <c r="D100" s="88"/>
      <c r="E100" s="89"/>
      <c r="F100" s="88"/>
      <c r="G100" s="88"/>
      <c r="H100" s="88"/>
      <c r="I100" s="191"/>
    </row>
    <row r="101" spans="1:9">
      <c r="A101" s="36"/>
      <c r="C101" s="88"/>
      <c r="D101" s="88"/>
      <c r="E101" s="89"/>
      <c r="F101" s="88"/>
      <c r="G101" s="90"/>
      <c r="H101" s="88"/>
      <c r="I101" s="191"/>
    </row>
    <row r="102" spans="1:9">
      <c r="A102" s="36"/>
      <c r="C102" s="88"/>
      <c r="D102" s="88"/>
      <c r="E102" s="89"/>
      <c r="F102" s="88"/>
      <c r="G102" s="90"/>
      <c r="H102" s="88"/>
      <c r="I102" s="191"/>
    </row>
    <row r="103" spans="1:9">
      <c r="A103" s="36"/>
      <c r="C103" s="88"/>
      <c r="D103" s="88"/>
      <c r="E103" s="89"/>
      <c r="F103" s="88"/>
      <c r="G103" s="90"/>
      <c r="H103" s="88"/>
      <c r="I103" s="191"/>
    </row>
    <row r="104" spans="1:9">
      <c r="A104" s="36"/>
      <c r="C104" s="88"/>
      <c r="D104" s="88"/>
      <c r="E104" s="89"/>
      <c r="F104" s="88"/>
      <c r="G104" s="90"/>
      <c r="H104" s="88"/>
      <c r="I104" s="191"/>
    </row>
    <row r="105" spans="1:9">
      <c r="A105" s="36"/>
      <c r="C105" s="88"/>
      <c r="D105" s="88"/>
      <c r="E105" s="89"/>
      <c r="F105" s="88"/>
      <c r="G105" s="90"/>
      <c r="H105" s="88"/>
      <c r="I105" s="191"/>
    </row>
    <row r="106" spans="1:9">
      <c r="A106" s="36"/>
      <c r="C106" s="88"/>
      <c r="D106" s="88"/>
      <c r="E106" s="89"/>
      <c r="F106" s="88"/>
      <c r="G106" s="90"/>
      <c r="H106" s="88"/>
      <c r="I106" s="191"/>
    </row>
    <row r="107" spans="1:9">
      <c r="A107" s="36"/>
      <c r="C107" s="88"/>
      <c r="D107" s="88"/>
      <c r="E107" s="89"/>
      <c r="F107" s="88"/>
      <c r="G107" s="90"/>
      <c r="H107" s="88"/>
      <c r="I107" s="191"/>
    </row>
    <row r="108" spans="1:9">
      <c r="A108" s="36"/>
      <c r="C108" s="88"/>
      <c r="D108" s="88"/>
      <c r="E108" s="89"/>
      <c r="F108" s="88"/>
      <c r="G108" s="92"/>
      <c r="H108" s="90"/>
      <c r="I108" s="88"/>
    </row>
    <row r="109" spans="1:9">
      <c r="A109" s="36"/>
      <c r="C109" s="88"/>
      <c r="D109" s="88"/>
      <c r="E109" s="89"/>
      <c r="F109" s="88"/>
      <c r="G109" s="92"/>
      <c r="H109" s="90"/>
      <c r="I109" s="88"/>
    </row>
    <row r="110" spans="1:9">
      <c r="A110" s="36"/>
      <c r="C110" s="88"/>
      <c r="D110" s="88"/>
      <c r="E110" s="89"/>
      <c r="F110" s="88"/>
      <c r="G110" s="90"/>
      <c r="H110" s="88"/>
      <c r="I110" s="191"/>
    </row>
    <row r="111" spans="1:9">
      <c r="A111" s="36"/>
      <c r="C111" s="88"/>
      <c r="D111" s="88"/>
      <c r="E111" s="89"/>
      <c r="F111" s="88"/>
      <c r="G111" s="90"/>
      <c r="H111" s="88"/>
      <c r="I111" s="191"/>
    </row>
    <row r="112" spans="1:9">
      <c r="A112" s="36"/>
      <c r="C112" s="88"/>
      <c r="D112" s="88"/>
      <c r="E112" s="89"/>
      <c r="F112" s="88"/>
      <c r="G112" s="90"/>
      <c r="H112" s="88"/>
      <c r="I112" s="191"/>
    </row>
    <row r="113" spans="1:9">
      <c r="A113" s="36"/>
      <c r="C113" s="88"/>
      <c r="D113" s="88"/>
      <c r="E113" s="89"/>
      <c r="F113" s="88"/>
      <c r="G113" s="90"/>
      <c r="H113" s="88"/>
      <c r="I113" s="191"/>
    </row>
    <row r="114" spans="1:9">
      <c r="A114" s="36"/>
      <c r="C114" s="88"/>
      <c r="D114" s="88"/>
      <c r="E114" s="89"/>
      <c r="F114" s="88"/>
      <c r="G114" s="90"/>
      <c r="H114" s="88"/>
      <c r="I114" s="191"/>
    </row>
    <row r="115" spans="1:9">
      <c r="A115" s="36"/>
      <c r="C115" s="88"/>
      <c r="D115" s="88"/>
      <c r="E115" s="89"/>
      <c r="F115" s="88"/>
      <c r="G115" s="90"/>
      <c r="H115" s="88"/>
      <c r="I115" s="191"/>
    </row>
    <row r="116" spans="1:9">
      <c r="A116" s="36"/>
      <c r="C116" s="88"/>
      <c r="D116" s="88"/>
      <c r="E116" s="98"/>
      <c r="F116" s="88"/>
      <c r="G116" s="90"/>
      <c r="H116" s="88"/>
      <c r="I116" s="191"/>
    </row>
    <row r="117" spans="1:9">
      <c r="A117" s="197"/>
      <c r="C117" s="191"/>
      <c r="D117" s="191"/>
      <c r="E117" s="192"/>
      <c r="F117" s="191"/>
      <c r="G117" s="191"/>
      <c r="H117" s="191"/>
      <c r="I117" s="191"/>
    </row>
    <row r="118" spans="1:9">
      <c r="A118" s="36"/>
      <c r="C118" s="191"/>
      <c r="D118" s="191"/>
      <c r="E118" s="192"/>
      <c r="F118" s="191"/>
      <c r="G118" s="191"/>
      <c r="H118" s="191"/>
      <c r="I118" s="191"/>
    </row>
    <row r="119" spans="1:9">
      <c r="A119" s="36"/>
      <c r="C119" s="88"/>
      <c r="D119" s="88"/>
      <c r="E119" s="89"/>
      <c r="F119" s="88"/>
      <c r="G119" s="90"/>
      <c r="H119" s="88"/>
      <c r="I119" s="191"/>
    </row>
    <row r="120" spans="1:9">
      <c r="A120" s="36"/>
      <c r="C120" s="88"/>
      <c r="D120" s="88"/>
      <c r="E120" s="89"/>
      <c r="F120" s="88"/>
      <c r="G120" s="90"/>
      <c r="H120" s="88"/>
      <c r="I120" s="191"/>
    </row>
    <row r="121" spans="1:9">
      <c r="A121" s="36"/>
      <c r="C121" s="88"/>
      <c r="D121" s="88"/>
      <c r="E121" s="89"/>
      <c r="F121" s="88"/>
      <c r="G121" s="90"/>
      <c r="H121" s="88"/>
      <c r="I121" s="191"/>
    </row>
    <row r="122" spans="1:9">
      <c r="A122" s="36"/>
      <c r="C122" s="88"/>
      <c r="D122" s="88"/>
      <c r="E122" s="89"/>
      <c r="F122" s="88"/>
      <c r="G122" s="90"/>
      <c r="H122" s="88"/>
      <c r="I122" s="191"/>
    </row>
    <row r="123" spans="1:9">
      <c r="A123" s="36"/>
      <c r="C123" s="88"/>
      <c r="D123" s="88"/>
      <c r="E123" s="89"/>
      <c r="F123" s="88"/>
      <c r="G123" s="90"/>
      <c r="H123" s="88"/>
      <c r="I123" s="191"/>
    </row>
    <row r="124" spans="1:9">
      <c r="A124" s="36"/>
      <c r="C124" s="88"/>
      <c r="D124" s="88"/>
      <c r="E124" s="89"/>
      <c r="F124" s="88"/>
      <c r="G124" s="90"/>
      <c r="H124" s="88"/>
      <c r="I124" s="191"/>
    </row>
    <row r="125" spans="1:9">
      <c r="A125" s="36"/>
      <c r="C125" s="88"/>
      <c r="D125" s="88"/>
      <c r="E125" s="89"/>
      <c r="F125" s="88"/>
      <c r="G125" s="90"/>
      <c r="H125" s="88"/>
      <c r="I125" s="191"/>
    </row>
    <row r="126" spans="1:9">
      <c r="A126" s="36"/>
      <c r="C126" s="88"/>
      <c r="D126" s="88"/>
      <c r="E126" s="89"/>
      <c r="F126" s="88"/>
      <c r="G126" s="90"/>
      <c r="H126" s="88"/>
      <c r="I126" s="191"/>
    </row>
    <row r="127" spans="1:9">
      <c r="A127" s="36"/>
      <c r="C127" s="88"/>
      <c r="D127" s="88"/>
      <c r="E127" s="89"/>
      <c r="F127" s="88"/>
      <c r="G127" s="90"/>
      <c r="H127" s="88"/>
      <c r="I127" s="191"/>
    </row>
    <row r="128" spans="1:9">
      <c r="A128" s="36"/>
      <c r="C128" s="88"/>
      <c r="D128" s="88"/>
      <c r="E128" s="89"/>
      <c r="F128" s="88"/>
      <c r="G128" s="92"/>
      <c r="H128" s="90"/>
      <c r="I128" s="88"/>
    </row>
    <row r="129" spans="1:9">
      <c r="A129" s="36"/>
      <c r="C129" s="88"/>
      <c r="D129" s="88"/>
      <c r="E129" s="89"/>
      <c r="F129" s="88"/>
      <c r="G129" s="92"/>
      <c r="H129" s="90"/>
      <c r="I129" s="88"/>
    </row>
    <row r="130" spans="1:9">
      <c r="A130" s="36"/>
      <c r="C130" s="88"/>
      <c r="D130" s="88"/>
      <c r="E130" s="89"/>
      <c r="F130" s="88"/>
      <c r="G130" s="92"/>
      <c r="H130" s="90"/>
      <c r="I130" s="88"/>
    </row>
    <row r="131" spans="1:9">
      <c r="A131" s="36"/>
      <c r="C131" s="88"/>
      <c r="D131" s="88"/>
      <c r="E131" s="89"/>
      <c r="F131" s="88"/>
      <c r="G131" s="90"/>
      <c r="H131" s="88"/>
      <c r="I131" s="191"/>
    </row>
    <row r="132" spans="1:9">
      <c r="A132" s="36"/>
      <c r="C132" s="88"/>
      <c r="D132" s="88"/>
      <c r="E132" s="89"/>
      <c r="F132" s="88"/>
      <c r="G132" s="90"/>
      <c r="H132" s="88"/>
      <c r="I132" s="191"/>
    </row>
    <row r="133" spans="1:9">
      <c r="A133" s="36"/>
      <c r="C133" s="191"/>
      <c r="D133" s="191"/>
      <c r="E133" s="192"/>
      <c r="F133" s="191"/>
      <c r="G133" s="191"/>
      <c r="H133" s="191"/>
      <c r="I133" s="191"/>
    </row>
    <row r="134" spans="1:9">
      <c r="A134" s="36"/>
      <c r="C134" s="88"/>
      <c r="D134" s="88"/>
      <c r="E134" s="97"/>
      <c r="F134" s="88"/>
      <c r="G134" s="90"/>
      <c r="H134" s="88"/>
      <c r="I134" s="191"/>
    </row>
    <row r="135" spans="1:9">
      <c r="A135" s="36"/>
      <c r="C135" s="191"/>
      <c r="D135" s="191"/>
      <c r="E135" s="192"/>
      <c r="F135" s="191"/>
      <c r="G135" s="191"/>
      <c r="H135" s="191"/>
      <c r="I135" s="191"/>
    </row>
    <row r="136" spans="1:9">
      <c r="A136" s="36"/>
      <c r="C136" s="88"/>
      <c r="D136" s="88"/>
      <c r="E136" s="89"/>
      <c r="F136" s="88"/>
      <c r="G136" s="90"/>
      <c r="H136" s="88"/>
      <c r="I136" s="191"/>
    </row>
    <row r="137" spans="1:9">
      <c r="A137" s="36"/>
      <c r="C137" s="88"/>
      <c r="D137" s="88"/>
      <c r="E137" s="89"/>
      <c r="F137" s="88"/>
      <c r="G137" s="90"/>
      <c r="H137" s="88"/>
      <c r="I137" s="191"/>
    </row>
    <row r="138" spans="1:9">
      <c r="A138" s="36"/>
      <c r="C138" s="88"/>
      <c r="D138" s="88"/>
      <c r="E138" s="89"/>
      <c r="F138" s="88"/>
      <c r="G138" s="90"/>
      <c r="H138" s="88"/>
      <c r="I138" s="191"/>
    </row>
    <row r="139" spans="1:9">
      <c r="A139" s="36"/>
      <c r="C139" s="88"/>
      <c r="D139" s="88"/>
      <c r="E139" s="89"/>
      <c r="F139" s="88"/>
      <c r="G139" s="90"/>
      <c r="H139" s="88"/>
      <c r="I139" s="191"/>
    </row>
    <row r="140" spans="1:9">
      <c r="A140" s="36"/>
      <c r="C140" s="88"/>
      <c r="D140" s="88"/>
      <c r="E140" s="89"/>
      <c r="F140" s="191"/>
      <c r="G140" s="90"/>
      <c r="H140" s="191"/>
      <c r="I140" s="191"/>
    </row>
    <row r="141" spans="1:9">
      <c r="A141" s="36"/>
      <c r="C141" s="88"/>
      <c r="D141" s="88"/>
      <c r="E141" s="89"/>
      <c r="F141" s="88"/>
      <c r="G141" s="90"/>
      <c r="H141" s="88"/>
      <c r="I141" s="191"/>
    </row>
    <row r="142" spans="1:9">
      <c r="A142" s="36"/>
      <c r="C142" s="88"/>
      <c r="D142" s="88"/>
      <c r="E142" s="89"/>
      <c r="F142" s="88"/>
      <c r="G142" s="90"/>
      <c r="H142" s="88"/>
      <c r="I142" s="191"/>
    </row>
    <row r="143" spans="1:9">
      <c r="A143" s="36"/>
      <c r="C143" s="88"/>
      <c r="D143" s="88"/>
      <c r="E143" s="89"/>
      <c r="F143" s="88"/>
      <c r="G143" s="92"/>
      <c r="H143" s="90"/>
      <c r="I143" s="88"/>
    </row>
    <row r="144" spans="1:9">
      <c r="A144" s="36"/>
      <c r="C144" s="88"/>
      <c r="D144" s="88"/>
      <c r="E144" s="89"/>
      <c r="F144" s="88"/>
      <c r="G144" s="92"/>
      <c r="H144" s="90"/>
      <c r="I144" s="88"/>
    </row>
    <row r="145" spans="1:9">
      <c r="A145" s="36"/>
      <c r="C145" s="88"/>
      <c r="D145" s="88"/>
      <c r="E145" s="89"/>
      <c r="F145" s="88"/>
      <c r="G145" s="90"/>
      <c r="H145" s="88"/>
      <c r="I145" s="191"/>
    </row>
    <row r="146" spans="1:9">
      <c r="A146" s="36"/>
      <c r="C146" s="88"/>
      <c r="D146" s="88"/>
      <c r="E146" s="89"/>
      <c r="F146" s="88"/>
      <c r="G146" s="90"/>
      <c r="H146" s="88"/>
      <c r="I146" s="191"/>
    </row>
    <row r="147" spans="1:9">
      <c r="A147" s="36"/>
      <c r="C147" s="88"/>
      <c r="D147" s="88"/>
      <c r="E147" s="89"/>
      <c r="F147" s="88"/>
      <c r="G147" s="90"/>
      <c r="H147" s="88"/>
      <c r="I147" s="191"/>
    </row>
    <row r="148" spans="1:9">
      <c r="A148" s="36"/>
      <c r="C148" s="88"/>
      <c r="D148" s="88"/>
      <c r="E148" s="99"/>
      <c r="F148" s="88"/>
      <c r="G148" s="90"/>
      <c r="H148" s="88"/>
      <c r="I148" s="191"/>
    </row>
    <row r="149" spans="1:9">
      <c r="A149" s="36"/>
      <c r="C149" s="88"/>
      <c r="D149" s="88"/>
      <c r="E149" s="98"/>
      <c r="F149" s="88"/>
      <c r="G149" s="90"/>
      <c r="H149" s="88"/>
      <c r="I149" s="191"/>
    </row>
    <row r="150" spans="1:9">
      <c r="A150" s="36"/>
      <c r="C150" s="88"/>
      <c r="D150" s="88"/>
      <c r="E150" s="89"/>
      <c r="F150" s="88"/>
      <c r="G150" s="88"/>
      <c r="H150" s="88"/>
      <c r="I150" s="191"/>
    </row>
    <row r="151" spans="1:9">
      <c r="A151" s="36"/>
      <c r="C151" s="88"/>
      <c r="D151" s="88"/>
      <c r="E151" s="89"/>
      <c r="F151" s="88"/>
      <c r="G151" s="90"/>
      <c r="H151" s="88"/>
      <c r="I151" s="191"/>
    </row>
    <row r="152" spans="1:9">
      <c r="A152" s="36"/>
      <c r="C152" s="88"/>
      <c r="D152" s="88"/>
      <c r="E152" s="89"/>
      <c r="F152" s="88"/>
      <c r="G152" s="90"/>
      <c r="H152" s="88"/>
      <c r="I152" s="191"/>
    </row>
    <row r="153" spans="1:9">
      <c r="A153" s="36"/>
      <c r="C153" s="88"/>
      <c r="D153" s="88"/>
      <c r="E153" s="89"/>
      <c r="F153" s="88"/>
      <c r="G153" s="90"/>
      <c r="H153" s="88"/>
      <c r="I153" s="191"/>
    </row>
    <row r="154" spans="1:9">
      <c r="A154" s="36"/>
      <c r="C154" s="88"/>
      <c r="D154" s="88"/>
      <c r="E154" s="89"/>
      <c r="F154" s="88"/>
      <c r="G154" s="90"/>
      <c r="H154" s="88"/>
      <c r="I154" s="191"/>
    </row>
    <row r="155" spans="1:9">
      <c r="A155" s="36"/>
      <c r="C155" s="88"/>
      <c r="D155" s="88"/>
      <c r="E155" s="89"/>
      <c r="F155" s="88"/>
      <c r="G155" s="90"/>
      <c r="H155" s="88"/>
      <c r="I155" s="191"/>
    </row>
    <row r="156" spans="1:9">
      <c r="A156" s="36"/>
      <c r="C156" s="88"/>
      <c r="D156" s="88"/>
      <c r="E156" s="89"/>
      <c r="F156" s="88"/>
      <c r="G156" s="90"/>
      <c r="H156" s="88"/>
      <c r="I156" s="191"/>
    </row>
    <row r="157" spans="1:9">
      <c r="A157" s="36"/>
      <c r="C157" s="88"/>
      <c r="D157" s="88"/>
      <c r="E157" s="89"/>
      <c r="F157" s="88"/>
      <c r="G157" s="90"/>
      <c r="H157" s="88"/>
      <c r="I157" s="191"/>
    </row>
    <row r="158" spans="1:9">
      <c r="A158" s="36"/>
      <c r="C158" s="88"/>
      <c r="D158" s="88"/>
      <c r="E158" s="89"/>
      <c r="F158" s="88"/>
      <c r="G158" s="92"/>
      <c r="H158" s="88"/>
      <c r="I158" s="88"/>
    </row>
    <row r="159" spans="1:9">
      <c r="A159" s="36"/>
      <c r="C159" s="88"/>
      <c r="D159" s="88"/>
      <c r="E159" s="89"/>
      <c r="F159" s="88"/>
      <c r="G159" s="92"/>
      <c r="H159" s="88"/>
      <c r="I159" s="88"/>
    </row>
    <row r="160" spans="1:9">
      <c r="A160" s="36"/>
      <c r="C160" s="88"/>
      <c r="D160" s="88"/>
      <c r="E160" s="89"/>
      <c r="F160" s="88"/>
      <c r="G160" s="90"/>
      <c r="H160" s="88"/>
      <c r="I160" s="191"/>
    </row>
    <row r="161" spans="1:9">
      <c r="A161" s="36"/>
      <c r="C161" s="88"/>
      <c r="D161" s="88"/>
      <c r="E161" s="89"/>
      <c r="F161" s="88"/>
      <c r="G161" s="90"/>
      <c r="H161" s="88"/>
      <c r="I161" s="191"/>
    </row>
    <row r="162" spans="1:9">
      <c r="A162" s="36"/>
      <c r="C162" s="88"/>
      <c r="D162" s="88"/>
      <c r="E162" s="89"/>
      <c r="F162" s="88"/>
      <c r="G162" s="90"/>
      <c r="H162" s="88"/>
      <c r="I162" s="191"/>
    </row>
    <row r="163" spans="1:9">
      <c r="A163" s="36"/>
      <c r="C163" s="88"/>
      <c r="D163" s="88"/>
      <c r="E163" s="89"/>
      <c r="F163" s="88"/>
      <c r="G163" s="90"/>
      <c r="H163" s="88"/>
      <c r="I163" s="191"/>
    </row>
    <row r="164" spans="1:9">
      <c r="A164" s="36"/>
      <c r="C164" s="88"/>
      <c r="D164" s="88"/>
      <c r="E164" s="89"/>
      <c r="F164" s="88"/>
      <c r="G164" s="90"/>
      <c r="H164" s="88"/>
      <c r="I164" s="191"/>
    </row>
    <row r="165" spans="1:9">
      <c r="A165" s="36"/>
      <c r="C165" s="191"/>
      <c r="D165" s="191"/>
      <c r="E165" s="192"/>
      <c r="F165" s="191"/>
      <c r="G165" s="191"/>
      <c r="H165" s="191"/>
      <c r="I165" s="191"/>
    </row>
    <row r="166" spans="1:9">
      <c r="A166" s="36"/>
      <c r="C166" s="88"/>
      <c r="D166" s="88"/>
      <c r="E166" s="89"/>
      <c r="F166" s="88"/>
      <c r="G166" s="90"/>
      <c r="H166" s="88"/>
      <c r="I166" s="191"/>
    </row>
    <row r="167" spans="1:9">
      <c r="A167" s="36"/>
      <c r="C167" s="88"/>
      <c r="D167" s="88"/>
      <c r="E167" s="89"/>
      <c r="F167" s="88"/>
      <c r="G167" s="90"/>
      <c r="H167" s="88"/>
      <c r="I167" s="191"/>
    </row>
    <row r="168" spans="1:9">
      <c r="A168" s="36"/>
      <c r="C168" s="88"/>
      <c r="D168" s="88"/>
      <c r="E168" s="89"/>
      <c r="F168" s="88"/>
      <c r="G168" s="88"/>
      <c r="H168" s="90"/>
      <c r="I168" s="88"/>
    </row>
    <row r="169" spans="1:9">
      <c r="A169" s="36"/>
      <c r="C169" s="88"/>
      <c r="D169" s="88"/>
      <c r="E169" s="89"/>
      <c r="F169" s="88"/>
      <c r="G169" s="90"/>
      <c r="H169" s="90"/>
      <c r="I169" s="88"/>
    </row>
    <row r="170" spans="1:9">
      <c r="A170" s="36"/>
      <c r="C170" s="88"/>
      <c r="D170" s="88"/>
      <c r="E170" s="89"/>
      <c r="F170" s="88"/>
      <c r="G170" s="90"/>
      <c r="H170" s="90"/>
      <c r="I170" s="88"/>
    </row>
    <row r="171" spans="1:9">
      <c r="A171" s="36"/>
      <c r="C171" s="88"/>
      <c r="D171" s="88"/>
      <c r="E171" s="89"/>
      <c r="F171" s="88"/>
      <c r="G171" s="90"/>
      <c r="H171" s="88"/>
      <c r="I171" s="191"/>
    </row>
    <row r="172" spans="1:9">
      <c r="A172" s="36"/>
      <c r="C172" s="88"/>
      <c r="D172" s="88"/>
      <c r="E172" s="89"/>
      <c r="F172" s="88"/>
      <c r="G172" s="90"/>
      <c r="H172" s="88"/>
      <c r="I172" s="191"/>
    </row>
    <row r="173" spans="1:9">
      <c r="A173" s="36"/>
      <c r="C173" s="88"/>
      <c r="D173" s="88"/>
      <c r="E173" s="89"/>
      <c r="F173" s="88"/>
      <c r="G173" s="92"/>
      <c r="H173" s="90"/>
      <c r="I173" s="88"/>
    </row>
    <row r="174" spans="1:9">
      <c r="A174" s="36"/>
      <c r="C174" s="88"/>
      <c r="D174" s="88"/>
      <c r="E174" s="89"/>
      <c r="F174" s="88"/>
      <c r="G174" s="92"/>
      <c r="H174" s="90"/>
      <c r="I174" s="88"/>
    </row>
    <row r="175" spans="1:9">
      <c r="A175" s="36"/>
      <c r="C175" s="88"/>
      <c r="D175" s="88"/>
      <c r="E175" s="89"/>
      <c r="F175" s="88"/>
      <c r="G175" s="90"/>
      <c r="H175" s="90"/>
      <c r="I175" s="88"/>
    </row>
    <row r="176" spans="1:9">
      <c r="A176" s="36"/>
      <c r="C176" s="88"/>
      <c r="D176" s="88"/>
      <c r="E176" s="89"/>
      <c r="F176" s="88"/>
      <c r="G176" s="88"/>
      <c r="H176" s="90"/>
      <c r="I176" s="88"/>
    </row>
    <row r="177" spans="1:9">
      <c r="A177" s="36"/>
      <c r="C177" s="88"/>
      <c r="D177" s="88"/>
      <c r="E177" s="89"/>
      <c r="F177" s="88"/>
      <c r="G177" s="88"/>
      <c r="H177" s="90"/>
      <c r="I177" s="88"/>
    </row>
    <row r="178" spans="1:9">
      <c r="A178" s="36"/>
      <c r="C178" s="88"/>
      <c r="D178" s="88"/>
      <c r="E178" s="89"/>
      <c r="F178" s="88"/>
      <c r="G178" s="90"/>
      <c r="H178" s="88"/>
      <c r="I178" s="191"/>
    </row>
    <row r="179" spans="1:9">
      <c r="A179" s="36"/>
      <c r="C179" s="88"/>
      <c r="D179" s="88"/>
      <c r="E179" s="89"/>
      <c r="F179" s="88"/>
      <c r="G179" s="90"/>
      <c r="H179" s="88"/>
      <c r="I179" s="191"/>
    </row>
    <row r="180" spans="1:9">
      <c r="A180" s="36"/>
      <c r="C180" s="88"/>
      <c r="D180" s="88"/>
      <c r="E180" s="89"/>
      <c r="F180" s="88"/>
      <c r="G180" s="90"/>
      <c r="H180" s="88"/>
      <c r="I180" s="191"/>
    </row>
    <row r="181" spans="1:9">
      <c r="A181" s="36"/>
      <c r="C181" s="88"/>
      <c r="D181" s="88"/>
      <c r="E181" s="89"/>
      <c r="F181" s="88"/>
      <c r="G181" s="90"/>
      <c r="H181" s="88"/>
      <c r="I181" s="191"/>
    </row>
    <row r="182" spans="1:9">
      <c r="A182" s="36"/>
      <c r="C182" s="88"/>
      <c r="D182" s="88"/>
      <c r="E182" s="89"/>
      <c r="F182" s="88"/>
      <c r="G182" s="90"/>
      <c r="H182" s="88"/>
      <c r="I182" s="191"/>
    </row>
    <row r="183" spans="1:9">
      <c r="A183" s="36"/>
      <c r="C183" s="191"/>
      <c r="D183" s="191"/>
      <c r="E183" s="192"/>
      <c r="F183" s="191"/>
      <c r="G183" s="191"/>
      <c r="H183" s="191"/>
      <c r="I183" s="191"/>
    </row>
    <row r="184" spans="1:9">
      <c r="A184" s="36"/>
      <c r="C184" s="88"/>
      <c r="D184" s="88"/>
      <c r="E184" s="89"/>
      <c r="F184" s="88"/>
      <c r="G184" s="88"/>
      <c r="H184" s="90"/>
      <c r="I184" s="88"/>
    </row>
    <row r="185" spans="1:9">
      <c r="A185" s="36"/>
      <c r="C185" s="88"/>
      <c r="D185" s="88"/>
      <c r="E185" s="89"/>
      <c r="F185" s="88"/>
      <c r="G185" s="90"/>
      <c r="H185" s="90"/>
      <c r="I185" s="88"/>
    </row>
    <row r="186" spans="1:9">
      <c r="A186" s="36"/>
      <c r="C186" s="88"/>
      <c r="D186" s="88"/>
      <c r="E186" s="89"/>
      <c r="F186" s="88"/>
      <c r="G186" s="90"/>
      <c r="H186" s="90"/>
      <c r="I186" s="88"/>
    </row>
    <row r="187" spans="1:9">
      <c r="A187" s="36"/>
      <c r="C187" s="88"/>
      <c r="D187" s="88"/>
      <c r="E187" s="89"/>
      <c r="F187" s="88"/>
      <c r="G187" s="90"/>
      <c r="H187" s="90"/>
      <c r="I187" s="88"/>
    </row>
    <row r="188" spans="1:9">
      <c r="A188" s="36"/>
      <c r="C188" s="88"/>
      <c r="D188" s="88"/>
      <c r="E188" s="89"/>
      <c r="F188" s="88"/>
      <c r="G188" s="90"/>
      <c r="H188" s="90"/>
      <c r="I188" s="88"/>
    </row>
    <row r="189" spans="1:9">
      <c r="A189" s="36"/>
      <c r="C189" s="88"/>
      <c r="D189" s="88"/>
      <c r="E189" s="89"/>
      <c r="F189" s="88"/>
      <c r="G189" s="90"/>
      <c r="H189" s="90"/>
      <c r="I189" s="88"/>
    </row>
    <row r="190" spans="1:9">
      <c r="A190" s="36"/>
      <c r="C190" s="88"/>
      <c r="D190" s="88"/>
      <c r="E190" s="89"/>
      <c r="F190" s="88"/>
      <c r="G190" s="90"/>
      <c r="H190" s="88"/>
      <c r="I190" s="191"/>
    </row>
    <row r="191" spans="1:9">
      <c r="A191" s="91"/>
      <c r="C191" s="191"/>
      <c r="D191" s="191"/>
      <c r="E191" s="192"/>
      <c r="F191" s="191"/>
      <c r="G191" s="191"/>
      <c r="H191" s="191"/>
      <c r="I191" s="191"/>
    </row>
    <row r="192" spans="1:9">
      <c r="A192" s="91"/>
      <c r="C192" s="88"/>
      <c r="D192" s="88"/>
      <c r="E192" s="89"/>
      <c r="F192" s="88"/>
      <c r="G192" s="88"/>
      <c r="H192" s="90"/>
      <c r="I192" s="88"/>
    </row>
    <row r="193" spans="1:9">
      <c r="A193" s="91"/>
      <c r="C193" s="88"/>
      <c r="D193" s="88"/>
      <c r="E193" s="89"/>
      <c r="F193" s="88"/>
      <c r="G193" s="88"/>
      <c r="H193" s="90"/>
      <c r="I193" s="88"/>
    </row>
    <row r="194" spans="1:9">
      <c r="C194" s="88"/>
      <c r="D194" s="88"/>
      <c r="E194" s="89"/>
      <c r="F194" s="88"/>
      <c r="G194" s="90"/>
      <c r="H194" s="88"/>
      <c r="I194" s="191"/>
    </row>
    <row r="195" spans="1:9">
      <c r="A195" s="36"/>
      <c r="C195" s="88"/>
      <c r="D195" s="88"/>
      <c r="E195" s="89"/>
      <c r="F195" s="88"/>
      <c r="G195" s="92"/>
      <c r="H195" s="90"/>
      <c r="I195" s="88"/>
    </row>
    <row r="196" spans="1:9">
      <c r="A196" s="36"/>
      <c r="C196" s="88"/>
      <c r="D196" s="88"/>
      <c r="E196" s="89"/>
      <c r="F196" s="88"/>
      <c r="G196" s="92"/>
      <c r="H196" s="90"/>
      <c r="I196" s="88"/>
    </row>
    <row r="197" spans="1:9">
      <c r="A197" s="36"/>
      <c r="C197" s="191"/>
      <c r="D197" s="191"/>
      <c r="E197" s="192"/>
      <c r="F197" s="191"/>
      <c r="G197" s="88"/>
      <c r="H197" s="191"/>
      <c r="I197" s="191"/>
    </row>
    <row r="198" spans="1:9">
      <c r="A198" s="36"/>
      <c r="C198" s="88"/>
      <c r="D198" s="88"/>
      <c r="E198" s="89"/>
      <c r="F198" s="88"/>
      <c r="G198" s="90"/>
      <c r="H198" s="88"/>
      <c r="I198" s="191"/>
    </row>
    <row r="199" spans="1:9">
      <c r="A199" s="36"/>
      <c r="C199" s="88"/>
      <c r="D199" s="88"/>
      <c r="E199" s="89"/>
      <c r="F199" s="88"/>
      <c r="G199" s="92"/>
      <c r="H199" s="198"/>
      <c r="I199" s="88"/>
    </row>
    <row r="200" spans="1:9">
      <c r="A200" s="36"/>
      <c r="C200" s="88"/>
      <c r="D200" s="88"/>
      <c r="E200" s="89"/>
      <c r="F200" s="88"/>
      <c r="G200" s="92"/>
      <c r="H200" s="198"/>
      <c r="I200" s="88"/>
    </row>
    <row r="201" spans="1:9">
      <c r="A201" s="36"/>
      <c r="C201" s="88"/>
      <c r="D201" s="88"/>
      <c r="E201" s="89"/>
      <c r="F201" s="88"/>
      <c r="G201" s="88"/>
      <c r="H201" s="90"/>
      <c r="I201" s="88"/>
    </row>
    <row r="202" spans="1:9">
      <c r="A202" s="36"/>
      <c r="C202" s="88"/>
      <c r="D202" s="88"/>
      <c r="E202" s="89"/>
      <c r="F202" s="88"/>
      <c r="G202" s="90"/>
      <c r="H202" s="88"/>
      <c r="I202" s="191"/>
    </row>
    <row r="203" spans="1:9">
      <c r="A203" s="36"/>
      <c r="C203" s="88"/>
      <c r="D203" s="88"/>
      <c r="E203" s="89"/>
      <c r="F203" s="88"/>
      <c r="G203" s="90"/>
      <c r="H203" s="88"/>
      <c r="I203" s="191"/>
    </row>
    <row r="204" spans="1:9">
      <c r="A204" s="36"/>
      <c r="C204" s="88"/>
      <c r="D204" s="88"/>
      <c r="E204" s="89"/>
      <c r="F204" s="88"/>
      <c r="G204" s="90"/>
      <c r="H204" s="88"/>
      <c r="I204" s="191"/>
    </row>
    <row r="205" spans="1:9">
      <c r="A205" s="36"/>
      <c r="C205" s="191"/>
      <c r="D205" s="191"/>
      <c r="E205" s="192"/>
      <c r="F205" s="191"/>
      <c r="G205" s="191"/>
      <c r="H205" s="191"/>
      <c r="I205" s="191"/>
    </row>
    <row r="206" spans="1:9">
      <c r="A206" s="36"/>
      <c r="C206" s="191"/>
      <c r="D206" s="191"/>
      <c r="E206" s="192"/>
      <c r="F206" s="191"/>
      <c r="G206" s="191"/>
      <c r="H206" s="191"/>
      <c r="I206" s="191"/>
    </row>
    <row r="207" spans="1:9">
      <c r="A207" s="36"/>
      <c r="C207" s="88"/>
      <c r="D207" s="88"/>
      <c r="E207" s="89"/>
      <c r="F207" s="88"/>
      <c r="G207" s="90"/>
      <c r="H207" s="88"/>
      <c r="I207" s="191"/>
    </row>
    <row r="208" spans="1:9">
      <c r="A208" s="36"/>
      <c r="C208" s="88"/>
      <c r="D208" s="88"/>
      <c r="E208" s="89"/>
      <c r="F208" s="88"/>
      <c r="G208" s="92"/>
      <c r="H208" s="90"/>
      <c r="I208" s="88"/>
    </row>
    <row r="209" spans="1:9">
      <c r="A209" s="36"/>
      <c r="C209" s="88"/>
      <c r="D209" s="88"/>
      <c r="E209" s="89"/>
      <c r="F209" s="88"/>
      <c r="G209" s="90"/>
      <c r="H209" s="88"/>
      <c r="I209" s="191"/>
    </row>
    <row r="210" spans="1:9">
      <c r="C210" s="88"/>
      <c r="D210" s="88"/>
      <c r="E210" s="89"/>
      <c r="F210" s="88"/>
      <c r="G210" s="88"/>
      <c r="H210" s="90"/>
      <c r="I210" s="88"/>
    </row>
    <row r="211" spans="1:9">
      <c r="C211" s="88"/>
      <c r="D211" s="88"/>
      <c r="E211" s="89"/>
      <c r="F211" s="88"/>
      <c r="G211" s="88"/>
      <c r="H211" s="90"/>
      <c r="I211" s="88"/>
    </row>
    <row r="212" spans="1:9">
      <c r="A212" s="36"/>
      <c r="C212" s="88"/>
      <c r="D212" s="88"/>
      <c r="E212" s="89"/>
      <c r="F212" s="88"/>
      <c r="G212" s="90"/>
      <c r="H212" s="88"/>
      <c r="I212" s="191"/>
    </row>
    <row r="213" spans="1:9">
      <c r="A213" s="36"/>
      <c r="C213" s="88"/>
      <c r="D213" s="88"/>
      <c r="E213" s="89"/>
      <c r="F213" s="88"/>
      <c r="G213" s="90"/>
      <c r="H213" s="88"/>
      <c r="I213" s="191"/>
    </row>
    <row r="214" spans="1:9">
      <c r="A214" s="36"/>
      <c r="C214" s="88"/>
      <c r="D214" s="88"/>
      <c r="E214" s="89"/>
      <c r="F214" s="88"/>
      <c r="G214" s="90"/>
      <c r="H214" s="88"/>
      <c r="I214" s="191"/>
    </row>
    <row r="215" spans="1:9">
      <c r="A215" s="36"/>
      <c r="C215" s="88"/>
      <c r="D215" s="88"/>
      <c r="E215" s="89"/>
      <c r="F215" s="88"/>
      <c r="G215" s="90"/>
      <c r="H215" s="88"/>
      <c r="I215" s="191"/>
    </row>
    <row r="216" spans="1:9">
      <c r="A216" s="36"/>
      <c r="C216" s="88"/>
      <c r="D216" s="88"/>
      <c r="E216" s="89"/>
      <c r="F216" s="88"/>
      <c r="G216" s="90"/>
      <c r="H216" s="88"/>
      <c r="I216" s="191"/>
    </row>
    <row r="217" spans="1:9">
      <c r="A217" s="36"/>
      <c r="C217" s="191"/>
      <c r="D217" s="191"/>
      <c r="E217" s="192"/>
      <c r="F217" s="191"/>
      <c r="G217" s="191"/>
      <c r="H217" s="191"/>
      <c r="I217" s="191"/>
    </row>
    <row r="218" spans="1:9">
      <c r="A218" s="36"/>
      <c r="C218" s="88"/>
      <c r="D218" s="88"/>
      <c r="E218" s="89"/>
      <c r="F218" s="88"/>
      <c r="G218" s="88"/>
      <c r="H218" s="90"/>
      <c r="I218" s="88"/>
    </row>
    <row r="219" spans="1:9">
      <c r="A219" s="36"/>
      <c r="C219" s="88"/>
      <c r="D219" s="88"/>
      <c r="E219" s="89"/>
      <c r="F219" s="88"/>
      <c r="G219" s="90"/>
      <c r="H219" s="90"/>
      <c r="I219" s="88"/>
    </row>
    <row r="220" spans="1:9">
      <c r="A220" s="36"/>
      <c r="C220" s="191"/>
      <c r="D220" s="191"/>
      <c r="E220" s="192"/>
      <c r="F220" s="191"/>
      <c r="G220" s="191"/>
      <c r="H220" s="191"/>
      <c r="I220" s="191"/>
    </row>
    <row r="221" spans="1:9">
      <c r="A221" s="36"/>
      <c r="C221" s="88"/>
      <c r="D221" s="88"/>
      <c r="E221" s="89"/>
      <c r="F221" s="88"/>
      <c r="G221" s="88"/>
      <c r="H221" s="90"/>
      <c r="I221" s="88"/>
    </row>
    <row r="222" spans="1:9">
      <c r="A222" s="36"/>
      <c r="C222" s="88"/>
      <c r="D222" s="88"/>
      <c r="E222" s="89"/>
      <c r="F222" s="88"/>
      <c r="G222" s="88"/>
      <c r="H222" s="90"/>
      <c r="I222" s="88"/>
    </row>
    <row r="223" spans="1:9">
      <c r="C223" s="88"/>
      <c r="D223" s="88"/>
      <c r="E223" s="89"/>
      <c r="F223" s="88"/>
      <c r="G223" s="90"/>
      <c r="H223" s="88"/>
      <c r="I223" s="191"/>
    </row>
    <row r="224" spans="1:9">
      <c r="C224" s="88"/>
      <c r="D224" s="88"/>
      <c r="E224" s="89"/>
      <c r="F224" s="88"/>
      <c r="G224" s="90"/>
      <c r="H224" s="88"/>
      <c r="I224" s="191"/>
    </row>
    <row r="225" spans="1:9">
      <c r="A225" s="36"/>
      <c r="C225" s="88"/>
      <c r="D225" s="88"/>
      <c r="E225" s="89"/>
      <c r="F225" s="88"/>
      <c r="G225" s="90"/>
      <c r="H225" s="88"/>
      <c r="I225" s="191"/>
    </row>
    <row r="226" spans="1:9">
      <c r="A226" s="36"/>
      <c r="C226" s="88"/>
      <c r="D226" s="88"/>
      <c r="E226" s="89"/>
      <c r="F226" s="88"/>
      <c r="G226" s="90"/>
      <c r="H226" s="88"/>
      <c r="I226" s="191"/>
    </row>
    <row r="227" spans="1:9">
      <c r="A227" s="36"/>
      <c r="C227" s="88"/>
      <c r="D227" s="88"/>
      <c r="E227" s="89"/>
      <c r="F227" s="88"/>
      <c r="G227" s="90"/>
      <c r="H227" s="88"/>
      <c r="I227" s="191"/>
    </row>
    <row r="228" spans="1:9">
      <c r="A228" s="36"/>
      <c r="C228" s="88"/>
      <c r="D228" s="88"/>
      <c r="E228" s="89"/>
      <c r="F228" s="88"/>
      <c r="G228" s="90"/>
      <c r="H228" s="88"/>
      <c r="I228" s="191"/>
    </row>
    <row r="229" spans="1:9">
      <c r="A229" s="36"/>
      <c r="C229" s="88"/>
      <c r="D229" s="88"/>
      <c r="E229" s="89"/>
      <c r="F229" s="88"/>
      <c r="G229" s="90"/>
      <c r="H229" s="88"/>
      <c r="I229" s="191"/>
    </row>
    <row r="230" spans="1:9">
      <c r="A230" s="36"/>
      <c r="C230" s="88"/>
      <c r="D230" s="88"/>
      <c r="E230" s="89"/>
      <c r="F230" s="191"/>
      <c r="G230" s="191"/>
      <c r="H230" s="191"/>
      <c r="I230" s="191"/>
    </row>
    <row r="231" spans="1:9">
      <c r="A231" s="36"/>
      <c r="C231" s="88"/>
      <c r="D231" s="88"/>
      <c r="E231" s="89"/>
      <c r="F231" s="88"/>
      <c r="G231" s="90"/>
      <c r="H231" s="88"/>
      <c r="I231" s="191"/>
    </row>
    <row r="232" spans="1:9">
      <c r="A232" s="36"/>
      <c r="C232" s="88"/>
      <c r="D232" s="88"/>
      <c r="E232" s="89"/>
      <c r="F232" s="88"/>
      <c r="G232" s="90"/>
      <c r="H232" s="88"/>
      <c r="I232" s="191"/>
    </row>
    <row r="233" spans="1:9">
      <c r="A233" s="36"/>
      <c r="C233" s="88"/>
      <c r="D233" s="88"/>
      <c r="E233" s="89"/>
      <c r="F233" s="88"/>
      <c r="G233" s="90"/>
      <c r="H233" s="88"/>
      <c r="I233" s="191"/>
    </row>
    <row r="234" spans="1:9">
      <c r="A234" s="36"/>
      <c r="C234" s="88"/>
      <c r="D234" s="88"/>
      <c r="E234" s="89"/>
      <c r="F234" s="88"/>
      <c r="G234" s="88"/>
      <c r="H234" s="90"/>
      <c r="I234" s="88"/>
    </row>
    <row r="235" spans="1:9">
      <c r="A235" s="36"/>
      <c r="C235" s="88"/>
      <c r="D235" s="88"/>
      <c r="E235" s="89"/>
      <c r="F235" s="88"/>
      <c r="G235" s="90"/>
      <c r="H235" s="90"/>
      <c r="I235" s="88"/>
    </row>
    <row r="236" spans="1:9">
      <c r="A236" s="36"/>
      <c r="C236" s="88"/>
      <c r="D236" s="88"/>
      <c r="E236" s="89"/>
      <c r="F236" s="88"/>
      <c r="G236" s="90"/>
      <c r="H236" s="90"/>
      <c r="I236" s="88"/>
    </row>
    <row r="237" spans="1:9">
      <c r="A237" s="36"/>
      <c r="C237" s="88"/>
      <c r="D237" s="88"/>
      <c r="E237" s="89"/>
      <c r="F237" s="88"/>
      <c r="G237" s="90"/>
      <c r="H237" s="90"/>
      <c r="I237" s="88"/>
    </row>
    <row r="238" spans="1:9">
      <c r="C238" s="88"/>
      <c r="D238" s="88"/>
      <c r="E238" s="89"/>
      <c r="F238" s="88"/>
      <c r="G238" s="96"/>
      <c r="H238" s="90"/>
      <c r="I238" s="88"/>
    </row>
    <row r="239" spans="1:9">
      <c r="C239" s="88"/>
      <c r="D239" s="88"/>
      <c r="E239" s="89"/>
      <c r="F239" s="88"/>
      <c r="G239" s="96"/>
      <c r="H239" s="90"/>
      <c r="I239" s="88"/>
    </row>
    <row r="240" spans="1:9">
      <c r="C240" s="88"/>
      <c r="D240" s="88"/>
      <c r="E240" s="89"/>
      <c r="F240" s="88"/>
      <c r="G240" s="90"/>
      <c r="H240" s="88"/>
      <c r="I240" s="191"/>
    </row>
    <row r="241" spans="1:9">
      <c r="C241" s="88"/>
      <c r="D241" s="88"/>
      <c r="E241" s="89"/>
      <c r="F241" s="88"/>
      <c r="G241" s="90"/>
      <c r="H241" s="88"/>
      <c r="I241" s="191"/>
    </row>
    <row r="242" spans="1:9">
      <c r="A242" s="36"/>
      <c r="C242" s="88"/>
      <c r="D242" s="88"/>
      <c r="E242" s="89"/>
      <c r="F242" s="88"/>
      <c r="G242" s="90"/>
      <c r="H242" s="88"/>
      <c r="I242" s="191"/>
    </row>
    <row r="243" spans="1:9">
      <c r="A243" s="36"/>
      <c r="C243" s="191"/>
      <c r="D243" s="88"/>
      <c r="E243" s="89"/>
      <c r="F243" s="88"/>
      <c r="G243" s="191"/>
      <c r="H243" s="191"/>
      <c r="I243" s="191"/>
    </row>
    <row r="244" spans="1:9">
      <c r="A244" s="36"/>
      <c r="C244" s="88"/>
      <c r="D244" s="88"/>
      <c r="E244" s="89"/>
      <c r="F244" s="88"/>
      <c r="G244" s="92"/>
      <c r="H244" s="90"/>
      <c r="I244" s="88"/>
    </row>
    <row r="245" spans="1:9">
      <c r="A245" s="36"/>
      <c r="C245" s="88"/>
      <c r="D245" s="88"/>
      <c r="E245" s="89"/>
      <c r="F245" s="88"/>
      <c r="G245" s="92"/>
      <c r="H245" s="90"/>
      <c r="I245" s="88"/>
    </row>
    <row r="246" spans="1:9">
      <c r="A246" s="36"/>
      <c r="C246" s="191"/>
      <c r="D246" s="88"/>
      <c r="E246" s="89"/>
      <c r="F246" s="88"/>
      <c r="G246" s="194"/>
      <c r="H246" s="199"/>
      <c r="I246" s="191"/>
    </row>
    <row r="247" spans="1:9">
      <c r="C247" s="88"/>
      <c r="D247" s="88"/>
      <c r="E247" s="89"/>
      <c r="F247" s="88"/>
      <c r="G247" s="96"/>
      <c r="H247" s="90"/>
      <c r="I247" s="88"/>
    </row>
    <row r="248" spans="1:9">
      <c r="C248" s="88"/>
      <c r="D248" s="88"/>
      <c r="E248" s="89"/>
      <c r="F248" s="88"/>
      <c r="G248" s="96"/>
      <c r="H248" s="90"/>
      <c r="I248" s="88"/>
    </row>
    <row r="249" spans="1:9">
      <c r="A249" s="36"/>
      <c r="C249" s="88"/>
      <c r="D249" s="88"/>
      <c r="E249" s="89"/>
      <c r="F249" s="88"/>
      <c r="G249" s="90"/>
      <c r="H249" s="88"/>
      <c r="I249" s="191"/>
    </row>
    <row r="250" spans="1:9">
      <c r="A250" s="36"/>
      <c r="C250" s="88"/>
      <c r="D250" s="88"/>
      <c r="E250" s="89"/>
      <c r="F250" s="88"/>
      <c r="G250" s="90"/>
      <c r="H250" s="88"/>
      <c r="I250" s="191"/>
    </row>
    <row r="251" spans="1:9">
      <c r="A251" s="36"/>
      <c r="C251" s="88"/>
      <c r="D251" s="88"/>
      <c r="E251" s="89"/>
      <c r="F251" s="88"/>
      <c r="G251" s="92"/>
      <c r="H251" s="90"/>
      <c r="I251" s="88"/>
    </row>
    <row r="252" spans="1:9">
      <c r="A252" s="36"/>
      <c r="C252" s="88"/>
      <c r="D252" s="88"/>
      <c r="E252" s="89"/>
      <c r="F252" s="88"/>
      <c r="G252" s="92"/>
      <c r="H252" s="90"/>
      <c r="I252" s="88"/>
    </row>
    <row r="253" spans="1:9">
      <c r="C253" s="88"/>
      <c r="D253" s="88"/>
      <c r="E253" s="89"/>
      <c r="F253" s="88"/>
      <c r="G253" s="88"/>
      <c r="H253" s="90"/>
      <c r="I253" s="88"/>
    </row>
    <row r="254" spans="1:9">
      <c r="A254" s="36"/>
      <c r="C254" s="88"/>
      <c r="D254" s="88"/>
      <c r="E254" s="89"/>
      <c r="F254" s="88"/>
      <c r="G254" s="92"/>
      <c r="H254" s="90"/>
      <c r="I254" s="88"/>
    </row>
    <row r="255" spans="1:9">
      <c r="A255" s="36"/>
      <c r="C255" s="88"/>
      <c r="D255" s="88"/>
      <c r="E255" s="192"/>
      <c r="F255" s="191"/>
      <c r="G255" s="191"/>
      <c r="H255" s="191"/>
      <c r="I255" s="191"/>
    </row>
    <row r="256" spans="1:9">
      <c r="A256" s="36"/>
      <c r="C256" s="88"/>
      <c r="D256" s="88"/>
      <c r="E256" s="192"/>
      <c r="F256" s="191"/>
      <c r="G256" s="191"/>
      <c r="H256" s="191"/>
      <c r="I256" s="191"/>
    </row>
    <row r="257" spans="3:9">
      <c r="C257" s="88"/>
      <c r="D257" s="88"/>
      <c r="E257" s="192"/>
      <c r="F257" s="191"/>
      <c r="G257" s="191"/>
      <c r="H257" s="191"/>
      <c r="I257" s="191"/>
    </row>
    <row r="258" spans="3:9">
      <c r="C258" s="88"/>
      <c r="D258" s="88"/>
      <c r="E258" s="192"/>
      <c r="F258" s="191"/>
      <c r="G258" s="96"/>
      <c r="H258" s="199"/>
      <c r="I258" s="191"/>
    </row>
    <row r="259" spans="3:9">
      <c r="C259" s="88"/>
      <c r="D259" s="88"/>
      <c r="E259" s="192"/>
      <c r="F259" s="191"/>
      <c r="G259" s="96"/>
      <c r="H259" s="199"/>
      <c r="I259" s="191"/>
    </row>
    <row r="260" spans="3:9">
      <c r="C260" s="88"/>
      <c r="D260" s="95"/>
      <c r="E260" s="89"/>
      <c r="F260" s="88"/>
      <c r="G260" s="96"/>
      <c r="H260" s="191"/>
      <c r="I260" s="191"/>
    </row>
    <row r="261" spans="3:9">
      <c r="C261" s="88"/>
      <c r="D261" s="95"/>
      <c r="E261" s="89"/>
      <c r="F261" s="88"/>
      <c r="G261" s="88"/>
      <c r="H261" s="191"/>
      <c r="I261" s="191"/>
    </row>
    <row r="262" spans="3:9">
      <c r="C262" s="88"/>
      <c r="D262" s="88"/>
      <c r="E262" s="192"/>
      <c r="F262" s="191"/>
      <c r="G262" s="191"/>
      <c r="H262" s="191"/>
      <c r="I262" s="191"/>
    </row>
    <row r="263" spans="3:9">
      <c r="C263" s="191"/>
      <c r="D263" s="191"/>
      <c r="E263" s="192"/>
      <c r="F263" s="191"/>
      <c r="G263" s="191"/>
      <c r="H263" s="191"/>
      <c r="I263" s="191"/>
    </row>
    <row r="264" spans="3:9">
      <c r="C264" s="191"/>
      <c r="D264" s="88"/>
      <c r="E264" s="89"/>
      <c r="F264" s="88"/>
      <c r="G264" s="191"/>
      <c r="H264" s="191"/>
      <c r="I264" s="191"/>
    </row>
    <row r="265" spans="3:9">
      <c r="C265" s="191"/>
      <c r="D265" s="191"/>
      <c r="E265" s="192"/>
      <c r="F265" s="191"/>
      <c r="G265" s="191"/>
      <c r="H265" s="191"/>
      <c r="I265" s="191"/>
    </row>
    <row r="266" spans="3:9">
      <c r="C266" s="191"/>
      <c r="D266" s="88"/>
      <c r="E266" s="89"/>
      <c r="F266" s="88"/>
      <c r="G266" s="191"/>
      <c r="H266" s="191"/>
      <c r="I266" s="191"/>
    </row>
    <row r="267" spans="3:9">
      <c r="C267" s="191"/>
      <c r="D267" s="191"/>
      <c r="E267" s="192"/>
      <c r="F267" s="191"/>
      <c r="G267" s="191"/>
      <c r="H267" s="191"/>
      <c r="I267" s="191"/>
    </row>
    <row r="268" spans="3:9">
      <c r="C268" s="88"/>
      <c r="D268" s="88"/>
      <c r="E268" s="89"/>
      <c r="F268" s="88"/>
      <c r="G268" s="96"/>
      <c r="H268" s="90"/>
      <c r="I268" s="88"/>
    </row>
    <row r="269" spans="3:9">
      <c r="C269" s="88"/>
      <c r="D269" s="88"/>
      <c r="E269" s="89"/>
      <c r="F269" s="88"/>
      <c r="G269" s="90"/>
      <c r="H269" s="90"/>
      <c r="I269" s="88"/>
    </row>
    <row r="270" spans="3:9">
      <c r="C270" s="88"/>
      <c r="D270" s="88"/>
      <c r="E270" s="192"/>
      <c r="F270" s="88"/>
      <c r="G270" s="90"/>
      <c r="H270" s="90"/>
      <c r="I270" s="88"/>
    </row>
    <row r="271" spans="3:9">
      <c r="C271" s="88"/>
      <c r="D271" s="88"/>
      <c r="E271" s="192"/>
      <c r="F271" s="88"/>
      <c r="G271" s="90"/>
      <c r="H271" s="90"/>
      <c r="I271" s="88"/>
    </row>
    <row r="272" spans="3:9">
      <c r="C272" s="191"/>
      <c r="D272" s="191"/>
      <c r="E272" s="192"/>
      <c r="F272" s="191"/>
      <c r="G272" s="191"/>
      <c r="H272" s="199"/>
      <c r="I272" s="191"/>
    </row>
    <row r="273" spans="3:9">
      <c r="C273" s="88"/>
      <c r="D273" s="191"/>
      <c r="E273" s="192"/>
      <c r="F273" s="191"/>
      <c r="G273" s="96"/>
      <c r="H273" s="90"/>
      <c r="I273" s="88"/>
    </row>
    <row r="274" spans="3:9">
      <c r="C274" s="191"/>
      <c r="D274" s="191"/>
      <c r="E274" s="192"/>
      <c r="F274" s="191"/>
      <c r="G274" s="191"/>
      <c r="H274" s="191"/>
      <c r="I274" s="191"/>
    </row>
    <row r="275" spans="3:9">
      <c r="C275" s="88"/>
      <c r="D275" s="88"/>
      <c r="E275" s="192"/>
      <c r="F275" s="191"/>
      <c r="G275" s="191"/>
      <c r="H275" s="191"/>
      <c r="I275" s="191"/>
    </row>
    <row r="276" spans="3:9">
      <c r="C276" s="191"/>
      <c r="D276" s="191"/>
      <c r="E276" s="192"/>
      <c r="F276" s="191"/>
      <c r="G276" s="191"/>
      <c r="H276" s="191"/>
      <c r="I276" s="191"/>
    </row>
    <row r="277" spans="3:9">
      <c r="C277" s="191"/>
      <c r="D277" s="191"/>
      <c r="E277" s="192"/>
      <c r="F277" s="191"/>
      <c r="G277" s="191"/>
      <c r="H277" s="191"/>
      <c r="I277" s="191"/>
    </row>
    <row r="278" spans="3:9">
      <c r="C278" s="88"/>
      <c r="D278" s="88"/>
      <c r="E278" s="89"/>
      <c r="F278" s="88"/>
      <c r="G278" s="88"/>
      <c r="H278" s="90"/>
      <c r="I278" s="88"/>
    </row>
    <row r="279" spans="3:9">
      <c r="C279" s="191"/>
      <c r="D279" s="191"/>
      <c r="E279" s="192"/>
      <c r="F279" s="191"/>
      <c r="G279" s="191"/>
      <c r="H279" s="191"/>
      <c r="I279" s="191"/>
    </row>
    <row r="280" spans="3:9">
      <c r="C280" s="191"/>
      <c r="D280" s="191"/>
      <c r="E280" s="192"/>
      <c r="F280" s="191"/>
      <c r="G280" s="191"/>
      <c r="H280" s="191"/>
      <c r="I280" s="191"/>
    </row>
    <row r="281" spans="3:9">
      <c r="C281" s="191"/>
      <c r="D281" s="191"/>
      <c r="E281" s="192"/>
      <c r="F281" s="191"/>
      <c r="G281" s="191"/>
      <c r="H281" s="191"/>
      <c r="I281" s="191"/>
    </row>
    <row r="282" spans="3:9">
      <c r="C282" s="191"/>
      <c r="D282" s="191"/>
      <c r="E282" s="192"/>
      <c r="F282" s="191"/>
      <c r="G282" s="191"/>
      <c r="H282" s="191"/>
      <c r="I282" s="191"/>
    </row>
    <row r="283" spans="3:9">
      <c r="D283" s="190"/>
      <c r="E283" s="191"/>
      <c r="F283" s="191"/>
    </row>
    <row r="284" spans="3:9" ht="15.75">
      <c r="C284" s="94"/>
      <c r="D284" s="94"/>
      <c r="E284" s="100"/>
      <c r="F284" s="191"/>
    </row>
    <row r="285" spans="3:9" ht="15.75">
      <c r="C285" s="94"/>
      <c r="D285" s="93"/>
      <c r="E285" s="94"/>
      <c r="F285" s="191"/>
    </row>
    <row r="286" spans="3:9" ht="15.75">
      <c r="C286" s="94"/>
      <c r="D286" s="94"/>
      <c r="E286" s="100"/>
      <c r="F286" s="191"/>
    </row>
    <row r="287" spans="3:9" ht="15.75">
      <c r="C287" s="94"/>
      <c r="D287" s="94"/>
      <c r="E287" s="94"/>
      <c r="F287" s="191"/>
    </row>
    <row r="288" spans="3:9" ht="15.75">
      <c r="C288" s="94"/>
      <c r="D288" s="94"/>
      <c r="E288" s="94"/>
      <c r="F288" s="191"/>
    </row>
    <row r="289" spans="3:6" ht="15.75">
      <c r="C289" s="94"/>
      <c r="D289" s="94"/>
      <c r="E289" s="94"/>
      <c r="F289" s="191"/>
    </row>
    <row r="290" spans="3:6" ht="15.75">
      <c r="C290" s="94"/>
      <c r="D290" s="94"/>
      <c r="E290" s="94"/>
      <c r="F290" s="191"/>
    </row>
    <row r="291" spans="3:6" ht="15.75">
      <c r="C291" s="94"/>
      <c r="D291" s="94"/>
      <c r="E291" s="94"/>
      <c r="F291" s="191"/>
    </row>
    <row r="292" spans="3:6" ht="15.75">
      <c r="C292" s="94"/>
      <c r="D292" s="94"/>
      <c r="E292" s="94"/>
      <c r="F292" s="191"/>
    </row>
    <row r="293" spans="3:6" ht="15.75">
      <c r="C293" s="94"/>
      <c r="D293" s="93"/>
      <c r="E293" s="94"/>
      <c r="F293" s="191"/>
    </row>
    <row r="294" spans="3:6" ht="15.75">
      <c r="C294" s="94"/>
      <c r="D294" s="94"/>
      <c r="E294" s="94"/>
      <c r="F294" s="191"/>
    </row>
    <row r="295" spans="3:6" ht="15.75">
      <c r="C295" s="94"/>
      <c r="D295" s="94"/>
      <c r="E295" s="94"/>
      <c r="F295" s="191"/>
    </row>
    <row r="296" spans="3:6" ht="15.75">
      <c r="C296" s="94"/>
      <c r="D296" s="94"/>
      <c r="E296" s="94"/>
      <c r="F296" s="191"/>
    </row>
    <row r="297" spans="3:6" ht="15.75">
      <c r="C297" s="94"/>
      <c r="D297" s="94"/>
      <c r="E297" s="94"/>
      <c r="F297" s="191"/>
    </row>
    <row r="298" spans="3:6" ht="15.75">
      <c r="C298" s="94"/>
      <c r="D298" s="94"/>
      <c r="E298" s="94"/>
      <c r="F298" s="191"/>
    </row>
    <row r="299" spans="3:6" ht="15.75">
      <c r="C299" s="94"/>
      <c r="D299" s="93"/>
      <c r="E299" s="94"/>
      <c r="F299" s="191"/>
    </row>
    <row r="300" spans="3:6" ht="15.75">
      <c r="C300" s="200"/>
      <c r="D300" s="100"/>
      <c r="E300" s="94"/>
      <c r="F300" s="191"/>
    </row>
    <row r="301" spans="3:6">
      <c r="D301" s="190"/>
      <c r="E301" s="191"/>
      <c r="F301" s="191"/>
    </row>
    <row r="302" spans="3:6" ht="15.75">
      <c r="C302" s="201"/>
      <c r="D302" s="93"/>
      <c r="E302" s="191"/>
      <c r="F302" s="191"/>
    </row>
    <row r="303" spans="3:6">
      <c r="D303" s="190"/>
      <c r="E303" s="191"/>
      <c r="F303" s="1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Z87"/>
  <sheetViews>
    <sheetView tabSelected="1" zoomScale="75" zoomScaleNormal="75" workbookViewId="0">
      <selection activeCell="X1" sqref="X1:X1048576"/>
    </sheetView>
  </sheetViews>
  <sheetFormatPr baseColWidth="10" defaultRowHeight="15"/>
  <cols>
    <col min="1" max="1" width="4.140625" style="203" customWidth="1"/>
    <col min="2" max="2" width="17" style="203" customWidth="1"/>
    <col min="3" max="3" width="11.42578125" style="203"/>
    <col min="4" max="4" width="21.28515625" style="203" customWidth="1"/>
    <col min="5" max="5" width="13" style="203" customWidth="1"/>
    <col min="6" max="6" width="13.5703125" style="203" customWidth="1"/>
    <col min="7" max="7" width="12" style="203" customWidth="1"/>
    <col min="8" max="8" width="12.5703125" style="203" customWidth="1"/>
    <col min="9" max="9" width="10.5703125" style="203" customWidth="1"/>
    <col min="10" max="10" width="10.7109375" style="203" hidden="1" customWidth="1"/>
    <col min="11" max="11" width="13.28515625" style="203" hidden="1" customWidth="1"/>
    <col min="12" max="12" width="11.42578125" style="203"/>
    <col min="13" max="13" width="5.140625" style="203" customWidth="1"/>
    <col min="14" max="14" width="7.7109375" style="203" customWidth="1"/>
    <col min="15" max="16" width="11.42578125" style="203" customWidth="1"/>
    <col min="17" max="17" width="12.42578125" style="203" customWidth="1"/>
    <col min="18" max="18" width="12.7109375" style="203" customWidth="1"/>
    <col min="19" max="19" width="13.7109375" style="203" customWidth="1"/>
    <col min="20" max="20" width="11.5703125" style="203" bestFit="1" customWidth="1"/>
    <col min="21" max="21" width="10.42578125" style="203" bestFit="1" customWidth="1"/>
    <col min="22" max="22" width="6.42578125" style="203" bestFit="1" customWidth="1"/>
    <col min="23" max="23" width="15.42578125" style="203" bestFit="1" customWidth="1"/>
    <col min="24" max="24" width="11.42578125" style="203"/>
    <col min="25" max="25" width="14.7109375" style="203" customWidth="1"/>
    <col min="26" max="26" width="14.28515625" style="203" customWidth="1"/>
    <col min="27" max="254" width="11.42578125" style="203"/>
    <col min="255" max="255" width="4.140625" style="203" customWidth="1"/>
    <col min="256" max="256" width="17" style="203" customWidth="1"/>
    <col min="257" max="262" width="11.42578125" style="203"/>
    <col min="263" max="263" width="10.5703125" style="203" customWidth="1"/>
    <col min="264" max="264" width="9.7109375" style="203" customWidth="1"/>
    <col min="265" max="266" width="11.42578125" style="203"/>
    <col min="267" max="267" width="4.7109375" style="203" customWidth="1"/>
    <col min="268" max="268" width="7.7109375" style="203" customWidth="1"/>
    <col min="269" max="272" width="11.42578125" style="203"/>
    <col min="273" max="273" width="13.7109375" style="203" customWidth="1"/>
    <col min="274" max="275" width="11.42578125" style="203"/>
    <col min="276" max="276" width="6.5703125" style="203" customWidth="1"/>
    <col min="277" max="277" width="0" style="203" hidden="1" customWidth="1"/>
    <col min="278" max="278" width="11.42578125" style="203"/>
    <col min="279" max="279" width="14.7109375" style="203" customWidth="1"/>
    <col min="280" max="280" width="11.42578125" style="203"/>
    <col min="281" max="281" width="10.85546875" style="203" customWidth="1"/>
    <col min="282" max="282" width="9.140625" style="203" customWidth="1"/>
    <col min="283" max="510" width="11.42578125" style="203"/>
    <col min="511" max="511" width="4.140625" style="203" customWidth="1"/>
    <col min="512" max="512" width="17" style="203" customWidth="1"/>
    <col min="513" max="518" width="11.42578125" style="203"/>
    <col min="519" max="519" width="10.5703125" style="203" customWidth="1"/>
    <col min="520" max="520" width="9.7109375" style="203" customWidth="1"/>
    <col min="521" max="522" width="11.42578125" style="203"/>
    <col min="523" max="523" width="4.7109375" style="203" customWidth="1"/>
    <col min="524" max="524" width="7.7109375" style="203" customWidth="1"/>
    <col min="525" max="528" width="11.42578125" style="203"/>
    <col min="529" max="529" width="13.7109375" style="203" customWidth="1"/>
    <col min="530" max="531" width="11.42578125" style="203"/>
    <col min="532" max="532" width="6.5703125" style="203" customWidth="1"/>
    <col min="533" max="533" width="0" style="203" hidden="1" customWidth="1"/>
    <col min="534" max="534" width="11.42578125" style="203"/>
    <col min="535" max="535" width="14.7109375" style="203" customWidth="1"/>
    <col min="536" max="536" width="11.42578125" style="203"/>
    <col min="537" max="537" width="10.85546875" style="203" customWidth="1"/>
    <col min="538" max="538" width="9.140625" style="203" customWidth="1"/>
    <col min="539" max="766" width="11.42578125" style="203"/>
    <col min="767" max="767" width="4.140625" style="203" customWidth="1"/>
    <col min="768" max="768" width="17" style="203" customWidth="1"/>
    <col min="769" max="774" width="11.42578125" style="203"/>
    <col min="775" max="775" width="10.5703125" style="203" customWidth="1"/>
    <col min="776" max="776" width="9.7109375" style="203" customWidth="1"/>
    <col min="777" max="778" width="11.42578125" style="203"/>
    <col min="779" max="779" width="4.7109375" style="203" customWidth="1"/>
    <col min="780" max="780" width="7.7109375" style="203" customWidth="1"/>
    <col min="781" max="784" width="11.42578125" style="203"/>
    <col min="785" max="785" width="13.7109375" style="203" customWidth="1"/>
    <col min="786" max="787" width="11.42578125" style="203"/>
    <col min="788" max="788" width="6.5703125" style="203" customWidth="1"/>
    <col min="789" max="789" width="0" style="203" hidden="1" customWidth="1"/>
    <col min="790" max="790" width="11.42578125" style="203"/>
    <col min="791" max="791" width="14.7109375" style="203" customWidth="1"/>
    <col min="792" max="792" width="11.42578125" style="203"/>
    <col min="793" max="793" width="10.85546875" style="203" customWidth="1"/>
    <col min="794" max="794" width="9.140625" style="203" customWidth="1"/>
    <col min="795" max="1022" width="11.42578125" style="203"/>
    <col min="1023" max="1023" width="4.140625" style="203" customWidth="1"/>
    <col min="1024" max="1024" width="17" style="203" customWidth="1"/>
    <col min="1025" max="1030" width="11.42578125" style="203"/>
    <col min="1031" max="1031" width="10.5703125" style="203" customWidth="1"/>
    <col min="1032" max="1032" width="9.7109375" style="203" customWidth="1"/>
    <col min="1033" max="1034" width="11.42578125" style="203"/>
    <col min="1035" max="1035" width="4.7109375" style="203" customWidth="1"/>
    <col min="1036" max="1036" width="7.7109375" style="203" customWidth="1"/>
    <col min="1037" max="1040" width="11.42578125" style="203"/>
    <col min="1041" max="1041" width="13.7109375" style="203" customWidth="1"/>
    <col min="1042" max="1043" width="11.42578125" style="203"/>
    <col min="1044" max="1044" width="6.5703125" style="203" customWidth="1"/>
    <col min="1045" max="1045" width="0" style="203" hidden="1" customWidth="1"/>
    <col min="1046" max="1046" width="11.42578125" style="203"/>
    <col min="1047" max="1047" width="14.7109375" style="203" customWidth="1"/>
    <col min="1048" max="1048" width="11.42578125" style="203"/>
    <col min="1049" max="1049" width="10.85546875" style="203" customWidth="1"/>
    <col min="1050" max="1050" width="9.140625" style="203" customWidth="1"/>
    <col min="1051" max="1278" width="11.42578125" style="203"/>
    <col min="1279" max="1279" width="4.140625" style="203" customWidth="1"/>
    <col min="1280" max="1280" width="17" style="203" customWidth="1"/>
    <col min="1281" max="1286" width="11.42578125" style="203"/>
    <col min="1287" max="1287" width="10.5703125" style="203" customWidth="1"/>
    <col min="1288" max="1288" width="9.7109375" style="203" customWidth="1"/>
    <col min="1289" max="1290" width="11.42578125" style="203"/>
    <col min="1291" max="1291" width="4.7109375" style="203" customWidth="1"/>
    <col min="1292" max="1292" width="7.7109375" style="203" customWidth="1"/>
    <col min="1293" max="1296" width="11.42578125" style="203"/>
    <col min="1297" max="1297" width="13.7109375" style="203" customWidth="1"/>
    <col min="1298" max="1299" width="11.42578125" style="203"/>
    <col min="1300" max="1300" width="6.5703125" style="203" customWidth="1"/>
    <col min="1301" max="1301" width="0" style="203" hidden="1" customWidth="1"/>
    <col min="1302" max="1302" width="11.42578125" style="203"/>
    <col min="1303" max="1303" width="14.7109375" style="203" customWidth="1"/>
    <col min="1304" max="1304" width="11.42578125" style="203"/>
    <col min="1305" max="1305" width="10.85546875" style="203" customWidth="1"/>
    <col min="1306" max="1306" width="9.140625" style="203" customWidth="1"/>
    <col min="1307" max="1534" width="11.42578125" style="203"/>
    <col min="1535" max="1535" width="4.140625" style="203" customWidth="1"/>
    <col min="1536" max="1536" width="17" style="203" customWidth="1"/>
    <col min="1537" max="1542" width="11.42578125" style="203"/>
    <col min="1543" max="1543" width="10.5703125" style="203" customWidth="1"/>
    <col min="1544" max="1544" width="9.7109375" style="203" customWidth="1"/>
    <col min="1545" max="1546" width="11.42578125" style="203"/>
    <col min="1547" max="1547" width="4.7109375" style="203" customWidth="1"/>
    <col min="1548" max="1548" width="7.7109375" style="203" customWidth="1"/>
    <col min="1549" max="1552" width="11.42578125" style="203"/>
    <col min="1553" max="1553" width="13.7109375" style="203" customWidth="1"/>
    <col min="1554" max="1555" width="11.42578125" style="203"/>
    <col min="1556" max="1556" width="6.5703125" style="203" customWidth="1"/>
    <col min="1557" max="1557" width="0" style="203" hidden="1" customWidth="1"/>
    <col min="1558" max="1558" width="11.42578125" style="203"/>
    <col min="1559" max="1559" width="14.7109375" style="203" customWidth="1"/>
    <col min="1560" max="1560" width="11.42578125" style="203"/>
    <col min="1561" max="1561" width="10.85546875" style="203" customWidth="1"/>
    <col min="1562" max="1562" width="9.140625" style="203" customWidth="1"/>
    <col min="1563" max="1790" width="11.42578125" style="203"/>
    <col min="1791" max="1791" width="4.140625" style="203" customWidth="1"/>
    <col min="1792" max="1792" width="17" style="203" customWidth="1"/>
    <col min="1793" max="1798" width="11.42578125" style="203"/>
    <col min="1799" max="1799" width="10.5703125" style="203" customWidth="1"/>
    <col min="1800" max="1800" width="9.7109375" style="203" customWidth="1"/>
    <col min="1801" max="1802" width="11.42578125" style="203"/>
    <col min="1803" max="1803" width="4.7109375" style="203" customWidth="1"/>
    <col min="1804" max="1804" width="7.7109375" style="203" customWidth="1"/>
    <col min="1805" max="1808" width="11.42578125" style="203"/>
    <col min="1809" max="1809" width="13.7109375" style="203" customWidth="1"/>
    <col min="1810" max="1811" width="11.42578125" style="203"/>
    <col min="1812" max="1812" width="6.5703125" style="203" customWidth="1"/>
    <col min="1813" max="1813" width="0" style="203" hidden="1" customWidth="1"/>
    <col min="1814" max="1814" width="11.42578125" style="203"/>
    <col min="1815" max="1815" width="14.7109375" style="203" customWidth="1"/>
    <col min="1816" max="1816" width="11.42578125" style="203"/>
    <col min="1817" max="1817" width="10.85546875" style="203" customWidth="1"/>
    <col min="1818" max="1818" width="9.140625" style="203" customWidth="1"/>
    <col min="1819" max="2046" width="11.42578125" style="203"/>
    <col min="2047" max="2047" width="4.140625" style="203" customWidth="1"/>
    <col min="2048" max="2048" width="17" style="203" customWidth="1"/>
    <col min="2049" max="2054" width="11.42578125" style="203"/>
    <col min="2055" max="2055" width="10.5703125" style="203" customWidth="1"/>
    <col min="2056" max="2056" width="9.7109375" style="203" customWidth="1"/>
    <col min="2057" max="2058" width="11.42578125" style="203"/>
    <col min="2059" max="2059" width="4.7109375" style="203" customWidth="1"/>
    <col min="2060" max="2060" width="7.7109375" style="203" customWidth="1"/>
    <col min="2061" max="2064" width="11.42578125" style="203"/>
    <col min="2065" max="2065" width="13.7109375" style="203" customWidth="1"/>
    <col min="2066" max="2067" width="11.42578125" style="203"/>
    <col min="2068" max="2068" width="6.5703125" style="203" customWidth="1"/>
    <col min="2069" max="2069" width="0" style="203" hidden="1" customWidth="1"/>
    <col min="2070" max="2070" width="11.42578125" style="203"/>
    <col min="2071" max="2071" width="14.7109375" style="203" customWidth="1"/>
    <col min="2072" max="2072" width="11.42578125" style="203"/>
    <col min="2073" max="2073" width="10.85546875" style="203" customWidth="1"/>
    <col min="2074" max="2074" width="9.140625" style="203" customWidth="1"/>
    <col min="2075" max="2302" width="11.42578125" style="203"/>
    <col min="2303" max="2303" width="4.140625" style="203" customWidth="1"/>
    <col min="2304" max="2304" width="17" style="203" customWidth="1"/>
    <col min="2305" max="2310" width="11.42578125" style="203"/>
    <col min="2311" max="2311" width="10.5703125" style="203" customWidth="1"/>
    <col min="2312" max="2312" width="9.7109375" style="203" customWidth="1"/>
    <col min="2313" max="2314" width="11.42578125" style="203"/>
    <col min="2315" max="2315" width="4.7109375" style="203" customWidth="1"/>
    <col min="2316" max="2316" width="7.7109375" style="203" customWidth="1"/>
    <col min="2317" max="2320" width="11.42578125" style="203"/>
    <col min="2321" max="2321" width="13.7109375" style="203" customWidth="1"/>
    <col min="2322" max="2323" width="11.42578125" style="203"/>
    <col min="2324" max="2324" width="6.5703125" style="203" customWidth="1"/>
    <col min="2325" max="2325" width="0" style="203" hidden="1" customWidth="1"/>
    <col min="2326" max="2326" width="11.42578125" style="203"/>
    <col min="2327" max="2327" width="14.7109375" style="203" customWidth="1"/>
    <col min="2328" max="2328" width="11.42578125" style="203"/>
    <col min="2329" max="2329" width="10.85546875" style="203" customWidth="1"/>
    <col min="2330" max="2330" width="9.140625" style="203" customWidth="1"/>
    <col min="2331" max="2558" width="11.42578125" style="203"/>
    <col min="2559" max="2559" width="4.140625" style="203" customWidth="1"/>
    <col min="2560" max="2560" width="17" style="203" customWidth="1"/>
    <col min="2561" max="2566" width="11.42578125" style="203"/>
    <col min="2567" max="2567" width="10.5703125" style="203" customWidth="1"/>
    <col min="2568" max="2568" width="9.7109375" style="203" customWidth="1"/>
    <col min="2569" max="2570" width="11.42578125" style="203"/>
    <col min="2571" max="2571" width="4.7109375" style="203" customWidth="1"/>
    <col min="2572" max="2572" width="7.7109375" style="203" customWidth="1"/>
    <col min="2573" max="2576" width="11.42578125" style="203"/>
    <col min="2577" max="2577" width="13.7109375" style="203" customWidth="1"/>
    <col min="2578" max="2579" width="11.42578125" style="203"/>
    <col min="2580" max="2580" width="6.5703125" style="203" customWidth="1"/>
    <col min="2581" max="2581" width="0" style="203" hidden="1" customWidth="1"/>
    <col min="2582" max="2582" width="11.42578125" style="203"/>
    <col min="2583" max="2583" width="14.7109375" style="203" customWidth="1"/>
    <col min="2584" max="2584" width="11.42578125" style="203"/>
    <col min="2585" max="2585" width="10.85546875" style="203" customWidth="1"/>
    <col min="2586" max="2586" width="9.140625" style="203" customWidth="1"/>
    <col min="2587" max="2814" width="11.42578125" style="203"/>
    <col min="2815" max="2815" width="4.140625" style="203" customWidth="1"/>
    <col min="2816" max="2816" width="17" style="203" customWidth="1"/>
    <col min="2817" max="2822" width="11.42578125" style="203"/>
    <col min="2823" max="2823" width="10.5703125" style="203" customWidth="1"/>
    <col min="2824" max="2824" width="9.7109375" style="203" customWidth="1"/>
    <col min="2825" max="2826" width="11.42578125" style="203"/>
    <col min="2827" max="2827" width="4.7109375" style="203" customWidth="1"/>
    <col min="2828" max="2828" width="7.7109375" style="203" customWidth="1"/>
    <col min="2829" max="2832" width="11.42578125" style="203"/>
    <col min="2833" max="2833" width="13.7109375" style="203" customWidth="1"/>
    <col min="2834" max="2835" width="11.42578125" style="203"/>
    <col min="2836" max="2836" width="6.5703125" style="203" customWidth="1"/>
    <col min="2837" max="2837" width="0" style="203" hidden="1" customWidth="1"/>
    <col min="2838" max="2838" width="11.42578125" style="203"/>
    <col min="2839" max="2839" width="14.7109375" style="203" customWidth="1"/>
    <col min="2840" max="2840" width="11.42578125" style="203"/>
    <col min="2841" max="2841" width="10.85546875" style="203" customWidth="1"/>
    <col min="2842" max="2842" width="9.140625" style="203" customWidth="1"/>
    <col min="2843" max="3070" width="11.42578125" style="203"/>
    <col min="3071" max="3071" width="4.140625" style="203" customWidth="1"/>
    <col min="3072" max="3072" width="17" style="203" customWidth="1"/>
    <col min="3073" max="3078" width="11.42578125" style="203"/>
    <col min="3079" max="3079" width="10.5703125" style="203" customWidth="1"/>
    <col min="3080" max="3080" width="9.7109375" style="203" customWidth="1"/>
    <col min="3081" max="3082" width="11.42578125" style="203"/>
    <col min="3083" max="3083" width="4.7109375" style="203" customWidth="1"/>
    <col min="3084" max="3084" width="7.7109375" style="203" customWidth="1"/>
    <col min="3085" max="3088" width="11.42578125" style="203"/>
    <col min="3089" max="3089" width="13.7109375" style="203" customWidth="1"/>
    <col min="3090" max="3091" width="11.42578125" style="203"/>
    <col min="3092" max="3092" width="6.5703125" style="203" customWidth="1"/>
    <col min="3093" max="3093" width="0" style="203" hidden="1" customWidth="1"/>
    <col min="3094" max="3094" width="11.42578125" style="203"/>
    <col min="3095" max="3095" width="14.7109375" style="203" customWidth="1"/>
    <col min="3096" max="3096" width="11.42578125" style="203"/>
    <col min="3097" max="3097" width="10.85546875" style="203" customWidth="1"/>
    <col min="3098" max="3098" width="9.140625" style="203" customWidth="1"/>
    <col min="3099" max="3326" width="11.42578125" style="203"/>
    <col min="3327" max="3327" width="4.140625" style="203" customWidth="1"/>
    <col min="3328" max="3328" width="17" style="203" customWidth="1"/>
    <col min="3329" max="3334" width="11.42578125" style="203"/>
    <col min="3335" max="3335" width="10.5703125" style="203" customWidth="1"/>
    <col min="3336" max="3336" width="9.7109375" style="203" customWidth="1"/>
    <col min="3337" max="3338" width="11.42578125" style="203"/>
    <col min="3339" max="3339" width="4.7109375" style="203" customWidth="1"/>
    <col min="3340" max="3340" width="7.7109375" style="203" customWidth="1"/>
    <col min="3341" max="3344" width="11.42578125" style="203"/>
    <col min="3345" max="3345" width="13.7109375" style="203" customWidth="1"/>
    <col min="3346" max="3347" width="11.42578125" style="203"/>
    <col min="3348" max="3348" width="6.5703125" style="203" customWidth="1"/>
    <col min="3349" max="3349" width="0" style="203" hidden="1" customWidth="1"/>
    <col min="3350" max="3350" width="11.42578125" style="203"/>
    <col min="3351" max="3351" width="14.7109375" style="203" customWidth="1"/>
    <col min="3352" max="3352" width="11.42578125" style="203"/>
    <col min="3353" max="3353" width="10.85546875" style="203" customWidth="1"/>
    <col min="3354" max="3354" width="9.140625" style="203" customWidth="1"/>
    <col min="3355" max="3582" width="11.42578125" style="203"/>
    <col min="3583" max="3583" width="4.140625" style="203" customWidth="1"/>
    <col min="3584" max="3584" width="17" style="203" customWidth="1"/>
    <col min="3585" max="3590" width="11.42578125" style="203"/>
    <col min="3591" max="3591" width="10.5703125" style="203" customWidth="1"/>
    <col min="3592" max="3592" width="9.7109375" style="203" customWidth="1"/>
    <col min="3593" max="3594" width="11.42578125" style="203"/>
    <col min="3595" max="3595" width="4.7109375" style="203" customWidth="1"/>
    <col min="3596" max="3596" width="7.7109375" style="203" customWidth="1"/>
    <col min="3597" max="3600" width="11.42578125" style="203"/>
    <col min="3601" max="3601" width="13.7109375" style="203" customWidth="1"/>
    <col min="3602" max="3603" width="11.42578125" style="203"/>
    <col min="3604" max="3604" width="6.5703125" style="203" customWidth="1"/>
    <col min="3605" max="3605" width="0" style="203" hidden="1" customWidth="1"/>
    <col min="3606" max="3606" width="11.42578125" style="203"/>
    <col min="3607" max="3607" width="14.7109375" style="203" customWidth="1"/>
    <col min="3608" max="3608" width="11.42578125" style="203"/>
    <col min="3609" max="3609" width="10.85546875" style="203" customWidth="1"/>
    <col min="3610" max="3610" width="9.140625" style="203" customWidth="1"/>
    <col min="3611" max="3838" width="11.42578125" style="203"/>
    <col min="3839" max="3839" width="4.140625" style="203" customWidth="1"/>
    <col min="3840" max="3840" width="17" style="203" customWidth="1"/>
    <col min="3841" max="3846" width="11.42578125" style="203"/>
    <col min="3847" max="3847" width="10.5703125" style="203" customWidth="1"/>
    <col min="3848" max="3848" width="9.7109375" style="203" customWidth="1"/>
    <col min="3849" max="3850" width="11.42578125" style="203"/>
    <col min="3851" max="3851" width="4.7109375" style="203" customWidth="1"/>
    <col min="3852" max="3852" width="7.7109375" style="203" customWidth="1"/>
    <col min="3853" max="3856" width="11.42578125" style="203"/>
    <col min="3857" max="3857" width="13.7109375" style="203" customWidth="1"/>
    <col min="3858" max="3859" width="11.42578125" style="203"/>
    <col min="3860" max="3860" width="6.5703125" style="203" customWidth="1"/>
    <col min="3861" max="3861" width="0" style="203" hidden="1" customWidth="1"/>
    <col min="3862" max="3862" width="11.42578125" style="203"/>
    <col min="3863" max="3863" width="14.7109375" style="203" customWidth="1"/>
    <col min="3864" max="3864" width="11.42578125" style="203"/>
    <col min="3865" max="3865" width="10.85546875" style="203" customWidth="1"/>
    <col min="3866" max="3866" width="9.140625" style="203" customWidth="1"/>
    <col min="3867" max="4094" width="11.42578125" style="203"/>
    <col min="4095" max="4095" width="4.140625" style="203" customWidth="1"/>
    <col min="4096" max="4096" width="17" style="203" customWidth="1"/>
    <col min="4097" max="4102" width="11.42578125" style="203"/>
    <col min="4103" max="4103" width="10.5703125" style="203" customWidth="1"/>
    <col min="4104" max="4104" width="9.7109375" style="203" customWidth="1"/>
    <col min="4105" max="4106" width="11.42578125" style="203"/>
    <col min="4107" max="4107" width="4.7109375" style="203" customWidth="1"/>
    <col min="4108" max="4108" width="7.7109375" style="203" customWidth="1"/>
    <col min="4109" max="4112" width="11.42578125" style="203"/>
    <col min="4113" max="4113" width="13.7109375" style="203" customWidth="1"/>
    <col min="4114" max="4115" width="11.42578125" style="203"/>
    <col min="4116" max="4116" width="6.5703125" style="203" customWidth="1"/>
    <col min="4117" max="4117" width="0" style="203" hidden="1" customWidth="1"/>
    <col min="4118" max="4118" width="11.42578125" style="203"/>
    <col min="4119" max="4119" width="14.7109375" style="203" customWidth="1"/>
    <col min="4120" max="4120" width="11.42578125" style="203"/>
    <col min="4121" max="4121" width="10.85546875" style="203" customWidth="1"/>
    <col min="4122" max="4122" width="9.140625" style="203" customWidth="1"/>
    <col min="4123" max="4350" width="11.42578125" style="203"/>
    <col min="4351" max="4351" width="4.140625" style="203" customWidth="1"/>
    <col min="4352" max="4352" width="17" style="203" customWidth="1"/>
    <col min="4353" max="4358" width="11.42578125" style="203"/>
    <col min="4359" max="4359" width="10.5703125" style="203" customWidth="1"/>
    <col min="4360" max="4360" width="9.7109375" style="203" customWidth="1"/>
    <col min="4361" max="4362" width="11.42578125" style="203"/>
    <col min="4363" max="4363" width="4.7109375" style="203" customWidth="1"/>
    <col min="4364" max="4364" width="7.7109375" style="203" customWidth="1"/>
    <col min="4365" max="4368" width="11.42578125" style="203"/>
    <col min="4369" max="4369" width="13.7109375" style="203" customWidth="1"/>
    <col min="4370" max="4371" width="11.42578125" style="203"/>
    <col min="4372" max="4372" width="6.5703125" style="203" customWidth="1"/>
    <col min="4373" max="4373" width="0" style="203" hidden="1" customWidth="1"/>
    <col min="4374" max="4374" width="11.42578125" style="203"/>
    <col min="4375" max="4375" width="14.7109375" style="203" customWidth="1"/>
    <col min="4376" max="4376" width="11.42578125" style="203"/>
    <col min="4377" max="4377" width="10.85546875" style="203" customWidth="1"/>
    <col min="4378" max="4378" width="9.140625" style="203" customWidth="1"/>
    <col min="4379" max="4606" width="11.42578125" style="203"/>
    <col min="4607" max="4607" width="4.140625" style="203" customWidth="1"/>
    <col min="4608" max="4608" width="17" style="203" customWidth="1"/>
    <col min="4609" max="4614" width="11.42578125" style="203"/>
    <col min="4615" max="4615" width="10.5703125" style="203" customWidth="1"/>
    <col min="4616" max="4616" width="9.7109375" style="203" customWidth="1"/>
    <col min="4617" max="4618" width="11.42578125" style="203"/>
    <col min="4619" max="4619" width="4.7109375" style="203" customWidth="1"/>
    <col min="4620" max="4620" width="7.7109375" style="203" customWidth="1"/>
    <col min="4621" max="4624" width="11.42578125" style="203"/>
    <col min="4625" max="4625" width="13.7109375" style="203" customWidth="1"/>
    <col min="4626" max="4627" width="11.42578125" style="203"/>
    <col min="4628" max="4628" width="6.5703125" style="203" customWidth="1"/>
    <col min="4629" max="4629" width="0" style="203" hidden="1" customWidth="1"/>
    <col min="4630" max="4630" width="11.42578125" style="203"/>
    <col min="4631" max="4631" width="14.7109375" style="203" customWidth="1"/>
    <col min="4632" max="4632" width="11.42578125" style="203"/>
    <col min="4633" max="4633" width="10.85546875" style="203" customWidth="1"/>
    <col min="4634" max="4634" width="9.140625" style="203" customWidth="1"/>
    <col min="4635" max="4862" width="11.42578125" style="203"/>
    <col min="4863" max="4863" width="4.140625" style="203" customWidth="1"/>
    <col min="4864" max="4864" width="17" style="203" customWidth="1"/>
    <col min="4865" max="4870" width="11.42578125" style="203"/>
    <col min="4871" max="4871" width="10.5703125" style="203" customWidth="1"/>
    <col min="4872" max="4872" width="9.7109375" style="203" customWidth="1"/>
    <col min="4873" max="4874" width="11.42578125" style="203"/>
    <col min="4875" max="4875" width="4.7109375" style="203" customWidth="1"/>
    <col min="4876" max="4876" width="7.7109375" style="203" customWidth="1"/>
    <col min="4877" max="4880" width="11.42578125" style="203"/>
    <col min="4881" max="4881" width="13.7109375" style="203" customWidth="1"/>
    <col min="4882" max="4883" width="11.42578125" style="203"/>
    <col min="4884" max="4884" width="6.5703125" style="203" customWidth="1"/>
    <col min="4885" max="4885" width="0" style="203" hidden="1" customWidth="1"/>
    <col min="4886" max="4886" width="11.42578125" style="203"/>
    <col min="4887" max="4887" width="14.7109375" style="203" customWidth="1"/>
    <col min="4888" max="4888" width="11.42578125" style="203"/>
    <col min="4889" max="4889" width="10.85546875" style="203" customWidth="1"/>
    <col min="4890" max="4890" width="9.140625" style="203" customWidth="1"/>
    <col min="4891" max="5118" width="11.42578125" style="203"/>
    <col min="5119" max="5119" width="4.140625" style="203" customWidth="1"/>
    <col min="5120" max="5120" width="17" style="203" customWidth="1"/>
    <col min="5121" max="5126" width="11.42578125" style="203"/>
    <col min="5127" max="5127" width="10.5703125" style="203" customWidth="1"/>
    <col min="5128" max="5128" width="9.7109375" style="203" customWidth="1"/>
    <col min="5129" max="5130" width="11.42578125" style="203"/>
    <col min="5131" max="5131" width="4.7109375" style="203" customWidth="1"/>
    <col min="5132" max="5132" width="7.7109375" style="203" customWidth="1"/>
    <col min="5133" max="5136" width="11.42578125" style="203"/>
    <col min="5137" max="5137" width="13.7109375" style="203" customWidth="1"/>
    <col min="5138" max="5139" width="11.42578125" style="203"/>
    <col min="5140" max="5140" width="6.5703125" style="203" customWidth="1"/>
    <col min="5141" max="5141" width="0" style="203" hidden="1" customWidth="1"/>
    <col min="5142" max="5142" width="11.42578125" style="203"/>
    <col min="5143" max="5143" width="14.7109375" style="203" customWidth="1"/>
    <col min="5144" max="5144" width="11.42578125" style="203"/>
    <col min="5145" max="5145" width="10.85546875" style="203" customWidth="1"/>
    <col min="5146" max="5146" width="9.140625" style="203" customWidth="1"/>
    <col min="5147" max="5374" width="11.42578125" style="203"/>
    <col min="5375" max="5375" width="4.140625" style="203" customWidth="1"/>
    <col min="5376" max="5376" width="17" style="203" customWidth="1"/>
    <col min="5377" max="5382" width="11.42578125" style="203"/>
    <col min="5383" max="5383" width="10.5703125" style="203" customWidth="1"/>
    <col min="5384" max="5384" width="9.7109375" style="203" customWidth="1"/>
    <col min="5385" max="5386" width="11.42578125" style="203"/>
    <col min="5387" max="5387" width="4.7109375" style="203" customWidth="1"/>
    <col min="5388" max="5388" width="7.7109375" style="203" customWidth="1"/>
    <col min="5389" max="5392" width="11.42578125" style="203"/>
    <col min="5393" max="5393" width="13.7109375" style="203" customWidth="1"/>
    <col min="5394" max="5395" width="11.42578125" style="203"/>
    <col min="5396" max="5396" width="6.5703125" style="203" customWidth="1"/>
    <col min="5397" max="5397" width="0" style="203" hidden="1" customWidth="1"/>
    <col min="5398" max="5398" width="11.42578125" style="203"/>
    <col min="5399" max="5399" width="14.7109375" style="203" customWidth="1"/>
    <col min="5400" max="5400" width="11.42578125" style="203"/>
    <col min="5401" max="5401" width="10.85546875" style="203" customWidth="1"/>
    <col min="5402" max="5402" width="9.140625" style="203" customWidth="1"/>
    <col min="5403" max="5630" width="11.42578125" style="203"/>
    <col min="5631" max="5631" width="4.140625" style="203" customWidth="1"/>
    <col min="5632" max="5632" width="17" style="203" customWidth="1"/>
    <col min="5633" max="5638" width="11.42578125" style="203"/>
    <col min="5639" max="5639" width="10.5703125" style="203" customWidth="1"/>
    <col min="5640" max="5640" width="9.7109375" style="203" customWidth="1"/>
    <col min="5641" max="5642" width="11.42578125" style="203"/>
    <col min="5643" max="5643" width="4.7109375" style="203" customWidth="1"/>
    <col min="5644" max="5644" width="7.7109375" style="203" customWidth="1"/>
    <col min="5645" max="5648" width="11.42578125" style="203"/>
    <col min="5649" max="5649" width="13.7109375" style="203" customWidth="1"/>
    <col min="5650" max="5651" width="11.42578125" style="203"/>
    <col min="5652" max="5652" width="6.5703125" style="203" customWidth="1"/>
    <col min="5653" max="5653" width="0" style="203" hidden="1" customWidth="1"/>
    <col min="5654" max="5654" width="11.42578125" style="203"/>
    <col min="5655" max="5655" width="14.7109375" style="203" customWidth="1"/>
    <col min="5656" max="5656" width="11.42578125" style="203"/>
    <col min="5657" max="5657" width="10.85546875" style="203" customWidth="1"/>
    <col min="5658" max="5658" width="9.140625" style="203" customWidth="1"/>
    <col min="5659" max="5886" width="11.42578125" style="203"/>
    <col min="5887" max="5887" width="4.140625" style="203" customWidth="1"/>
    <col min="5888" max="5888" width="17" style="203" customWidth="1"/>
    <col min="5889" max="5894" width="11.42578125" style="203"/>
    <col min="5895" max="5895" width="10.5703125" style="203" customWidth="1"/>
    <col min="5896" max="5896" width="9.7109375" style="203" customWidth="1"/>
    <col min="5897" max="5898" width="11.42578125" style="203"/>
    <col min="5899" max="5899" width="4.7109375" style="203" customWidth="1"/>
    <col min="5900" max="5900" width="7.7109375" style="203" customWidth="1"/>
    <col min="5901" max="5904" width="11.42578125" style="203"/>
    <col min="5905" max="5905" width="13.7109375" style="203" customWidth="1"/>
    <col min="5906" max="5907" width="11.42578125" style="203"/>
    <col min="5908" max="5908" width="6.5703125" style="203" customWidth="1"/>
    <col min="5909" max="5909" width="0" style="203" hidden="1" customWidth="1"/>
    <col min="5910" max="5910" width="11.42578125" style="203"/>
    <col min="5911" max="5911" width="14.7109375" style="203" customWidth="1"/>
    <col min="5912" max="5912" width="11.42578125" style="203"/>
    <col min="5913" max="5913" width="10.85546875" style="203" customWidth="1"/>
    <col min="5914" max="5914" width="9.140625" style="203" customWidth="1"/>
    <col min="5915" max="6142" width="11.42578125" style="203"/>
    <col min="6143" max="6143" width="4.140625" style="203" customWidth="1"/>
    <col min="6144" max="6144" width="17" style="203" customWidth="1"/>
    <col min="6145" max="6150" width="11.42578125" style="203"/>
    <col min="6151" max="6151" width="10.5703125" style="203" customWidth="1"/>
    <col min="6152" max="6152" width="9.7109375" style="203" customWidth="1"/>
    <col min="6153" max="6154" width="11.42578125" style="203"/>
    <col min="6155" max="6155" width="4.7109375" style="203" customWidth="1"/>
    <col min="6156" max="6156" width="7.7109375" style="203" customWidth="1"/>
    <col min="6157" max="6160" width="11.42578125" style="203"/>
    <col min="6161" max="6161" width="13.7109375" style="203" customWidth="1"/>
    <col min="6162" max="6163" width="11.42578125" style="203"/>
    <col min="6164" max="6164" width="6.5703125" style="203" customWidth="1"/>
    <col min="6165" max="6165" width="0" style="203" hidden="1" customWidth="1"/>
    <col min="6166" max="6166" width="11.42578125" style="203"/>
    <col min="6167" max="6167" width="14.7109375" style="203" customWidth="1"/>
    <col min="6168" max="6168" width="11.42578125" style="203"/>
    <col min="6169" max="6169" width="10.85546875" style="203" customWidth="1"/>
    <col min="6170" max="6170" width="9.140625" style="203" customWidth="1"/>
    <col min="6171" max="6398" width="11.42578125" style="203"/>
    <col min="6399" max="6399" width="4.140625" style="203" customWidth="1"/>
    <col min="6400" max="6400" width="17" style="203" customWidth="1"/>
    <col min="6401" max="6406" width="11.42578125" style="203"/>
    <col min="6407" max="6407" width="10.5703125" style="203" customWidth="1"/>
    <col min="6408" max="6408" width="9.7109375" style="203" customWidth="1"/>
    <col min="6409" max="6410" width="11.42578125" style="203"/>
    <col min="6411" max="6411" width="4.7109375" style="203" customWidth="1"/>
    <col min="6412" max="6412" width="7.7109375" style="203" customWidth="1"/>
    <col min="6413" max="6416" width="11.42578125" style="203"/>
    <col min="6417" max="6417" width="13.7109375" style="203" customWidth="1"/>
    <col min="6418" max="6419" width="11.42578125" style="203"/>
    <col min="6420" max="6420" width="6.5703125" style="203" customWidth="1"/>
    <col min="6421" max="6421" width="0" style="203" hidden="1" customWidth="1"/>
    <col min="6422" max="6422" width="11.42578125" style="203"/>
    <col min="6423" max="6423" width="14.7109375" style="203" customWidth="1"/>
    <col min="6424" max="6424" width="11.42578125" style="203"/>
    <col min="6425" max="6425" width="10.85546875" style="203" customWidth="1"/>
    <col min="6426" max="6426" width="9.140625" style="203" customWidth="1"/>
    <col min="6427" max="6654" width="11.42578125" style="203"/>
    <col min="6655" max="6655" width="4.140625" style="203" customWidth="1"/>
    <col min="6656" max="6656" width="17" style="203" customWidth="1"/>
    <col min="6657" max="6662" width="11.42578125" style="203"/>
    <col min="6663" max="6663" width="10.5703125" style="203" customWidth="1"/>
    <col min="6664" max="6664" width="9.7109375" style="203" customWidth="1"/>
    <col min="6665" max="6666" width="11.42578125" style="203"/>
    <col min="6667" max="6667" width="4.7109375" style="203" customWidth="1"/>
    <col min="6668" max="6668" width="7.7109375" style="203" customWidth="1"/>
    <col min="6669" max="6672" width="11.42578125" style="203"/>
    <col min="6673" max="6673" width="13.7109375" style="203" customWidth="1"/>
    <col min="6674" max="6675" width="11.42578125" style="203"/>
    <col min="6676" max="6676" width="6.5703125" style="203" customWidth="1"/>
    <col min="6677" max="6677" width="0" style="203" hidden="1" customWidth="1"/>
    <col min="6678" max="6678" width="11.42578125" style="203"/>
    <col min="6679" max="6679" width="14.7109375" style="203" customWidth="1"/>
    <col min="6680" max="6680" width="11.42578125" style="203"/>
    <col min="6681" max="6681" width="10.85546875" style="203" customWidth="1"/>
    <col min="6682" max="6682" width="9.140625" style="203" customWidth="1"/>
    <col min="6683" max="6910" width="11.42578125" style="203"/>
    <col min="6911" max="6911" width="4.140625" style="203" customWidth="1"/>
    <col min="6912" max="6912" width="17" style="203" customWidth="1"/>
    <col min="6913" max="6918" width="11.42578125" style="203"/>
    <col min="6919" max="6919" width="10.5703125" style="203" customWidth="1"/>
    <col min="6920" max="6920" width="9.7109375" style="203" customWidth="1"/>
    <col min="6921" max="6922" width="11.42578125" style="203"/>
    <col min="6923" max="6923" width="4.7109375" style="203" customWidth="1"/>
    <col min="6924" max="6924" width="7.7109375" style="203" customWidth="1"/>
    <col min="6925" max="6928" width="11.42578125" style="203"/>
    <col min="6929" max="6929" width="13.7109375" style="203" customWidth="1"/>
    <col min="6930" max="6931" width="11.42578125" style="203"/>
    <col min="6932" max="6932" width="6.5703125" style="203" customWidth="1"/>
    <col min="6933" max="6933" width="0" style="203" hidden="1" customWidth="1"/>
    <col min="6934" max="6934" width="11.42578125" style="203"/>
    <col min="6935" max="6935" width="14.7109375" style="203" customWidth="1"/>
    <col min="6936" max="6936" width="11.42578125" style="203"/>
    <col min="6937" max="6937" width="10.85546875" style="203" customWidth="1"/>
    <col min="6938" max="6938" width="9.140625" style="203" customWidth="1"/>
    <col min="6939" max="7166" width="11.42578125" style="203"/>
    <col min="7167" max="7167" width="4.140625" style="203" customWidth="1"/>
    <col min="7168" max="7168" width="17" style="203" customWidth="1"/>
    <col min="7169" max="7174" width="11.42578125" style="203"/>
    <col min="7175" max="7175" width="10.5703125" style="203" customWidth="1"/>
    <col min="7176" max="7176" width="9.7109375" style="203" customWidth="1"/>
    <col min="7177" max="7178" width="11.42578125" style="203"/>
    <col min="7179" max="7179" width="4.7109375" style="203" customWidth="1"/>
    <col min="7180" max="7180" width="7.7109375" style="203" customWidth="1"/>
    <col min="7181" max="7184" width="11.42578125" style="203"/>
    <col min="7185" max="7185" width="13.7109375" style="203" customWidth="1"/>
    <col min="7186" max="7187" width="11.42578125" style="203"/>
    <col min="7188" max="7188" width="6.5703125" style="203" customWidth="1"/>
    <col min="7189" max="7189" width="0" style="203" hidden="1" customWidth="1"/>
    <col min="7190" max="7190" width="11.42578125" style="203"/>
    <col min="7191" max="7191" width="14.7109375" style="203" customWidth="1"/>
    <col min="7192" max="7192" width="11.42578125" style="203"/>
    <col min="7193" max="7193" width="10.85546875" style="203" customWidth="1"/>
    <col min="7194" max="7194" width="9.140625" style="203" customWidth="1"/>
    <col min="7195" max="7422" width="11.42578125" style="203"/>
    <col min="7423" max="7423" width="4.140625" style="203" customWidth="1"/>
    <col min="7424" max="7424" width="17" style="203" customWidth="1"/>
    <col min="7425" max="7430" width="11.42578125" style="203"/>
    <col min="7431" max="7431" width="10.5703125" style="203" customWidth="1"/>
    <col min="7432" max="7432" width="9.7109375" style="203" customWidth="1"/>
    <col min="7433" max="7434" width="11.42578125" style="203"/>
    <col min="7435" max="7435" width="4.7109375" style="203" customWidth="1"/>
    <col min="7436" max="7436" width="7.7109375" style="203" customWidth="1"/>
    <col min="7437" max="7440" width="11.42578125" style="203"/>
    <col min="7441" max="7441" width="13.7109375" style="203" customWidth="1"/>
    <col min="7442" max="7443" width="11.42578125" style="203"/>
    <col min="7444" max="7444" width="6.5703125" style="203" customWidth="1"/>
    <col min="7445" max="7445" width="0" style="203" hidden="1" customWidth="1"/>
    <col min="7446" max="7446" width="11.42578125" style="203"/>
    <col min="7447" max="7447" width="14.7109375" style="203" customWidth="1"/>
    <col min="7448" max="7448" width="11.42578125" style="203"/>
    <col min="7449" max="7449" width="10.85546875" style="203" customWidth="1"/>
    <col min="7450" max="7450" width="9.140625" style="203" customWidth="1"/>
    <col min="7451" max="7678" width="11.42578125" style="203"/>
    <col min="7679" max="7679" width="4.140625" style="203" customWidth="1"/>
    <col min="7680" max="7680" width="17" style="203" customWidth="1"/>
    <col min="7681" max="7686" width="11.42578125" style="203"/>
    <col min="7687" max="7687" width="10.5703125" style="203" customWidth="1"/>
    <col min="7688" max="7688" width="9.7109375" style="203" customWidth="1"/>
    <col min="7689" max="7690" width="11.42578125" style="203"/>
    <col min="7691" max="7691" width="4.7109375" style="203" customWidth="1"/>
    <col min="7692" max="7692" width="7.7109375" style="203" customWidth="1"/>
    <col min="7693" max="7696" width="11.42578125" style="203"/>
    <col min="7697" max="7697" width="13.7109375" style="203" customWidth="1"/>
    <col min="7698" max="7699" width="11.42578125" style="203"/>
    <col min="7700" max="7700" width="6.5703125" style="203" customWidth="1"/>
    <col min="7701" max="7701" width="0" style="203" hidden="1" customWidth="1"/>
    <col min="7702" max="7702" width="11.42578125" style="203"/>
    <col min="7703" max="7703" width="14.7109375" style="203" customWidth="1"/>
    <col min="7704" max="7704" width="11.42578125" style="203"/>
    <col min="7705" max="7705" width="10.85546875" style="203" customWidth="1"/>
    <col min="7706" max="7706" width="9.140625" style="203" customWidth="1"/>
    <col min="7707" max="7934" width="11.42578125" style="203"/>
    <col min="7935" max="7935" width="4.140625" style="203" customWidth="1"/>
    <col min="7936" max="7936" width="17" style="203" customWidth="1"/>
    <col min="7937" max="7942" width="11.42578125" style="203"/>
    <col min="7943" max="7943" width="10.5703125" style="203" customWidth="1"/>
    <col min="7944" max="7944" width="9.7109375" style="203" customWidth="1"/>
    <col min="7945" max="7946" width="11.42578125" style="203"/>
    <col min="7947" max="7947" width="4.7109375" style="203" customWidth="1"/>
    <col min="7948" max="7948" width="7.7109375" style="203" customWidth="1"/>
    <col min="7949" max="7952" width="11.42578125" style="203"/>
    <col min="7953" max="7953" width="13.7109375" style="203" customWidth="1"/>
    <col min="7954" max="7955" width="11.42578125" style="203"/>
    <col min="7956" max="7956" width="6.5703125" style="203" customWidth="1"/>
    <col min="7957" max="7957" width="0" style="203" hidden="1" customWidth="1"/>
    <col min="7958" max="7958" width="11.42578125" style="203"/>
    <col min="7959" max="7959" width="14.7109375" style="203" customWidth="1"/>
    <col min="7960" max="7960" width="11.42578125" style="203"/>
    <col min="7961" max="7961" width="10.85546875" style="203" customWidth="1"/>
    <col min="7962" max="7962" width="9.140625" style="203" customWidth="1"/>
    <col min="7963" max="8190" width="11.42578125" style="203"/>
    <col min="8191" max="8191" width="4.140625" style="203" customWidth="1"/>
    <col min="8192" max="8192" width="17" style="203" customWidth="1"/>
    <col min="8193" max="8198" width="11.42578125" style="203"/>
    <col min="8199" max="8199" width="10.5703125" style="203" customWidth="1"/>
    <col min="8200" max="8200" width="9.7109375" style="203" customWidth="1"/>
    <col min="8201" max="8202" width="11.42578125" style="203"/>
    <col min="8203" max="8203" width="4.7109375" style="203" customWidth="1"/>
    <col min="8204" max="8204" width="7.7109375" style="203" customWidth="1"/>
    <col min="8205" max="8208" width="11.42578125" style="203"/>
    <col min="8209" max="8209" width="13.7109375" style="203" customWidth="1"/>
    <col min="8210" max="8211" width="11.42578125" style="203"/>
    <col min="8212" max="8212" width="6.5703125" style="203" customWidth="1"/>
    <col min="8213" max="8213" width="0" style="203" hidden="1" customWidth="1"/>
    <col min="8214" max="8214" width="11.42578125" style="203"/>
    <col min="8215" max="8215" width="14.7109375" style="203" customWidth="1"/>
    <col min="8216" max="8216" width="11.42578125" style="203"/>
    <col min="8217" max="8217" width="10.85546875" style="203" customWidth="1"/>
    <col min="8218" max="8218" width="9.140625" style="203" customWidth="1"/>
    <col min="8219" max="8446" width="11.42578125" style="203"/>
    <col min="8447" max="8447" width="4.140625" style="203" customWidth="1"/>
    <col min="8448" max="8448" width="17" style="203" customWidth="1"/>
    <col min="8449" max="8454" width="11.42578125" style="203"/>
    <col min="8455" max="8455" width="10.5703125" style="203" customWidth="1"/>
    <col min="8456" max="8456" width="9.7109375" style="203" customWidth="1"/>
    <col min="8457" max="8458" width="11.42578125" style="203"/>
    <col min="8459" max="8459" width="4.7109375" style="203" customWidth="1"/>
    <col min="8460" max="8460" width="7.7109375" style="203" customWidth="1"/>
    <col min="8461" max="8464" width="11.42578125" style="203"/>
    <col min="8465" max="8465" width="13.7109375" style="203" customWidth="1"/>
    <col min="8466" max="8467" width="11.42578125" style="203"/>
    <col min="8468" max="8468" width="6.5703125" style="203" customWidth="1"/>
    <col min="8469" max="8469" width="0" style="203" hidden="1" customWidth="1"/>
    <col min="8470" max="8470" width="11.42578125" style="203"/>
    <col min="8471" max="8471" width="14.7109375" style="203" customWidth="1"/>
    <col min="8472" max="8472" width="11.42578125" style="203"/>
    <col min="8473" max="8473" width="10.85546875" style="203" customWidth="1"/>
    <col min="8474" max="8474" width="9.140625" style="203" customWidth="1"/>
    <col min="8475" max="8702" width="11.42578125" style="203"/>
    <col min="8703" max="8703" width="4.140625" style="203" customWidth="1"/>
    <col min="8704" max="8704" width="17" style="203" customWidth="1"/>
    <col min="8705" max="8710" width="11.42578125" style="203"/>
    <col min="8711" max="8711" width="10.5703125" style="203" customWidth="1"/>
    <col min="8712" max="8712" width="9.7109375" style="203" customWidth="1"/>
    <col min="8713" max="8714" width="11.42578125" style="203"/>
    <col min="8715" max="8715" width="4.7109375" style="203" customWidth="1"/>
    <col min="8716" max="8716" width="7.7109375" style="203" customWidth="1"/>
    <col min="8717" max="8720" width="11.42578125" style="203"/>
    <col min="8721" max="8721" width="13.7109375" style="203" customWidth="1"/>
    <col min="8722" max="8723" width="11.42578125" style="203"/>
    <col min="8724" max="8724" width="6.5703125" style="203" customWidth="1"/>
    <col min="8725" max="8725" width="0" style="203" hidden="1" customWidth="1"/>
    <col min="8726" max="8726" width="11.42578125" style="203"/>
    <col min="8727" max="8727" width="14.7109375" style="203" customWidth="1"/>
    <col min="8728" max="8728" width="11.42578125" style="203"/>
    <col min="8729" max="8729" width="10.85546875" style="203" customWidth="1"/>
    <col min="8730" max="8730" width="9.140625" style="203" customWidth="1"/>
    <col min="8731" max="8958" width="11.42578125" style="203"/>
    <col min="8959" max="8959" width="4.140625" style="203" customWidth="1"/>
    <col min="8960" max="8960" width="17" style="203" customWidth="1"/>
    <col min="8961" max="8966" width="11.42578125" style="203"/>
    <col min="8967" max="8967" width="10.5703125" style="203" customWidth="1"/>
    <col min="8968" max="8968" width="9.7109375" style="203" customWidth="1"/>
    <col min="8969" max="8970" width="11.42578125" style="203"/>
    <col min="8971" max="8971" width="4.7109375" style="203" customWidth="1"/>
    <col min="8972" max="8972" width="7.7109375" style="203" customWidth="1"/>
    <col min="8973" max="8976" width="11.42578125" style="203"/>
    <col min="8977" max="8977" width="13.7109375" style="203" customWidth="1"/>
    <col min="8978" max="8979" width="11.42578125" style="203"/>
    <col min="8980" max="8980" width="6.5703125" style="203" customWidth="1"/>
    <col min="8981" max="8981" width="0" style="203" hidden="1" customWidth="1"/>
    <col min="8982" max="8982" width="11.42578125" style="203"/>
    <col min="8983" max="8983" width="14.7109375" style="203" customWidth="1"/>
    <col min="8984" max="8984" width="11.42578125" style="203"/>
    <col min="8985" max="8985" width="10.85546875" style="203" customWidth="1"/>
    <col min="8986" max="8986" width="9.140625" style="203" customWidth="1"/>
    <col min="8987" max="9214" width="11.42578125" style="203"/>
    <col min="9215" max="9215" width="4.140625" style="203" customWidth="1"/>
    <col min="9216" max="9216" width="17" style="203" customWidth="1"/>
    <col min="9217" max="9222" width="11.42578125" style="203"/>
    <col min="9223" max="9223" width="10.5703125" style="203" customWidth="1"/>
    <col min="9224" max="9224" width="9.7109375" style="203" customWidth="1"/>
    <col min="9225" max="9226" width="11.42578125" style="203"/>
    <col min="9227" max="9227" width="4.7109375" style="203" customWidth="1"/>
    <col min="9228" max="9228" width="7.7109375" style="203" customWidth="1"/>
    <col min="9229" max="9232" width="11.42578125" style="203"/>
    <col min="9233" max="9233" width="13.7109375" style="203" customWidth="1"/>
    <col min="9234" max="9235" width="11.42578125" style="203"/>
    <col min="9236" max="9236" width="6.5703125" style="203" customWidth="1"/>
    <col min="9237" max="9237" width="0" style="203" hidden="1" customWidth="1"/>
    <col min="9238" max="9238" width="11.42578125" style="203"/>
    <col min="9239" max="9239" width="14.7109375" style="203" customWidth="1"/>
    <col min="9240" max="9240" width="11.42578125" style="203"/>
    <col min="9241" max="9241" width="10.85546875" style="203" customWidth="1"/>
    <col min="9242" max="9242" width="9.140625" style="203" customWidth="1"/>
    <col min="9243" max="9470" width="11.42578125" style="203"/>
    <col min="9471" max="9471" width="4.140625" style="203" customWidth="1"/>
    <col min="9472" max="9472" width="17" style="203" customWidth="1"/>
    <col min="9473" max="9478" width="11.42578125" style="203"/>
    <col min="9479" max="9479" width="10.5703125" style="203" customWidth="1"/>
    <col min="9480" max="9480" width="9.7109375" style="203" customWidth="1"/>
    <col min="9481" max="9482" width="11.42578125" style="203"/>
    <col min="9483" max="9483" width="4.7109375" style="203" customWidth="1"/>
    <col min="9484" max="9484" width="7.7109375" style="203" customWidth="1"/>
    <col min="9485" max="9488" width="11.42578125" style="203"/>
    <col min="9489" max="9489" width="13.7109375" style="203" customWidth="1"/>
    <col min="9490" max="9491" width="11.42578125" style="203"/>
    <col min="9492" max="9492" width="6.5703125" style="203" customWidth="1"/>
    <col min="9493" max="9493" width="0" style="203" hidden="1" customWidth="1"/>
    <col min="9494" max="9494" width="11.42578125" style="203"/>
    <col min="9495" max="9495" width="14.7109375" style="203" customWidth="1"/>
    <col min="9496" max="9496" width="11.42578125" style="203"/>
    <col min="9497" max="9497" width="10.85546875" style="203" customWidth="1"/>
    <col min="9498" max="9498" width="9.140625" style="203" customWidth="1"/>
    <col min="9499" max="9726" width="11.42578125" style="203"/>
    <col min="9727" max="9727" width="4.140625" style="203" customWidth="1"/>
    <col min="9728" max="9728" width="17" style="203" customWidth="1"/>
    <col min="9729" max="9734" width="11.42578125" style="203"/>
    <col min="9735" max="9735" width="10.5703125" style="203" customWidth="1"/>
    <col min="9736" max="9736" width="9.7109375" style="203" customWidth="1"/>
    <col min="9737" max="9738" width="11.42578125" style="203"/>
    <col min="9739" max="9739" width="4.7109375" style="203" customWidth="1"/>
    <col min="9740" max="9740" width="7.7109375" style="203" customWidth="1"/>
    <col min="9741" max="9744" width="11.42578125" style="203"/>
    <col min="9745" max="9745" width="13.7109375" style="203" customWidth="1"/>
    <col min="9746" max="9747" width="11.42578125" style="203"/>
    <col min="9748" max="9748" width="6.5703125" style="203" customWidth="1"/>
    <col min="9749" max="9749" width="0" style="203" hidden="1" customWidth="1"/>
    <col min="9750" max="9750" width="11.42578125" style="203"/>
    <col min="9751" max="9751" width="14.7109375" style="203" customWidth="1"/>
    <col min="9752" max="9752" width="11.42578125" style="203"/>
    <col min="9753" max="9753" width="10.85546875" style="203" customWidth="1"/>
    <col min="9754" max="9754" width="9.140625" style="203" customWidth="1"/>
    <col min="9755" max="9982" width="11.42578125" style="203"/>
    <col min="9983" max="9983" width="4.140625" style="203" customWidth="1"/>
    <col min="9984" max="9984" width="17" style="203" customWidth="1"/>
    <col min="9985" max="9990" width="11.42578125" style="203"/>
    <col min="9991" max="9991" width="10.5703125" style="203" customWidth="1"/>
    <col min="9992" max="9992" width="9.7109375" style="203" customWidth="1"/>
    <col min="9993" max="9994" width="11.42578125" style="203"/>
    <col min="9995" max="9995" width="4.7109375" style="203" customWidth="1"/>
    <col min="9996" max="9996" width="7.7109375" style="203" customWidth="1"/>
    <col min="9997" max="10000" width="11.42578125" style="203"/>
    <col min="10001" max="10001" width="13.7109375" style="203" customWidth="1"/>
    <col min="10002" max="10003" width="11.42578125" style="203"/>
    <col min="10004" max="10004" width="6.5703125" style="203" customWidth="1"/>
    <col min="10005" max="10005" width="0" style="203" hidden="1" customWidth="1"/>
    <col min="10006" max="10006" width="11.42578125" style="203"/>
    <col min="10007" max="10007" width="14.7109375" style="203" customWidth="1"/>
    <col min="10008" max="10008" width="11.42578125" style="203"/>
    <col min="10009" max="10009" width="10.85546875" style="203" customWidth="1"/>
    <col min="10010" max="10010" width="9.140625" style="203" customWidth="1"/>
    <col min="10011" max="10238" width="11.42578125" style="203"/>
    <col min="10239" max="10239" width="4.140625" style="203" customWidth="1"/>
    <col min="10240" max="10240" width="17" style="203" customWidth="1"/>
    <col min="10241" max="10246" width="11.42578125" style="203"/>
    <col min="10247" max="10247" width="10.5703125" style="203" customWidth="1"/>
    <col min="10248" max="10248" width="9.7109375" style="203" customWidth="1"/>
    <col min="10249" max="10250" width="11.42578125" style="203"/>
    <col min="10251" max="10251" width="4.7109375" style="203" customWidth="1"/>
    <col min="10252" max="10252" width="7.7109375" style="203" customWidth="1"/>
    <col min="10253" max="10256" width="11.42578125" style="203"/>
    <col min="10257" max="10257" width="13.7109375" style="203" customWidth="1"/>
    <col min="10258" max="10259" width="11.42578125" style="203"/>
    <col min="10260" max="10260" width="6.5703125" style="203" customWidth="1"/>
    <col min="10261" max="10261" width="0" style="203" hidden="1" customWidth="1"/>
    <col min="10262" max="10262" width="11.42578125" style="203"/>
    <col min="10263" max="10263" width="14.7109375" style="203" customWidth="1"/>
    <col min="10264" max="10264" width="11.42578125" style="203"/>
    <col min="10265" max="10265" width="10.85546875" style="203" customWidth="1"/>
    <col min="10266" max="10266" width="9.140625" style="203" customWidth="1"/>
    <col min="10267" max="10494" width="11.42578125" style="203"/>
    <col min="10495" max="10495" width="4.140625" style="203" customWidth="1"/>
    <col min="10496" max="10496" width="17" style="203" customWidth="1"/>
    <col min="10497" max="10502" width="11.42578125" style="203"/>
    <col min="10503" max="10503" width="10.5703125" style="203" customWidth="1"/>
    <col min="10504" max="10504" width="9.7109375" style="203" customWidth="1"/>
    <col min="10505" max="10506" width="11.42578125" style="203"/>
    <col min="10507" max="10507" width="4.7109375" style="203" customWidth="1"/>
    <col min="10508" max="10508" width="7.7109375" style="203" customWidth="1"/>
    <col min="10509" max="10512" width="11.42578125" style="203"/>
    <col min="10513" max="10513" width="13.7109375" style="203" customWidth="1"/>
    <col min="10514" max="10515" width="11.42578125" style="203"/>
    <col min="10516" max="10516" width="6.5703125" style="203" customWidth="1"/>
    <col min="10517" max="10517" width="0" style="203" hidden="1" customWidth="1"/>
    <col min="10518" max="10518" width="11.42578125" style="203"/>
    <col min="10519" max="10519" width="14.7109375" style="203" customWidth="1"/>
    <col min="10520" max="10520" width="11.42578125" style="203"/>
    <col min="10521" max="10521" width="10.85546875" style="203" customWidth="1"/>
    <col min="10522" max="10522" width="9.140625" style="203" customWidth="1"/>
    <col min="10523" max="10750" width="11.42578125" style="203"/>
    <col min="10751" max="10751" width="4.140625" style="203" customWidth="1"/>
    <col min="10752" max="10752" width="17" style="203" customWidth="1"/>
    <col min="10753" max="10758" width="11.42578125" style="203"/>
    <col min="10759" max="10759" width="10.5703125" style="203" customWidth="1"/>
    <col min="10760" max="10760" width="9.7109375" style="203" customWidth="1"/>
    <col min="10761" max="10762" width="11.42578125" style="203"/>
    <col min="10763" max="10763" width="4.7109375" style="203" customWidth="1"/>
    <col min="10764" max="10764" width="7.7109375" style="203" customWidth="1"/>
    <col min="10765" max="10768" width="11.42578125" style="203"/>
    <col min="10769" max="10769" width="13.7109375" style="203" customWidth="1"/>
    <col min="10770" max="10771" width="11.42578125" style="203"/>
    <col min="10772" max="10772" width="6.5703125" style="203" customWidth="1"/>
    <col min="10773" max="10773" width="0" style="203" hidden="1" customWidth="1"/>
    <col min="10774" max="10774" width="11.42578125" style="203"/>
    <col min="10775" max="10775" width="14.7109375" style="203" customWidth="1"/>
    <col min="10776" max="10776" width="11.42578125" style="203"/>
    <col min="10777" max="10777" width="10.85546875" style="203" customWidth="1"/>
    <col min="10778" max="10778" width="9.140625" style="203" customWidth="1"/>
    <col min="10779" max="11006" width="11.42578125" style="203"/>
    <col min="11007" max="11007" width="4.140625" style="203" customWidth="1"/>
    <col min="11008" max="11008" width="17" style="203" customWidth="1"/>
    <col min="11009" max="11014" width="11.42578125" style="203"/>
    <col min="11015" max="11015" width="10.5703125" style="203" customWidth="1"/>
    <col min="11016" max="11016" width="9.7109375" style="203" customWidth="1"/>
    <col min="11017" max="11018" width="11.42578125" style="203"/>
    <col min="11019" max="11019" width="4.7109375" style="203" customWidth="1"/>
    <col min="11020" max="11020" width="7.7109375" style="203" customWidth="1"/>
    <col min="11021" max="11024" width="11.42578125" style="203"/>
    <col min="11025" max="11025" width="13.7109375" style="203" customWidth="1"/>
    <col min="11026" max="11027" width="11.42578125" style="203"/>
    <col min="11028" max="11028" width="6.5703125" style="203" customWidth="1"/>
    <col min="11029" max="11029" width="0" style="203" hidden="1" customWidth="1"/>
    <col min="11030" max="11030" width="11.42578125" style="203"/>
    <col min="11031" max="11031" width="14.7109375" style="203" customWidth="1"/>
    <col min="11032" max="11032" width="11.42578125" style="203"/>
    <col min="11033" max="11033" width="10.85546875" style="203" customWidth="1"/>
    <col min="11034" max="11034" width="9.140625" style="203" customWidth="1"/>
    <col min="11035" max="11262" width="11.42578125" style="203"/>
    <col min="11263" max="11263" width="4.140625" style="203" customWidth="1"/>
    <col min="11264" max="11264" width="17" style="203" customWidth="1"/>
    <col min="11265" max="11270" width="11.42578125" style="203"/>
    <col min="11271" max="11271" width="10.5703125" style="203" customWidth="1"/>
    <col min="11272" max="11272" width="9.7109375" style="203" customWidth="1"/>
    <col min="11273" max="11274" width="11.42578125" style="203"/>
    <col min="11275" max="11275" width="4.7109375" style="203" customWidth="1"/>
    <col min="11276" max="11276" width="7.7109375" style="203" customWidth="1"/>
    <col min="11277" max="11280" width="11.42578125" style="203"/>
    <col min="11281" max="11281" width="13.7109375" style="203" customWidth="1"/>
    <col min="11282" max="11283" width="11.42578125" style="203"/>
    <col min="11284" max="11284" width="6.5703125" style="203" customWidth="1"/>
    <col min="11285" max="11285" width="0" style="203" hidden="1" customWidth="1"/>
    <col min="11286" max="11286" width="11.42578125" style="203"/>
    <col min="11287" max="11287" width="14.7109375" style="203" customWidth="1"/>
    <col min="11288" max="11288" width="11.42578125" style="203"/>
    <col min="11289" max="11289" width="10.85546875" style="203" customWidth="1"/>
    <col min="11290" max="11290" width="9.140625" style="203" customWidth="1"/>
    <col min="11291" max="11518" width="11.42578125" style="203"/>
    <col min="11519" max="11519" width="4.140625" style="203" customWidth="1"/>
    <col min="11520" max="11520" width="17" style="203" customWidth="1"/>
    <col min="11521" max="11526" width="11.42578125" style="203"/>
    <col min="11527" max="11527" width="10.5703125" style="203" customWidth="1"/>
    <col min="11528" max="11528" width="9.7109375" style="203" customWidth="1"/>
    <col min="11529" max="11530" width="11.42578125" style="203"/>
    <col min="11531" max="11531" width="4.7109375" style="203" customWidth="1"/>
    <col min="11532" max="11532" width="7.7109375" style="203" customWidth="1"/>
    <col min="11533" max="11536" width="11.42578125" style="203"/>
    <col min="11537" max="11537" width="13.7109375" style="203" customWidth="1"/>
    <col min="11538" max="11539" width="11.42578125" style="203"/>
    <col min="11540" max="11540" width="6.5703125" style="203" customWidth="1"/>
    <col min="11541" max="11541" width="0" style="203" hidden="1" customWidth="1"/>
    <col min="11542" max="11542" width="11.42578125" style="203"/>
    <col min="11543" max="11543" width="14.7109375" style="203" customWidth="1"/>
    <col min="11544" max="11544" width="11.42578125" style="203"/>
    <col min="11545" max="11545" width="10.85546875" style="203" customWidth="1"/>
    <col min="11546" max="11546" width="9.140625" style="203" customWidth="1"/>
    <col min="11547" max="11774" width="11.42578125" style="203"/>
    <col min="11775" max="11775" width="4.140625" style="203" customWidth="1"/>
    <col min="11776" max="11776" width="17" style="203" customWidth="1"/>
    <col min="11777" max="11782" width="11.42578125" style="203"/>
    <col min="11783" max="11783" width="10.5703125" style="203" customWidth="1"/>
    <col min="11784" max="11784" width="9.7109375" style="203" customWidth="1"/>
    <col min="11785" max="11786" width="11.42578125" style="203"/>
    <col min="11787" max="11787" width="4.7109375" style="203" customWidth="1"/>
    <col min="11788" max="11788" width="7.7109375" style="203" customWidth="1"/>
    <col min="11789" max="11792" width="11.42578125" style="203"/>
    <col min="11793" max="11793" width="13.7109375" style="203" customWidth="1"/>
    <col min="11794" max="11795" width="11.42578125" style="203"/>
    <col min="11796" max="11796" width="6.5703125" style="203" customWidth="1"/>
    <col min="11797" max="11797" width="0" style="203" hidden="1" customWidth="1"/>
    <col min="11798" max="11798" width="11.42578125" style="203"/>
    <col min="11799" max="11799" width="14.7109375" style="203" customWidth="1"/>
    <col min="11800" max="11800" width="11.42578125" style="203"/>
    <col min="11801" max="11801" width="10.85546875" style="203" customWidth="1"/>
    <col min="11802" max="11802" width="9.140625" style="203" customWidth="1"/>
    <col min="11803" max="12030" width="11.42578125" style="203"/>
    <col min="12031" max="12031" width="4.140625" style="203" customWidth="1"/>
    <col min="12032" max="12032" width="17" style="203" customWidth="1"/>
    <col min="12033" max="12038" width="11.42578125" style="203"/>
    <col min="12039" max="12039" width="10.5703125" style="203" customWidth="1"/>
    <col min="12040" max="12040" width="9.7109375" style="203" customWidth="1"/>
    <col min="12041" max="12042" width="11.42578125" style="203"/>
    <col min="12043" max="12043" width="4.7109375" style="203" customWidth="1"/>
    <col min="12044" max="12044" width="7.7109375" style="203" customWidth="1"/>
    <col min="12045" max="12048" width="11.42578125" style="203"/>
    <col min="12049" max="12049" width="13.7109375" style="203" customWidth="1"/>
    <col min="12050" max="12051" width="11.42578125" style="203"/>
    <col min="12052" max="12052" width="6.5703125" style="203" customWidth="1"/>
    <col min="12053" max="12053" width="0" style="203" hidden="1" customWidth="1"/>
    <col min="12054" max="12054" width="11.42578125" style="203"/>
    <col min="12055" max="12055" width="14.7109375" style="203" customWidth="1"/>
    <col min="12056" max="12056" width="11.42578125" style="203"/>
    <col min="12057" max="12057" width="10.85546875" style="203" customWidth="1"/>
    <col min="12058" max="12058" width="9.140625" style="203" customWidth="1"/>
    <col min="12059" max="12286" width="11.42578125" style="203"/>
    <col min="12287" max="12287" width="4.140625" style="203" customWidth="1"/>
    <col min="12288" max="12288" width="17" style="203" customWidth="1"/>
    <col min="12289" max="12294" width="11.42578125" style="203"/>
    <col min="12295" max="12295" width="10.5703125" style="203" customWidth="1"/>
    <col min="12296" max="12296" width="9.7109375" style="203" customWidth="1"/>
    <col min="12297" max="12298" width="11.42578125" style="203"/>
    <col min="12299" max="12299" width="4.7109375" style="203" customWidth="1"/>
    <col min="12300" max="12300" width="7.7109375" style="203" customWidth="1"/>
    <col min="12301" max="12304" width="11.42578125" style="203"/>
    <col min="12305" max="12305" width="13.7109375" style="203" customWidth="1"/>
    <col min="12306" max="12307" width="11.42578125" style="203"/>
    <col min="12308" max="12308" width="6.5703125" style="203" customWidth="1"/>
    <col min="12309" max="12309" width="0" style="203" hidden="1" customWidth="1"/>
    <col min="12310" max="12310" width="11.42578125" style="203"/>
    <col min="12311" max="12311" width="14.7109375" style="203" customWidth="1"/>
    <col min="12312" max="12312" width="11.42578125" style="203"/>
    <col min="12313" max="12313" width="10.85546875" style="203" customWidth="1"/>
    <col min="12314" max="12314" width="9.140625" style="203" customWidth="1"/>
    <col min="12315" max="12542" width="11.42578125" style="203"/>
    <col min="12543" max="12543" width="4.140625" style="203" customWidth="1"/>
    <col min="12544" max="12544" width="17" style="203" customWidth="1"/>
    <col min="12545" max="12550" width="11.42578125" style="203"/>
    <col min="12551" max="12551" width="10.5703125" style="203" customWidth="1"/>
    <col min="12552" max="12552" width="9.7109375" style="203" customWidth="1"/>
    <col min="12553" max="12554" width="11.42578125" style="203"/>
    <col min="12555" max="12555" width="4.7109375" style="203" customWidth="1"/>
    <col min="12556" max="12556" width="7.7109375" style="203" customWidth="1"/>
    <col min="12557" max="12560" width="11.42578125" style="203"/>
    <col min="12561" max="12561" width="13.7109375" style="203" customWidth="1"/>
    <col min="12562" max="12563" width="11.42578125" style="203"/>
    <col min="12564" max="12564" width="6.5703125" style="203" customWidth="1"/>
    <col min="12565" max="12565" width="0" style="203" hidden="1" customWidth="1"/>
    <col min="12566" max="12566" width="11.42578125" style="203"/>
    <col min="12567" max="12567" width="14.7109375" style="203" customWidth="1"/>
    <col min="12568" max="12568" width="11.42578125" style="203"/>
    <col min="12569" max="12569" width="10.85546875" style="203" customWidth="1"/>
    <col min="12570" max="12570" width="9.140625" style="203" customWidth="1"/>
    <col min="12571" max="12798" width="11.42578125" style="203"/>
    <col min="12799" max="12799" width="4.140625" style="203" customWidth="1"/>
    <col min="12800" max="12800" width="17" style="203" customWidth="1"/>
    <col min="12801" max="12806" width="11.42578125" style="203"/>
    <col min="12807" max="12807" width="10.5703125" style="203" customWidth="1"/>
    <col min="12808" max="12808" width="9.7109375" style="203" customWidth="1"/>
    <col min="12809" max="12810" width="11.42578125" style="203"/>
    <col min="12811" max="12811" width="4.7109375" style="203" customWidth="1"/>
    <col min="12812" max="12812" width="7.7109375" style="203" customWidth="1"/>
    <col min="12813" max="12816" width="11.42578125" style="203"/>
    <col min="12817" max="12817" width="13.7109375" style="203" customWidth="1"/>
    <col min="12818" max="12819" width="11.42578125" style="203"/>
    <col min="12820" max="12820" width="6.5703125" style="203" customWidth="1"/>
    <col min="12821" max="12821" width="0" style="203" hidden="1" customWidth="1"/>
    <col min="12822" max="12822" width="11.42578125" style="203"/>
    <col min="12823" max="12823" width="14.7109375" style="203" customWidth="1"/>
    <col min="12824" max="12824" width="11.42578125" style="203"/>
    <col min="12825" max="12825" width="10.85546875" style="203" customWidth="1"/>
    <col min="12826" max="12826" width="9.140625" style="203" customWidth="1"/>
    <col min="12827" max="13054" width="11.42578125" style="203"/>
    <col min="13055" max="13055" width="4.140625" style="203" customWidth="1"/>
    <col min="13056" max="13056" width="17" style="203" customWidth="1"/>
    <col min="13057" max="13062" width="11.42578125" style="203"/>
    <col min="13063" max="13063" width="10.5703125" style="203" customWidth="1"/>
    <col min="13064" max="13064" width="9.7109375" style="203" customWidth="1"/>
    <col min="13065" max="13066" width="11.42578125" style="203"/>
    <col min="13067" max="13067" width="4.7109375" style="203" customWidth="1"/>
    <col min="13068" max="13068" width="7.7109375" style="203" customWidth="1"/>
    <col min="13069" max="13072" width="11.42578125" style="203"/>
    <col min="13073" max="13073" width="13.7109375" style="203" customWidth="1"/>
    <col min="13074" max="13075" width="11.42578125" style="203"/>
    <col min="13076" max="13076" width="6.5703125" style="203" customWidth="1"/>
    <col min="13077" max="13077" width="0" style="203" hidden="1" customWidth="1"/>
    <col min="13078" max="13078" width="11.42578125" style="203"/>
    <col min="13079" max="13079" width="14.7109375" style="203" customWidth="1"/>
    <col min="13080" max="13080" width="11.42578125" style="203"/>
    <col min="13081" max="13081" width="10.85546875" style="203" customWidth="1"/>
    <col min="13082" max="13082" width="9.140625" style="203" customWidth="1"/>
    <col min="13083" max="13310" width="11.42578125" style="203"/>
    <col min="13311" max="13311" width="4.140625" style="203" customWidth="1"/>
    <col min="13312" max="13312" width="17" style="203" customWidth="1"/>
    <col min="13313" max="13318" width="11.42578125" style="203"/>
    <col min="13319" max="13319" width="10.5703125" style="203" customWidth="1"/>
    <col min="13320" max="13320" width="9.7109375" style="203" customWidth="1"/>
    <col min="13321" max="13322" width="11.42578125" style="203"/>
    <col min="13323" max="13323" width="4.7109375" style="203" customWidth="1"/>
    <col min="13324" max="13324" width="7.7109375" style="203" customWidth="1"/>
    <col min="13325" max="13328" width="11.42578125" style="203"/>
    <col min="13329" max="13329" width="13.7109375" style="203" customWidth="1"/>
    <col min="13330" max="13331" width="11.42578125" style="203"/>
    <col min="13332" max="13332" width="6.5703125" style="203" customWidth="1"/>
    <col min="13333" max="13333" width="0" style="203" hidden="1" customWidth="1"/>
    <col min="13334" max="13334" width="11.42578125" style="203"/>
    <col min="13335" max="13335" width="14.7109375" style="203" customWidth="1"/>
    <col min="13336" max="13336" width="11.42578125" style="203"/>
    <col min="13337" max="13337" width="10.85546875" style="203" customWidth="1"/>
    <col min="13338" max="13338" width="9.140625" style="203" customWidth="1"/>
    <col min="13339" max="13566" width="11.42578125" style="203"/>
    <col min="13567" max="13567" width="4.140625" style="203" customWidth="1"/>
    <col min="13568" max="13568" width="17" style="203" customWidth="1"/>
    <col min="13569" max="13574" width="11.42578125" style="203"/>
    <col min="13575" max="13575" width="10.5703125" style="203" customWidth="1"/>
    <col min="13576" max="13576" width="9.7109375" style="203" customWidth="1"/>
    <col min="13577" max="13578" width="11.42578125" style="203"/>
    <col min="13579" max="13579" width="4.7109375" style="203" customWidth="1"/>
    <col min="13580" max="13580" width="7.7109375" style="203" customWidth="1"/>
    <col min="13581" max="13584" width="11.42578125" style="203"/>
    <col min="13585" max="13585" width="13.7109375" style="203" customWidth="1"/>
    <col min="13586" max="13587" width="11.42578125" style="203"/>
    <col min="13588" max="13588" width="6.5703125" style="203" customWidth="1"/>
    <col min="13589" max="13589" width="0" style="203" hidden="1" customWidth="1"/>
    <col min="13590" max="13590" width="11.42578125" style="203"/>
    <col min="13591" max="13591" width="14.7109375" style="203" customWidth="1"/>
    <col min="13592" max="13592" width="11.42578125" style="203"/>
    <col min="13593" max="13593" width="10.85546875" style="203" customWidth="1"/>
    <col min="13594" max="13594" width="9.140625" style="203" customWidth="1"/>
    <col min="13595" max="13822" width="11.42578125" style="203"/>
    <col min="13823" max="13823" width="4.140625" style="203" customWidth="1"/>
    <col min="13824" max="13824" width="17" style="203" customWidth="1"/>
    <col min="13825" max="13830" width="11.42578125" style="203"/>
    <col min="13831" max="13831" width="10.5703125" style="203" customWidth="1"/>
    <col min="13832" max="13832" width="9.7109375" style="203" customWidth="1"/>
    <col min="13833" max="13834" width="11.42578125" style="203"/>
    <col min="13835" max="13835" width="4.7109375" style="203" customWidth="1"/>
    <col min="13836" max="13836" width="7.7109375" style="203" customWidth="1"/>
    <col min="13837" max="13840" width="11.42578125" style="203"/>
    <col min="13841" max="13841" width="13.7109375" style="203" customWidth="1"/>
    <col min="13842" max="13843" width="11.42578125" style="203"/>
    <col min="13844" max="13844" width="6.5703125" style="203" customWidth="1"/>
    <col min="13845" max="13845" width="0" style="203" hidden="1" customWidth="1"/>
    <col min="13846" max="13846" width="11.42578125" style="203"/>
    <col min="13847" max="13847" width="14.7109375" style="203" customWidth="1"/>
    <col min="13848" max="13848" width="11.42578125" style="203"/>
    <col min="13849" max="13849" width="10.85546875" style="203" customWidth="1"/>
    <col min="13850" max="13850" width="9.140625" style="203" customWidth="1"/>
    <col min="13851" max="14078" width="11.42578125" style="203"/>
    <col min="14079" max="14079" width="4.140625" style="203" customWidth="1"/>
    <col min="14080" max="14080" width="17" style="203" customWidth="1"/>
    <col min="14081" max="14086" width="11.42578125" style="203"/>
    <col min="14087" max="14087" width="10.5703125" style="203" customWidth="1"/>
    <col min="14088" max="14088" width="9.7109375" style="203" customWidth="1"/>
    <col min="14089" max="14090" width="11.42578125" style="203"/>
    <col min="14091" max="14091" width="4.7109375" style="203" customWidth="1"/>
    <col min="14092" max="14092" width="7.7109375" style="203" customWidth="1"/>
    <col min="14093" max="14096" width="11.42578125" style="203"/>
    <col min="14097" max="14097" width="13.7109375" style="203" customWidth="1"/>
    <col min="14098" max="14099" width="11.42578125" style="203"/>
    <col min="14100" max="14100" width="6.5703125" style="203" customWidth="1"/>
    <col min="14101" max="14101" width="0" style="203" hidden="1" customWidth="1"/>
    <col min="14102" max="14102" width="11.42578125" style="203"/>
    <col min="14103" max="14103" width="14.7109375" style="203" customWidth="1"/>
    <col min="14104" max="14104" width="11.42578125" style="203"/>
    <col min="14105" max="14105" width="10.85546875" style="203" customWidth="1"/>
    <col min="14106" max="14106" width="9.140625" style="203" customWidth="1"/>
    <col min="14107" max="14334" width="11.42578125" style="203"/>
    <col min="14335" max="14335" width="4.140625" style="203" customWidth="1"/>
    <col min="14336" max="14336" width="17" style="203" customWidth="1"/>
    <col min="14337" max="14342" width="11.42578125" style="203"/>
    <col min="14343" max="14343" width="10.5703125" style="203" customWidth="1"/>
    <col min="14344" max="14344" width="9.7109375" style="203" customWidth="1"/>
    <col min="14345" max="14346" width="11.42578125" style="203"/>
    <col min="14347" max="14347" width="4.7109375" style="203" customWidth="1"/>
    <col min="14348" max="14348" width="7.7109375" style="203" customWidth="1"/>
    <col min="14349" max="14352" width="11.42578125" style="203"/>
    <col min="14353" max="14353" width="13.7109375" style="203" customWidth="1"/>
    <col min="14354" max="14355" width="11.42578125" style="203"/>
    <col min="14356" max="14356" width="6.5703125" style="203" customWidth="1"/>
    <col min="14357" max="14357" width="0" style="203" hidden="1" customWidth="1"/>
    <col min="14358" max="14358" width="11.42578125" style="203"/>
    <col min="14359" max="14359" width="14.7109375" style="203" customWidth="1"/>
    <col min="14360" max="14360" width="11.42578125" style="203"/>
    <col min="14361" max="14361" width="10.85546875" style="203" customWidth="1"/>
    <col min="14362" max="14362" width="9.140625" style="203" customWidth="1"/>
    <col min="14363" max="14590" width="11.42578125" style="203"/>
    <col min="14591" max="14591" width="4.140625" style="203" customWidth="1"/>
    <col min="14592" max="14592" width="17" style="203" customWidth="1"/>
    <col min="14593" max="14598" width="11.42578125" style="203"/>
    <col min="14599" max="14599" width="10.5703125" style="203" customWidth="1"/>
    <col min="14600" max="14600" width="9.7109375" style="203" customWidth="1"/>
    <col min="14601" max="14602" width="11.42578125" style="203"/>
    <col min="14603" max="14603" width="4.7109375" style="203" customWidth="1"/>
    <col min="14604" max="14604" width="7.7109375" style="203" customWidth="1"/>
    <col min="14605" max="14608" width="11.42578125" style="203"/>
    <col min="14609" max="14609" width="13.7109375" style="203" customWidth="1"/>
    <col min="14610" max="14611" width="11.42578125" style="203"/>
    <col min="14612" max="14612" width="6.5703125" style="203" customWidth="1"/>
    <col min="14613" max="14613" width="0" style="203" hidden="1" customWidth="1"/>
    <col min="14614" max="14614" width="11.42578125" style="203"/>
    <col min="14615" max="14615" width="14.7109375" style="203" customWidth="1"/>
    <col min="14616" max="14616" width="11.42578125" style="203"/>
    <col min="14617" max="14617" width="10.85546875" style="203" customWidth="1"/>
    <col min="14618" max="14618" width="9.140625" style="203" customWidth="1"/>
    <col min="14619" max="14846" width="11.42578125" style="203"/>
    <col min="14847" max="14847" width="4.140625" style="203" customWidth="1"/>
    <col min="14848" max="14848" width="17" style="203" customWidth="1"/>
    <col min="14849" max="14854" width="11.42578125" style="203"/>
    <col min="14855" max="14855" width="10.5703125" style="203" customWidth="1"/>
    <col min="14856" max="14856" width="9.7109375" style="203" customWidth="1"/>
    <col min="14857" max="14858" width="11.42578125" style="203"/>
    <col min="14859" max="14859" width="4.7109375" style="203" customWidth="1"/>
    <col min="14860" max="14860" width="7.7109375" style="203" customWidth="1"/>
    <col min="14861" max="14864" width="11.42578125" style="203"/>
    <col min="14865" max="14865" width="13.7109375" style="203" customWidth="1"/>
    <col min="14866" max="14867" width="11.42578125" style="203"/>
    <col min="14868" max="14868" width="6.5703125" style="203" customWidth="1"/>
    <col min="14869" max="14869" width="0" style="203" hidden="1" customWidth="1"/>
    <col min="14870" max="14870" width="11.42578125" style="203"/>
    <col min="14871" max="14871" width="14.7109375" style="203" customWidth="1"/>
    <col min="14872" max="14872" width="11.42578125" style="203"/>
    <col min="14873" max="14873" width="10.85546875" style="203" customWidth="1"/>
    <col min="14874" max="14874" width="9.140625" style="203" customWidth="1"/>
    <col min="14875" max="15102" width="11.42578125" style="203"/>
    <col min="15103" max="15103" width="4.140625" style="203" customWidth="1"/>
    <col min="15104" max="15104" width="17" style="203" customWidth="1"/>
    <col min="15105" max="15110" width="11.42578125" style="203"/>
    <col min="15111" max="15111" width="10.5703125" style="203" customWidth="1"/>
    <col min="15112" max="15112" width="9.7109375" style="203" customWidth="1"/>
    <col min="15113" max="15114" width="11.42578125" style="203"/>
    <col min="15115" max="15115" width="4.7109375" style="203" customWidth="1"/>
    <col min="15116" max="15116" width="7.7109375" style="203" customWidth="1"/>
    <col min="15117" max="15120" width="11.42578125" style="203"/>
    <col min="15121" max="15121" width="13.7109375" style="203" customWidth="1"/>
    <col min="15122" max="15123" width="11.42578125" style="203"/>
    <col min="15124" max="15124" width="6.5703125" style="203" customWidth="1"/>
    <col min="15125" max="15125" width="0" style="203" hidden="1" customWidth="1"/>
    <col min="15126" max="15126" width="11.42578125" style="203"/>
    <col min="15127" max="15127" width="14.7109375" style="203" customWidth="1"/>
    <col min="15128" max="15128" width="11.42578125" style="203"/>
    <col min="15129" max="15129" width="10.85546875" style="203" customWidth="1"/>
    <col min="15130" max="15130" width="9.140625" style="203" customWidth="1"/>
    <col min="15131" max="15358" width="11.42578125" style="203"/>
    <col min="15359" max="15359" width="4.140625" style="203" customWidth="1"/>
    <col min="15360" max="15360" width="17" style="203" customWidth="1"/>
    <col min="15361" max="15366" width="11.42578125" style="203"/>
    <col min="15367" max="15367" width="10.5703125" style="203" customWidth="1"/>
    <col min="15368" max="15368" width="9.7109375" style="203" customWidth="1"/>
    <col min="15369" max="15370" width="11.42578125" style="203"/>
    <col min="15371" max="15371" width="4.7109375" style="203" customWidth="1"/>
    <col min="15372" max="15372" width="7.7109375" style="203" customWidth="1"/>
    <col min="15373" max="15376" width="11.42578125" style="203"/>
    <col min="15377" max="15377" width="13.7109375" style="203" customWidth="1"/>
    <col min="15378" max="15379" width="11.42578125" style="203"/>
    <col min="15380" max="15380" width="6.5703125" style="203" customWidth="1"/>
    <col min="15381" max="15381" width="0" style="203" hidden="1" customWidth="1"/>
    <col min="15382" max="15382" width="11.42578125" style="203"/>
    <col min="15383" max="15383" width="14.7109375" style="203" customWidth="1"/>
    <col min="15384" max="15384" width="11.42578125" style="203"/>
    <col min="15385" max="15385" width="10.85546875" style="203" customWidth="1"/>
    <col min="15386" max="15386" width="9.140625" style="203" customWidth="1"/>
    <col min="15387" max="15614" width="11.42578125" style="203"/>
    <col min="15615" max="15615" width="4.140625" style="203" customWidth="1"/>
    <col min="15616" max="15616" width="17" style="203" customWidth="1"/>
    <col min="15617" max="15622" width="11.42578125" style="203"/>
    <col min="15623" max="15623" width="10.5703125" style="203" customWidth="1"/>
    <col min="15624" max="15624" width="9.7109375" style="203" customWidth="1"/>
    <col min="15625" max="15626" width="11.42578125" style="203"/>
    <col min="15627" max="15627" width="4.7109375" style="203" customWidth="1"/>
    <col min="15628" max="15628" width="7.7109375" style="203" customWidth="1"/>
    <col min="15629" max="15632" width="11.42578125" style="203"/>
    <col min="15633" max="15633" width="13.7109375" style="203" customWidth="1"/>
    <col min="15634" max="15635" width="11.42578125" style="203"/>
    <col min="15636" max="15636" width="6.5703125" style="203" customWidth="1"/>
    <col min="15637" max="15637" width="0" style="203" hidden="1" customWidth="1"/>
    <col min="15638" max="15638" width="11.42578125" style="203"/>
    <col min="15639" max="15639" width="14.7109375" style="203" customWidth="1"/>
    <col min="15640" max="15640" width="11.42578125" style="203"/>
    <col min="15641" max="15641" width="10.85546875" style="203" customWidth="1"/>
    <col min="15642" max="15642" width="9.140625" style="203" customWidth="1"/>
    <col min="15643" max="15870" width="11.42578125" style="203"/>
    <col min="15871" max="15871" width="4.140625" style="203" customWidth="1"/>
    <col min="15872" max="15872" width="17" style="203" customWidth="1"/>
    <col min="15873" max="15878" width="11.42578125" style="203"/>
    <col min="15879" max="15879" width="10.5703125" style="203" customWidth="1"/>
    <col min="15880" max="15880" width="9.7109375" style="203" customWidth="1"/>
    <col min="15881" max="15882" width="11.42578125" style="203"/>
    <col min="15883" max="15883" width="4.7109375" style="203" customWidth="1"/>
    <col min="15884" max="15884" width="7.7109375" style="203" customWidth="1"/>
    <col min="15885" max="15888" width="11.42578125" style="203"/>
    <col min="15889" max="15889" width="13.7109375" style="203" customWidth="1"/>
    <col min="15890" max="15891" width="11.42578125" style="203"/>
    <col min="15892" max="15892" width="6.5703125" style="203" customWidth="1"/>
    <col min="15893" max="15893" width="0" style="203" hidden="1" customWidth="1"/>
    <col min="15894" max="15894" width="11.42578125" style="203"/>
    <col min="15895" max="15895" width="14.7109375" style="203" customWidth="1"/>
    <col min="15896" max="15896" width="11.42578125" style="203"/>
    <col min="15897" max="15897" width="10.85546875" style="203" customWidth="1"/>
    <col min="15898" max="15898" width="9.140625" style="203" customWidth="1"/>
    <col min="15899" max="16126" width="11.42578125" style="203"/>
    <col min="16127" max="16127" width="4.140625" style="203" customWidth="1"/>
    <col min="16128" max="16128" width="17" style="203" customWidth="1"/>
    <col min="16129" max="16134" width="11.42578125" style="203"/>
    <col min="16135" max="16135" width="10.5703125" style="203" customWidth="1"/>
    <col min="16136" max="16136" width="9.7109375" style="203" customWidth="1"/>
    <col min="16137" max="16138" width="11.42578125" style="203"/>
    <col min="16139" max="16139" width="4.7109375" style="203" customWidth="1"/>
    <col min="16140" max="16140" width="7.7109375" style="203" customWidth="1"/>
    <col min="16141" max="16144" width="11.42578125" style="203"/>
    <col min="16145" max="16145" width="13.7109375" style="203" customWidth="1"/>
    <col min="16146" max="16147" width="11.42578125" style="203"/>
    <col min="16148" max="16148" width="6.5703125" style="203" customWidth="1"/>
    <col min="16149" max="16149" width="0" style="203" hidden="1" customWidth="1"/>
    <col min="16150" max="16150" width="11.42578125" style="203"/>
    <col min="16151" max="16151" width="14.7109375" style="203" customWidth="1"/>
    <col min="16152" max="16152" width="11.42578125" style="203"/>
    <col min="16153" max="16153" width="10.85546875" style="203" customWidth="1"/>
    <col min="16154" max="16154" width="9.140625" style="203" customWidth="1"/>
    <col min="16155" max="16384" width="11.42578125" style="203"/>
  </cols>
  <sheetData>
    <row r="2" spans="1:26">
      <c r="A2" s="202" t="s">
        <v>57</v>
      </c>
    </row>
    <row r="3" spans="1:26" ht="15.75" thickBot="1">
      <c r="A3" s="204"/>
      <c r="B3" s="205" t="s">
        <v>1</v>
      </c>
      <c r="C3" s="205" t="s">
        <v>2</v>
      </c>
      <c r="D3" s="205" t="s">
        <v>3</v>
      </c>
      <c r="E3" s="205" t="s">
        <v>4</v>
      </c>
      <c r="F3" s="206" t="s">
        <v>5</v>
      </c>
      <c r="G3" s="206" t="s">
        <v>6</v>
      </c>
      <c r="H3" s="206" t="s">
        <v>7</v>
      </c>
      <c r="I3" s="207" t="s">
        <v>8</v>
      </c>
      <c r="J3" s="205" t="s">
        <v>9</v>
      </c>
      <c r="K3" s="208" t="s">
        <v>10</v>
      </c>
      <c r="L3" s="208" t="s">
        <v>11</v>
      </c>
      <c r="M3" s="205" t="s">
        <v>12</v>
      </c>
      <c r="N3" s="205" t="s">
        <v>13</v>
      </c>
      <c r="O3" s="209" t="s">
        <v>14</v>
      </c>
      <c r="P3" s="210" t="s">
        <v>15</v>
      </c>
      <c r="Q3" s="209" t="s">
        <v>0</v>
      </c>
      <c r="R3" s="209" t="s">
        <v>16</v>
      </c>
      <c r="S3" s="209" t="s">
        <v>17</v>
      </c>
      <c r="T3" s="209" t="s">
        <v>45</v>
      </c>
      <c r="U3" s="209"/>
      <c r="V3" s="209" t="s">
        <v>18</v>
      </c>
      <c r="W3" s="209" t="s">
        <v>35</v>
      </c>
      <c r="X3" s="209" t="s">
        <v>19</v>
      </c>
      <c r="Y3" s="209" t="s">
        <v>20</v>
      </c>
      <c r="Z3" s="209"/>
    </row>
    <row r="4" spans="1:26">
      <c r="A4" s="211"/>
      <c r="B4" s="212"/>
      <c r="C4" s="37"/>
      <c r="D4" s="37"/>
      <c r="E4" s="37"/>
      <c r="F4" s="213"/>
      <c r="G4" s="213"/>
      <c r="H4" s="213"/>
      <c r="I4" s="214"/>
      <c r="J4" s="37"/>
      <c r="K4" s="215"/>
      <c r="L4" s="215"/>
      <c r="M4" s="37"/>
      <c r="N4" s="37"/>
      <c r="O4" s="216"/>
      <c r="P4" s="217"/>
      <c r="Q4" s="216"/>
      <c r="R4" s="216"/>
      <c r="S4" s="216"/>
      <c r="T4" s="216"/>
      <c r="U4" s="216"/>
      <c r="V4" s="216"/>
      <c r="W4" s="216"/>
      <c r="X4" s="216"/>
      <c r="Y4" s="216"/>
      <c r="Z4" s="218"/>
    </row>
    <row r="5" spans="1:26">
      <c r="A5" s="211"/>
      <c r="B5" s="212" t="s">
        <v>23</v>
      </c>
      <c r="C5" s="37" t="s">
        <v>29</v>
      </c>
      <c r="D5" s="37" t="s">
        <v>29</v>
      </c>
      <c r="E5" s="37" t="s">
        <v>26</v>
      </c>
      <c r="F5" s="219">
        <f>40681*0.4536</f>
        <v>18452.901600000001</v>
      </c>
      <c r="G5" s="213">
        <v>18412.57</v>
      </c>
      <c r="H5" s="213">
        <f t="shared" ref="H5:H15" si="0">G5-F5</f>
        <v>-40.331600000001345</v>
      </c>
      <c r="I5" s="220" t="s">
        <v>62</v>
      </c>
      <c r="J5" s="221" t="s">
        <v>30</v>
      </c>
      <c r="K5" s="215">
        <v>41274</v>
      </c>
      <c r="L5" s="215">
        <v>41276</v>
      </c>
      <c r="M5" s="220" t="s">
        <v>28</v>
      </c>
      <c r="N5" s="220" t="s">
        <v>63</v>
      </c>
      <c r="O5" s="216"/>
      <c r="P5" s="217">
        <v>0.78500000000000003</v>
      </c>
      <c r="Q5" s="216">
        <v>17000</v>
      </c>
      <c r="R5" s="216">
        <v>8281.18</v>
      </c>
      <c r="S5" s="222">
        <v>13.025</v>
      </c>
      <c r="T5" s="223">
        <f>W5*F5*0.005</f>
        <v>2215.6627263532059</v>
      </c>
      <c r="U5" s="224"/>
      <c r="V5" s="216">
        <v>0.1</v>
      </c>
      <c r="W5" s="216">
        <f>IF(O5&gt;0,O5,((P5*2.2046*S5)+(Q5+R5)/G5)+V5)</f>
        <v>24.014247454212899</v>
      </c>
      <c r="X5" s="216">
        <f>IF(O5&gt;0,O5,((P5*2.2046*S5)+(Q5+R5+T5)/G5)+V5)</f>
        <v>24.134581700130401</v>
      </c>
      <c r="Y5" s="216">
        <f t="shared" ref="Y5:Y15" si="1">W5*F5</f>
        <v>443132.54527064116</v>
      </c>
      <c r="Z5" s="218">
        <v>41276</v>
      </c>
    </row>
    <row r="6" spans="1:26">
      <c r="A6" s="211"/>
      <c r="B6" s="212" t="s">
        <v>23</v>
      </c>
      <c r="C6" s="37" t="s">
        <v>29</v>
      </c>
      <c r="D6" s="37" t="s">
        <v>29</v>
      </c>
      <c r="E6" s="37" t="s">
        <v>34</v>
      </c>
      <c r="F6" s="219">
        <f>40020*0.4536</f>
        <v>18153.072</v>
      </c>
      <c r="G6" s="213">
        <v>18119.27</v>
      </c>
      <c r="H6" s="213">
        <f t="shared" si="0"/>
        <v>-33.80199999999968</v>
      </c>
      <c r="I6" s="220" t="s">
        <v>64</v>
      </c>
      <c r="J6" s="221" t="s">
        <v>30</v>
      </c>
      <c r="K6" s="215">
        <v>41274</v>
      </c>
      <c r="L6" s="215">
        <v>41276</v>
      </c>
      <c r="M6" s="220" t="s">
        <v>28</v>
      </c>
      <c r="N6" s="220" t="s">
        <v>63</v>
      </c>
      <c r="O6" s="216"/>
      <c r="P6" s="217">
        <v>0.78500000000000003</v>
      </c>
      <c r="Q6" s="216">
        <v>17000</v>
      </c>
      <c r="R6" s="216">
        <v>8281.18</v>
      </c>
      <c r="S6" s="222">
        <v>13.025</v>
      </c>
      <c r="T6" s="223">
        <f>W6*F6*0.005</f>
        <v>2181.6791336226288</v>
      </c>
      <c r="U6" s="224"/>
      <c r="V6" s="216">
        <v>0.1</v>
      </c>
      <c r="W6" s="216">
        <f>IF(O6&gt;0,O6,((P6*2.2046*S6)+(Q6+R6)/G6)+V6)</f>
        <v>24.036473095271461</v>
      </c>
      <c r="X6" s="216">
        <f>IF(O6&gt;0,O6,((P6*2.2046*S6)+(Q6+R6+T6)/G6)+V6)</f>
        <v>24.156879664279078</v>
      </c>
      <c r="Y6" s="216">
        <f t="shared" si="1"/>
        <v>436335.82672452572</v>
      </c>
      <c r="Z6" s="218">
        <v>41276</v>
      </c>
    </row>
    <row r="7" spans="1:26">
      <c r="A7" s="211"/>
      <c r="B7" s="212" t="s">
        <v>23</v>
      </c>
      <c r="C7" s="37" t="s">
        <v>29</v>
      </c>
      <c r="D7" s="37" t="s">
        <v>29</v>
      </c>
      <c r="E7" s="37" t="s">
        <v>34</v>
      </c>
      <c r="F7" s="219">
        <f>40385*0.4536</f>
        <v>18318.635999999999</v>
      </c>
      <c r="G7" s="213">
        <v>18276.57</v>
      </c>
      <c r="H7" s="213">
        <f t="shared" si="0"/>
        <v>-42.065999999998894</v>
      </c>
      <c r="I7" s="220" t="s">
        <v>65</v>
      </c>
      <c r="J7" s="221" t="s">
        <v>30</v>
      </c>
      <c r="K7" s="215">
        <v>41274</v>
      </c>
      <c r="L7" s="215">
        <v>41276</v>
      </c>
      <c r="M7" s="220" t="s">
        <v>28</v>
      </c>
      <c r="N7" s="220" t="s">
        <v>63</v>
      </c>
      <c r="O7" s="216"/>
      <c r="P7" s="217">
        <v>0.78500000000000003</v>
      </c>
      <c r="Q7" s="216">
        <v>17000</v>
      </c>
      <c r="R7" s="216">
        <v>8281.18</v>
      </c>
      <c r="S7" s="222">
        <v>13.025</v>
      </c>
      <c r="T7" s="223">
        <f>W7*F7*0.005</f>
        <v>2200.4771052402975</v>
      </c>
      <c r="V7" s="216">
        <v>0.1</v>
      </c>
      <c r="W7" s="216">
        <f>IF(O7&gt;0,O7,((P7*2.2046*S7)+(Q7+R7)/G7)+V7)</f>
        <v>24.024464542450627</v>
      </c>
      <c r="X7" s="216">
        <f>IF(O7&gt;0,O7,((P7*2.2046*S7)+(Q7+R7+T7)/G7)+V7)</f>
        <v>24.144863342949861</v>
      </c>
      <c r="Y7" s="216">
        <f t="shared" si="1"/>
        <v>440095.42104805954</v>
      </c>
      <c r="Z7" s="218">
        <v>41276</v>
      </c>
    </row>
    <row r="8" spans="1:26">
      <c r="A8" s="211"/>
      <c r="B8" s="212" t="s">
        <v>21</v>
      </c>
      <c r="C8" s="37" t="s">
        <v>40</v>
      </c>
      <c r="D8" s="37" t="s">
        <v>39</v>
      </c>
      <c r="E8" s="37">
        <v>250</v>
      </c>
      <c r="F8" s="219">
        <f>12220+11610</f>
        <v>23830</v>
      </c>
      <c r="G8" s="213">
        <f>6900+4430+7170</f>
        <v>18500</v>
      </c>
      <c r="H8" s="213">
        <f t="shared" si="0"/>
        <v>-5330</v>
      </c>
      <c r="I8" s="220" t="s">
        <v>66</v>
      </c>
      <c r="J8" s="37"/>
      <c r="K8" s="215"/>
      <c r="L8" s="215">
        <v>41277</v>
      </c>
      <c r="M8" s="220" t="s">
        <v>31</v>
      </c>
      <c r="N8" s="37"/>
      <c r="O8" s="216">
        <v>24</v>
      </c>
      <c r="P8" s="217"/>
      <c r="Q8" s="216">
        <v>15000</v>
      </c>
      <c r="R8" s="216">
        <f>52.5*E8</f>
        <v>13125</v>
      </c>
      <c r="S8" s="222">
        <f>-35*E8</f>
        <v>-8750</v>
      </c>
      <c r="T8" s="225">
        <v>2250</v>
      </c>
      <c r="U8" s="216">
        <f>E8*5</f>
        <v>1250</v>
      </c>
      <c r="V8" s="37"/>
      <c r="W8" s="216">
        <f>((O8*F8)+Q8+R8+S8+U8)/G8</f>
        <v>32.02945945945946</v>
      </c>
      <c r="X8" s="216">
        <f>((O8*F8)+Q8+R8+S8+T8+U8)/G8</f>
        <v>32.151081081081081</v>
      </c>
      <c r="Y8" s="216">
        <f t="shared" si="1"/>
        <v>763262.01891891891</v>
      </c>
      <c r="Z8" s="218">
        <v>41283</v>
      </c>
    </row>
    <row r="9" spans="1:26">
      <c r="A9" s="211"/>
      <c r="B9" s="212" t="s">
        <v>21</v>
      </c>
      <c r="C9" s="37" t="s">
        <v>40</v>
      </c>
      <c r="D9" s="37" t="s">
        <v>67</v>
      </c>
      <c r="E9" s="37">
        <v>251</v>
      </c>
      <c r="F9" s="219">
        <f>12560+12700</f>
        <v>25260</v>
      </c>
      <c r="G9" s="213">
        <f>11500+3820+4160</f>
        <v>19480</v>
      </c>
      <c r="H9" s="213">
        <f t="shared" si="0"/>
        <v>-5780</v>
      </c>
      <c r="I9" s="220" t="s">
        <v>68</v>
      </c>
      <c r="J9" s="37"/>
      <c r="K9" s="215"/>
      <c r="L9" s="215">
        <v>41278</v>
      </c>
      <c r="M9" s="220" t="s">
        <v>32</v>
      </c>
      <c r="N9" s="37"/>
      <c r="O9" s="216">
        <v>24</v>
      </c>
      <c r="P9" s="217"/>
      <c r="Q9" s="216">
        <v>15000</v>
      </c>
      <c r="R9" s="216">
        <f>52.5*E9</f>
        <v>13177.5</v>
      </c>
      <c r="S9" s="222">
        <f>-35*E9</f>
        <v>-8785</v>
      </c>
      <c r="T9" s="225">
        <v>2250</v>
      </c>
      <c r="U9" s="216">
        <f>E9*5</f>
        <v>1255</v>
      </c>
      <c r="V9" s="37"/>
      <c r="W9" s="216">
        <f>((O9*F9)+Q9+R9+S9+U9)/G9</f>
        <v>32.181083162217661</v>
      </c>
      <c r="X9" s="216">
        <f>((O9*F9)+Q9+R9+S9+T9+U9)/G9</f>
        <v>32.296586242299796</v>
      </c>
      <c r="Y9" s="216">
        <f t="shared" si="1"/>
        <v>812894.16067761811</v>
      </c>
      <c r="Z9" s="218">
        <v>41284</v>
      </c>
    </row>
    <row r="10" spans="1:26">
      <c r="A10" s="211"/>
      <c r="B10" s="212" t="s">
        <v>36</v>
      </c>
      <c r="C10" s="37" t="s">
        <v>50</v>
      </c>
      <c r="D10" s="37" t="s">
        <v>48</v>
      </c>
      <c r="E10" s="37" t="s">
        <v>37</v>
      </c>
      <c r="F10" s="219">
        <v>18771.009999999998</v>
      </c>
      <c r="G10" s="213">
        <v>18805.64</v>
      </c>
      <c r="H10" s="213">
        <f t="shared" si="0"/>
        <v>34.630000000001019</v>
      </c>
      <c r="I10" s="220" t="s">
        <v>69</v>
      </c>
      <c r="J10" s="37"/>
      <c r="K10" s="215">
        <v>41276</v>
      </c>
      <c r="L10" s="215">
        <v>41278</v>
      </c>
      <c r="M10" s="220" t="s">
        <v>32</v>
      </c>
      <c r="N10" s="220" t="s">
        <v>61</v>
      </c>
      <c r="O10" s="216"/>
      <c r="P10" s="217">
        <v>1.8520000000000001</v>
      </c>
      <c r="Q10" s="216"/>
      <c r="R10" s="216"/>
      <c r="S10" s="222">
        <v>12.795</v>
      </c>
      <c r="T10" s="222"/>
      <c r="U10" s="216"/>
      <c r="V10" s="216"/>
      <c r="W10" s="216">
        <f>IF(O10&gt;0,O10,((P10*S10)+(Q10+R10)/G10)+V10)</f>
        <v>23.696339999999999</v>
      </c>
      <c r="X10" s="216">
        <f>IF(O10&gt;0,O10,((P10*S10)+(Q10+R10+T10)/G10)+V10)</f>
        <v>23.696339999999999</v>
      </c>
      <c r="Y10" s="216">
        <f t="shared" si="1"/>
        <v>444804.23510339996</v>
      </c>
      <c r="Z10" s="218">
        <v>40912</v>
      </c>
    </row>
    <row r="11" spans="1:26">
      <c r="A11" s="211"/>
      <c r="B11" s="212" t="s">
        <v>70</v>
      </c>
      <c r="C11" s="37" t="s">
        <v>24</v>
      </c>
      <c r="D11" s="37" t="s">
        <v>25</v>
      </c>
      <c r="E11" s="37" t="s">
        <v>71</v>
      </c>
      <c r="F11" s="219">
        <f>41061.6*0.4536</f>
        <v>18625.54176</v>
      </c>
      <c r="G11" s="213">
        <v>18600.21</v>
      </c>
      <c r="H11" s="213">
        <f t="shared" si="0"/>
        <v>-25.331760000000941</v>
      </c>
      <c r="I11" s="220" t="s">
        <v>72</v>
      </c>
      <c r="J11" s="37"/>
      <c r="K11" s="215">
        <v>41276</v>
      </c>
      <c r="L11" s="215">
        <v>40912</v>
      </c>
      <c r="M11" s="220" t="s">
        <v>32</v>
      </c>
      <c r="N11" s="220"/>
      <c r="O11" s="216"/>
      <c r="P11" s="217">
        <v>1.05</v>
      </c>
      <c r="Q11" s="216"/>
      <c r="R11" s="216"/>
      <c r="S11" s="222">
        <v>12.775</v>
      </c>
      <c r="T11" s="222"/>
      <c r="U11" s="216"/>
      <c r="V11" s="216"/>
      <c r="W11" s="216">
        <f>((P11*2.2046*S11)+(Q11*S11)/G11)</f>
        <v>29.571953250000004</v>
      </c>
      <c r="X11" s="216">
        <f>IF(O11&gt;0,O11,((P11*2.2046*S11)+(Q11+R11+U11)/G11)+V11)</f>
        <v>29.571953250000004</v>
      </c>
      <c r="Y11" s="216">
        <f t="shared" si="1"/>
        <v>550793.65018264274</v>
      </c>
      <c r="Z11" s="218">
        <v>41278</v>
      </c>
    </row>
    <row r="12" spans="1:26">
      <c r="A12" s="211"/>
      <c r="B12" s="212" t="s">
        <v>23</v>
      </c>
      <c r="C12" s="37" t="s">
        <v>29</v>
      </c>
      <c r="D12" s="37" t="s">
        <v>29</v>
      </c>
      <c r="E12" s="37" t="s">
        <v>26</v>
      </c>
      <c r="F12" s="219">
        <f>40968*0.4536</f>
        <v>18583.084800000001</v>
      </c>
      <c r="G12" s="213">
        <v>18569.45</v>
      </c>
      <c r="H12" s="213">
        <f t="shared" si="0"/>
        <v>-13.634799999999814</v>
      </c>
      <c r="I12" s="220" t="s">
        <v>73</v>
      </c>
      <c r="J12" s="221" t="s">
        <v>46</v>
      </c>
      <c r="K12" s="215">
        <v>41278</v>
      </c>
      <c r="L12" s="215">
        <v>41281</v>
      </c>
      <c r="M12" s="220" t="s">
        <v>22</v>
      </c>
      <c r="N12" s="220" t="s">
        <v>74</v>
      </c>
      <c r="O12" s="216"/>
      <c r="P12" s="217">
        <v>0.78500000000000003</v>
      </c>
      <c r="Q12" s="216">
        <v>17000</v>
      </c>
      <c r="R12" s="223">
        <v>7671</v>
      </c>
      <c r="S12" s="222">
        <v>12.795</v>
      </c>
      <c r="T12" s="226">
        <f>W12*F12*0.005</f>
        <v>2190.1789367431566</v>
      </c>
      <c r="U12" s="216"/>
      <c r="V12" s="216">
        <v>0.1</v>
      </c>
      <c r="W12" s="216">
        <f>IF(O12&gt;0,O12,((P12*2.2046*S12)+(Q12+R12)/G12)+V12)</f>
        <v>23.571747751408381</v>
      </c>
      <c r="X12" s="216">
        <f>IF(O12&gt;0,O12,((P12*2.2046*S12)+(Q12+R12+T12)/G12)+V12)</f>
        <v>23.689693029095288</v>
      </c>
      <c r="Y12" s="216">
        <f>W12*F12</f>
        <v>438035.7873486313</v>
      </c>
      <c r="Z12" s="218">
        <v>41281</v>
      </c>
    </row>
    <row r="13" spans="1:26">
      <c r="A13" s="211"/>
      <c r="B13" s="212" t="s">
        <v>23</v>
      </c>
      <c r="C13" s="37" t="s">
        <v>29</v>
      </c>
      <c r="D13" s="37" t="s">
        <v>29</v>
      </c>
      <c r="E13" s="37" t="s">
        <v>26</v>
      </c>
      <c r="F13" s="219">
        <f>41419*0.4536</f>
        <v>18787.6584</v>
      </c>
      <c r="G13" s="213">
        <v>18767.189999999999</v>
      </c>
      <c r="H13" s="213">
        <f t="shared" si="0"/>
        <v>-20.468400000001566</v>
      </c>
      <c r="I13" s="220" t="s">
        <v>75</v>
      </c>
      <c r="J13" s="221" t="s">
        <v>30</v>
      </c>
      <c r="K13" s="215">
        <v>41278</v>
      </c>
      <c r="L13" s="215">
        <v>41279</v>
      </c>
      <c r="M13" s="220" t="s">
        <v>33</v>
      </c>
      <c r="N13" s="220" t="s">
        <v>74</v>
      </c>
      <c r="O13" s="216"/>
      <c r="P13" s="217">
        <v>0.78500000000000003</v>
      </c>
      <c r="Q13" s="216">
        <v>17000</v>
      </c>
      <c r="R13" s="223">
        <v>7671</v>
      </c>
      <c r="S13" s="222">
        <v>12.795</v>
      </c>
      <c r="T13" s="226">
        <f>W13*F13*0.005</f>
        <v>2212.9747235304058</v>
      </c>
      <c r="U13" s="216"/>
      <c r="V13" s="216">
        <v>0.1</v>
      </c>
      <c r="W13" s="216">
        <f>IF(O13&gt;0,O13,((P13*2.2046*S13)+(Q13+R13)/G13)+V13)</f>
        <v>23.557749203385622</v>
      </c>
      <c r="X13" s="216">
        <f>IF(O13&gt;0,O13,((P13*2.2046*S13)+(Q13+R13+T13)/G13)+V13)</f>
        <v>23.67566641547387</v>
      </c>
      <c r="Y13" s="216">
        <f>W13*F13</f>
        <v>442594.94470608118</v>
      </c>
      <c r="Z13" s="218">
        <v>41281</v>
      </c>
    </row>
    <row r="14" spans="1:26">
      <c r="A14" s="211"/>
      <c r="B14" s="212" t="s">
        <v>21</v>
      </c>
      <c r="C14" s="37" t="s">
        <v>40</v>
      </c>
      <c r="D14" s="37" t="s">
        <v>67</v>
      </c>
      <c r="E14" s="37">
        <v>251</v>
      </c>
      <c r="F14" s="219">
        <f>13500+13340</f>
        <v>26840</v>
      </c>
      <c r="G14" s="213">
        <f>9260+4910+6590</f>
        <v>20760</v>
      </c>
      <c r="H14" s="213">
        <f t="shared" si="0"/>
        <v>-6080</v>
      </c>
      <c r="I14" s="220" t="s">
        <v>76</v>
      </c>
      <c r="J14" s="37"/>
      <c r="K14" s="215"/>
      <c r="L14" s="215">
        <v>41280</v>
      </c>
      <c r="M14" s="220" t="s">
        <v>43</v>
      </c>
      <c r="N14" s="37"/>
      <c r="O14" s="216">
        <v>23.5</v>
      </c>
      <c r="P14" s="217"/>
      <c r="Q14" s="216">
        <v>15000</v>
      </c>
      <c r="R14" s="216">
        <f>52.5*E14</f>
        <v>13177.5</v>
      </c>
      <c r="S14" s="222">
        <f>-35*E14</f>
        <v>-8785</v>
      </c>
      <c r="T14" s="225">
        <v>2250</v>
      </c>
      <c r="U14" s="216">
        <f>E14*5</f>
        <v>1255</v>
      </c>
      <c r="V14" s="37"/>
      <c r="W14" s="216">
        <f>((O14*F14)+Q14+R14+S14+U14)/G14</f>
        <v>31.377047206165702</v>
      </c>
      <c r="X14" s="216">
        <f>((O14*F14)+Q14+R14+S14+T14+U14)/G14</f>
        <v>31.485428709055878</v>
      </c>
      <c r="Y14" s="216">
        <f t="shared" si="1"/>
        <v>842159.94701348746</v>
      </c>
      <c r="Z14" s="218">
        <v>40922</v>
      </c>
    </row>
    <row r="15" spans="1:26">
      <c r="A15" s="211"/>
      <c r="B15" s="220" t="s">
        <v>21</v>
      </c>
      <c r="C15" s="220" t="s">
        <v>55</v>
      </c>
      <c r="D15" s="220" t="s">
        <v>47</v>
      </c>
      <c r="E15" s="37">
        <v>150</v>
      </c>
      <c r="F15" s="219">
        <f>437.6+13028.1</f>
        <v>13465.7</v>
      </c>
      <c r="G15" s="213">
        <v>13470</v>
      </c>
      <c r="H15" s="213">
        <f t="shared" si="0"/>
        <v>4.2999999999992724</v>
      </c>
      <c r="I15" s="220" t="s">
        <v>77</v>
      </c>
      <c r="J15" s="37"/>
      <c r="K15" s="215"/>
      <c r="L15" s="215">
        <v>41280</v>
      </c>
      <c r="M15" s="220" t="s">
        <v>43</v>
      </c>
      <c r="N15" s="37"/>
      <c r="O15" s="216">
        <v>31.8</v>
      </c>
      <c r="P15" s="217"/>
      <c r="Q15" s="216"/>
      <c r="R15" s="216"/>
      <c r="S15" s="222"/>
      <c r="T15" s="222"/>
      <c r="U15" s="216">
        <f>E15*5</f>
        <v>750</v>
      </c>
      <c r="W15" s="216">
        <f>((O15*F15)+Q15+R15+S15+U15)/G15</f>
        <v>31.845527839643655</v>
      </c>
      <c r="X15" s="216">
        <f>((O15*F15)+R15+S15+T15+U15)/G15</f>
        <v>31.845527839643655</v>
      </c>
      <c r="Y15" s="216">
        <f t="shared" si="1"/>
        <v>428822.32423028961</v>
      </c>
      <c r="Z15" s="218">
        <v>41288</v>
      </c>
    </row>
    <row r="16" spans="1:26" ht="15.75" thickBot="1">
      <c r="A16" s="211"/>
      <c r="B16" s="227"/>
      <c r="C16" s="205"/>
      <c r="D16" s="205"/>
      <c r="E16" s="205"/>
      <c r="F16" s="206"/>
      <c r="G16" s="206"/>
      <c r="H16" s="206"/>
      <c r="I16" s="207"/>
      <c r="J16" s="205"/>
      <c r="K16" s="208"/>
      <c r="L16" s="208"/>
      <c r="M16" s="205"/>
      <c r="N16" s="205"/>
      <c r="O16" s="209"/>
      <c r="P16" s="210"/>
      <c r="Q16" s="209"/>
      <c r="R16" s="209"/>
      <c r="S16" s="209"/>
      <c r="T16" s="209"/>
      <c r="U16" s="209"/>
      <c r="V16" s="209"/>
      <c r="W16" s="209"/>
      <c r="X16" s="209"/>
      <c r="Y16" s="209"/>
      <c r="Z16" s="228"/>
    </row>
    <row r="17" spans="1:26">
      <c r="A17" s="229"/>
      <c r="B17" s="230" t="s">
        <v>21</v>
      </c>
      <c r="C17" s="108" t="s">
        <v>40</v>
      </c>
      <c r="D17" s="37" t="s">
        <v>78</v>
      </c>
      <c r="E17" s="37">
        <v>250</v>
      </c>
      <c r="F17" s="219">
        <f>11840+12710</f>
        <v>24550</v>
      </c>
      <c r="G17" s="213">
        <f>6860+6100+5820</f>
        <v>18780</v>
      </c>
      <c r="H17" s="231">
        <f t="shared" ref="H17:H22" si="2">G17-F17</f>
        <v>-5770</v>
      </c>
      <c r="I17" s="220" t="s">
        <v>79</v>
      </c>
      <c r="J17" s="108"/>
      <c r="K17" s="232"/>
      <c r="L17" s="232">
        <v>41281</v>
      </c>
      <c r="M17" s="108" t="s">
        <v>22</v>
      </c>
      <c r="N17" s="108"/>
      <c r="O17" s="233">
        <v>23.5</v>
      </c>
      <c r="P17" s="234"/>
      <c r="Q17" s="233">
        <v>15000</v>
      </c>
      <c r="R17" s="233">
        <f>52.5*E17</f>
        <v>13125</v>
      </c>
      <c r="S17" s="235">
        <f>-35*E17</f>
        <v>-8750</v>
      </c>
      <c r="T17" s="236">
        <v>2250</v>
      </c>
      <c r="U17" s="233">
        <f>E17*5</f>
        <v>1250</v>
      </c>
      <c r="V17" s="108"/>
      <c r="W17" s="233">
        <f>((O17*F17)+Q17+R17+S17+U17)/G17</f>
        <v>31.818423855165069</v>
      </c>
      <c r="X17" s="233">
        <f>((O17*F17)+Q17+R17+S17+T17+U17)/G17</f>
        <v>31.938232161874335</v>
      </c>
      <c r="Y17" s="233">
        <f t="shared" ref="Y17:Y27" si="3">W17*F17</f>
        <v>781142.3056443024</v>
      </c>
      <c r="Z17" s="237">
        <v>41288</v>
      </c>
    </row>
    <row r="18" spans="1:26">
      <c r="A18" s="238"/>
      <c r="B18" s="212" t="s">
        <v>80</v>
      </c>
      <c r="C18" s="37" t="s">
        <v>81</v>
      </c>
      <c r="D18" s="37" t="s">
        <v>82</v>
      </c>
      <c r="E18" s="37">
        <v>83</v>
      </c>
      <c r="F18" s="219">
        <v>1008</v>
      </c>
      <c r="G18" s="213">
        <v>1008</v>
      </c>
      <c r="H18" s="213">
        <f t="shared" si="2"/>
        <v>0</v>
      </c>
      <c r="I18" s="220" t="s">
        <v>83</v>
      </c>
      <c r="J18" s="37"/>
      <c r="K18" s="215"/>
      <c r="L18" s="215">
        <v>41281</v>
      </c>
      <c r="M18" s="220" t="s">
        <v>22</v>
      </c>
      <c r="N18" s="37"/>
      <c r="O18" s="216">
        <v>94</v>
      </c>
      <c r="P18" s="217"/>
      <c r="Q18" s="216"/>
      <c r="R18" s="216"/>
      <c r="S18" s="222"/>
      <c r="T18" s="222"/>
      <c r="U18" s="216"/>
      <c r="V18" s="216"/>
      <c r="W18" s="216">
        <f>IF(O18&gt;0,O18,((P18*2.2046*S18)+(Q18+R18)/G18)+V18)</f>
        <v>94</v>
      </c>
      <c r="X18" s="216">
        <f>IF(O18&gt;0,O18,((P18*2.2046*S18)+(Q18+R18+T18)/G18)+V18)</f>
        <v>94</v>
      </c>
      <c r="Y18" s="216">
        <f>W18*F18</f>
        <v>94752</v>
      </c>
      <c r="Z18" s="218">
        <v>41281</v>
      </c>
    </row>
    <row r="19" spans="1:26">
      <c r="A19" s="238"/>
      <c r="B19" s="212" t="s">
        <v>36</v>
      </c>
      <c r="C19" s="37" t="s">
        <v>50</v>
      </c>
      <c r="D19" s="37" t="s">
        <v>48</v>
      </c>
      <c r="E19" s="37" t="s">
        <v>51</v>
      </c>
      <c r="F19" s="219">
        <v>17686.48</v>
      </c>
      <c r="G19" s="213">
        <v>17682.419999999998</v>
      </c>
      <c r="H19" s="213">
        <f t="shared" si="2"/>
        <v>-4.0600000000013097</v>
      </c>
      <c r="I19" s="220" t="s">
        <v>84</v>
      </c>
      <c r="J19" s="37"/>
      <c r="K19" s="215">
        <v>41278</v>
      </c>
      <c r="L19" s="215">
        <v>41281</v>
      </c>
      <c r="M19" s="220" t="s">
        <v>22</v>
      </c>
      <c r="N19" s="220" t="s">
        <v>85</v>
      </c>
      <c r="O19" s="216"/>
      <c r="P19" s="217">
        <v>1.8520000000000001</v>
      </c>
      <c r="Q19" s="216"/>
      <c r="R19" s="216"/>
      <c r="S19" s="222">
        <v>12.819000000000001</v>
      </c>
      <c r="T19" s="222"/>
      <c r="U19" s="216"/>
      <c r="V19" s="216"/>
      <c r="W19" s="216">
        <f>IF(O19&gt;0,O19,((P19*S19)+(Q19+R19)/G19)+V19)</f>
        <v>23.740788000000002</v>
      </c>
      <c r="X19" s="216">
        <f>IF(O19&gt;0,O19,((P19*S19)+(Q19+R19+T19)/G19)+V19)</f>
        <v>23.740788000000002</v>
      </c>
      <c r="Y19" s="216">
        <f t="shared" si="3"/>
        <v>419890.97214624</v>
      </c>
      <c r="Z19" s="218">
        <v>41281</v>
      </c>
    </row>
    <row r="20" spans="1:26">
      <c r="A20" s="238"/>
      <c r="B20" s="212" t="s">
        <v>21</v>
      </c>
      <c r="C20" s="37" t="s">
        <v>40</v>
      </c>
      <c r="D20" s="37" t="s">
        <v>86</v>
      </c>
      <c r="E20" s="37">
        <v>250</v>
      </c>
      <c r="F20" s="219">
        <f>13310+11660</f>
        <v>24970</v>
      </c>
      <c r="G20" s="213">
        <f>5660+13420</f>
        <v>19080</v>
      </c>
      <c r="H20" s="213">
        <f t="shared" si="2"/>
        <v>-5890</v>
      </c>
      <c r="I20" s="220" t="s">
        <v>87</v>
      </c>
      <c r="J20" s="37"/>
      <c r="K20" s="215"/>
      <c r="L20" s="215">
        <v>41282</v>
      </c>
      <c r="M20" s="220" t="s">
        <v>27</v>
      </c>
      <c r="N20" s="37"/>
      <c r="O20" s="216">
        <v>23.5</v>
      </c>
      <c r="P20" s="217"/>
      <c r="Q20" s="216">
        <v>15000</v>
      </c>
      <c r="R20" s="216">
        <f>52.5*E20</f>
        <v>13125</v>
      </c>
      <c r="S20" s="222">
        <f>-35*E20</f>
        <v>-8750</v>
      </c>
      <c r="T20" s="225">
        <v>2250</v>
      </c>
      <c r="U20" s="216">
        <f>E20*5</f>
        <v>1250</v>
      </c>
      <c r="V20" s="37"/>
      <c r="W20" s="216">
        <f>((O20*F20)+Q20+R20+S20+U20)/G20</f>
        <v>31.835429769392032</v>
      </c>
      <c r="X20" s="216">
        <f>((O20*F20)+Q20+R20+S20+T20+U20)/G20</f>
        <v>31.95335429769392</v>
      </c>
      <c r="Y20" s="216">
        <f t="shared" si="3"/>
        <v>794930.681341719</v>
      </c>
      <c r="Z20" s="218">
        <v>41288</v>
      </c>
    </row>
    <row r="21" spans="1:26">
      <c r="A21" s="238"/>
      <c r="B21" s="212" t="s">
        <v>23</v>
      </c>
      <c r="C21" s="37" t="s">
        <v>24</v>
      </c>
      <c r="D21" s="37" t="s">
        <v>53</v>
      </c>
      <c r="E21" s="37" t="s">
        <v>88</v>
      </c>
      <c r="F21" s="219">
        <v>5520.6</v>
      </c>
      <c r="G21" s="213">
        <v>5501.22</v>
      </c>
      <c r="H21" s="213">
        <f t="shared" si="2"/>
        <v>-19.380000000000109</v>
      </c>
      <c r="I21" s="220" t="s">
        <v>89</v>
      </c>
      <c r="J21" s="37"/>
      <c r="K21" s="215"/>
      <c r="L21" s="215">
        <v>41282</v>
      </c>
      <c r="M21" s="220" t="s">
        <v>27</v>
      </c>
      <c r="N21" s="37"/>
      <c r="O21" s="216">
        <v>25</v>
      </c>
      <c r="P21" s="217"/>
      <c r="Q21" s="216"/>
      <c r="R21" s="216"/>
      <c r="S21" s="222"/>
      <c r="T21" s="222"/>
      <c r="U21" s="216"/>
      <c r="V21" s="216"/>
      <c r="W21" s="216">
        <f>IF(O21&gt;0,O21,((P21*2.2046*S21)+(Q21+R21)/G21)+V21)</f>
        <v>25</v>
      </c>
      <c r="X21" s="216">
        <f>IF(O21&gt;0,O21,((P21*2.2046*S21)+(Q21+R21+T21)/G21)+V21)</f>
        <v>25</v>
      </c>
      <c r="Y21" s="216">
        <f t="shared" si="3"/>
        <v>138015</v>
      </c>
      <c r="Z21" s="218">
        <v>41282</v>
      </c>
    </row>
    <row r="22" spans="1:26">
      <c r="A22" s="238"/>
      <c r="B22" s="212" t="s">
        <v>23</v>
      </c>
      <c r="C22" s="37" t="s">
        <v>29</v>
      </c>
      <c r="D22" s="37" t="s">
        <v>29</v>
      </c>
      <c r="E22" s="37" t="s">
        <v>26</v>
      </c>
      <c r="F22" s="219">
        <f>41414*0.4536</f>
        <v>18785.3904</v>
      </c>
      <c r="G22" s="213">
        <v>18773.080000000002</v>
      </c>
      <c r="H22" s="213">
        <f t="shared" si="2"/>
        <v>-12.310399999998481</v>
      </c>
      <c r="I22" s="220" t="s">
        <v>90</v>
      </c>
      <c r="J22" s="221" t="s">
        <v>30</v>
      </c>
      <c r="K22" s="215">
        <v>41281</v>
      </c>
      <c r="L22" s="215">
        <v>41282</v>
      </c>
      <c r="M22" s="220" t="s">
        <v>27</v>
      </c>
      <c r="N22" s="220" t="s">
        <v>91</v>
      </c>
      <c r="O22" s="216"/>
      <c r="P22" s="217">
        <v>0.76500000000000001</v>
      </c>
      <c r="Q22" s="216">
        <v>17000</v>
      </c>
      <c r="R22" s="216">
        <v>7671</v>
      </c>
      <c r="S22" s="222">
        <v>12.795</v>
      </c>
      <c r="T22" s="226">
        <f>W22*F22*0.005</f>
        <v>2159.6792782343664</v>
      </c>
      <c r="V22" s="216">
        <v>0.1</v>
      </c>
      <c r="W22" s="216">
        <f>IF(O22&gt;0,O22,((P22*2.2046*S22)+(Q22+R22)/G22)+V22)</f>
        <v>22.993179617223888</v>
      </c>
      <c r="X22" s="216">
        <f>IF(O22&gt;0,O22,((P22*2.2046*S22)+(Q22+R22+T22)/G22)+V22)</f>
        <v>23.108220903908563</v>
      </c>
      <c r="Y22" s="216">
        <f t="shared" si="3"/>
        <v>431935.8556468733</v>
      </c>
      <c r="Z22" s="218">
        <v>41283</v>
      </c>
    </row>
    <row r="23" spans="1:26">
      <c r="A23" s="238"/>
      <c r="B23" s="212" t="s">
        <v>21</v>
      </c>
      <c r="C23" s="37" t="s">
        <v>40</v>
      </c>
      <c r="D23" s="37" t="s">
        <v>67</v>
      </c>
      <c r="E23" s="37">
        <v>250</v>
      </c>
      <c r="F23" s="219">
        <f>11290+11885</f>
        <v>23175</v>
      </c>
      <c r="G23" s="213">
        <f>10940+6970</f>
        <v>17910</v>
      </c>
      <c r="H23" s="213">
        <f>G23-F23</f>
        <v>-5265</v>
      </c>
      <c r="I23" s="220" t="s">
        <v>92</v>
      </c>
      <c r="J23" s="37"/>
      <c r="K23" s="215"/>
      <c r="L23" s="215">
        <v>41283</v>
      </c>
      <c r="M23" s="220" t="s">
        <v>28</v>
      </c>
      <c r="N23" s="37"/>
      <c r="O23" s="216">
        <v>23.5</v>
      </c>
      <c r="P23" s="217"/>
      <c r="Q23" s="216">
        <v>15000</v>
      </c>
      <c r="R23" s="216">
        <f>52.5*E23</f>
        <v>13125</v>
      </c>
      <c r="S23" s="222">
        <f>-35*E23</f>
        <v>-8750</v>
      </c>
      <c r="T23" s="225">
        <v>2250</v>
      </c>
      <c r="U23" s="216">
        <f>E23*5</f>
        <v>1250</v>
      </c>
      <c r="V23" s="37"/>
      <c r="W23" s="216">
        <f>((O23*F23)+Q23+R23+S23+U23)/G23</f>
        <v>31.559882747068677</v>
      </c>
      <c r="X23" s="216">
        <f>((O23*F23)+Q23+R23+S23+T23+U23)/G23</f>
        <v>31.685510887772196</v>
      </c>
      <c r="Y23" s="216">
        <f t="shared" si="3"/>
        <v>731400.28266331658</v>
      </c>
      <c r="Z23" s="218">
        <v>41289</v>
      </c>
    </row>
    <row r="24" spans="1:26">
      <c r="A24" s="238"/>
      <c r="B24" s="220" t="s">
        <v>21</v>
      </c>
      <c r="C24" s="220" t="s">
        <v>55</v>
      </c>
      <c r="D24" s="220" t="s">
        <v>47</v>
      </c>
      <c r="E24" s="37">
        <v>150</v>
      </c>
      <c r="F24" s="219">
        <v>12443.5</v>
      </c>
      <c r="G24" s="213">
        <v>12450</v>
      </c>
      <c r="H24" s="213">
        <f>G24-F24</f>
        <v>6.5</v>
      </c>
      <c r="I24" s="220" t="s">
        <v>93</v>
      </c>
      <c r="J24" s="37"/>
      <c r="K24" s="215"/>
      <c r="L24" s="215">
        <v>41283</v>
      </c>
      <c r="M24" s="220" t="s">
        <v>28</v>
      </c>
      <c r="N24" s="37"/>
      <c r="O24" s="216">
        <v>31.1</v>
      </c>
      <c r="P24" s="217"/>
      <c r="Q24" s="216"/>
      <c r="R24" s="216"/>
      <c r="S24" s="222"/>
      <c r="T24" s="222"/>
      <c r="U24" s="216">
        <f>E24*5</f>
        <v>750</v>
      </c>
      <c r="W24" s="216">
        <f>((O24*F24)+Q24+R24+S24+U24)/G24</f>
        <v>31.144004016064258</v>
      </c>
      <c r="X24" s="216">
        <f>((O24*F24)+R24+S24+T24+U24)/G24</f>
        <v>31.144004016064258</v>
      </c>
      <c r="Y24" s="216">
        <f t="shared" si="3"/>
        <v>387540.4139738956</v>
      </c>
      <c r="Z24" s="218">
        <v>41290</v>
      </c>
    </row>
    <row r="25" spans="1:26">
      <c r="A25" s="238"/>
      <c r="B25" s="212" t="s">
        <v>23</v>
      </c>
      <c r="C25" s="220" t="s">
        <v>24</v>
      </c>
      <c r="D25" s="220" t="s">
        <v>94</v>
      </c>
      <c r="E25" s="37" t="s">
        <v>95</v>
      </c>
      <c r="F25" s="219">
        <v>9252.2999999999993</v>
      </c>
      <c r="G25" s="213">
        <v>9250.56</v>
      </c>
      <c r="H25" s="213">
        <f>G25-F25</f>
        <v>-1.7399999999997817</v>
      </c>
      <c r="I25" s="220" t="s">
        <v>96</v>
      </c>
      <c r="J25" s="37"/>
      <c r="K25" s="215"/>
      <c r="L25" s="215">
        <v>41283</v>
      </c>
      <c r="M25" s="220" t="s">
        <v>28</v>
      </c>
      <c r="N25" s="37"/>
      <c r="O25" s="216">
        <v>24.9</v>
      </c>
      <c r="P25" s="217"/>
      <c r="Q25" s="216"/>
      <c r="R25" s="216"/>
      <c r="S25" s="222"/>
      <c r="T25" s="222"/>
      <c r="U25" s="216"/>
      <c r="V25" s="216"/>
      <c r="W25" s="216">
        <f>IF(O25&gt;0,O25,((P25*2.2046*S25)+(Q25+R25)/G25)+V25)</f>
        <v>24.9</v>
      </c>
      <c r="X25" s="216">
        <f>IF(O25&gt;0,O25,((P25*2.2046*S25)+(Q25+R25+T25)/G25)+V25)</f>
        <v>24.9</v>
      </c>
      <c r="Y25" s="216">
        <f t="shared" si="3"/>
        <v>230382.26999999996</v>
      </c>
      <c r="Z25" s="218">
        <v>41283</v>
      </c>
    </row>
    <row r="26" spans="1:26">
      <c r="A26" s="238"/>
      <c r="B26" s="212" t="s">
        <v>36</v>
      </c>
      <c r="C26" s="37" t="s">
        <v>50</v>
      </c>
      <c r="D26" s="37" t="s">
        <v>48</v>
      </c>
      <c r="E26" s="37" t="s">
        <v>37</v>
      </c>
      <c r="F26" s="219">
        <v>18715.22</v>
      </c>
      <c r="G26" s="213">
        <v>18751.080000000002</v>
      </c>
      <c r="H26" s="213">
        <f t="shared" ref="H26:H35" si="4">G26-F26</f>
        <v>35.860000000000582</v>
      </c>
      <c r="I26" s="220" t="s">
        <v>97</v>
      </c>
      <c r="J26" s="37"/>
      <c r="K26" s="215"/>
      <c r="L26" s="215">
        <v>41284</v>
      </c>
      <c r="M26" s="220" t="s">
        <v>31</v>
      </c>
      <c r="N26" s="220" t="s">
        <v>98</v>
      </c>
      <c r="O26" s="216"/>
      <c r="P26" s="217">
        <v>1.8520000000000001</v>
      </c>
      <c r="Q26" s="216"/>
      <c r="R26" s="216"/>
      <c r="S26" s="222">
        <v>12.71</v>
      </c>
      <c r="T26" s="222"/>
      <c r="U26" s="216"/>
      <c r="V26" s="216"/>
      <c r="W26" s="216">
        <f>IF(O26&gt;0,O26,((P26*S26)+(Q26+R26)/G26)+V26)</f>
        <v>23.538920000000005</v>
      </c>
      <c r="X26" s="216">
        <f>IF(O26&gt;0,O26,((P26*S26)+(Q26+R26+T26)/G26)+V26)</f>
        <v>23.538920000000005</v>
      </c>
      <c r="Y26" s="216">
        <f t="shared" si="3"/>
        <v>440536.06636240013</v>
      </c>
      <c r="Z26" s="218">
        <v>41284</v>
      </c>
    </row>
    <row r="27" spans="1:26">
      <c r="A27" s="238"/>
      <c r="B27" s="212" t="s">
        <v>21</v>
      </c>
      <c r="C27" s="37" t="s">
        <v>40</v>
      </c>
      <c r="D27" s="37" t="s">
        <v>39</v>
      </c>
      <c r="E27" s="37">
        <v>249</v>
      </c>
      <c r="F27" s="219">
        <f>13100+12540</f>
        <v>25640</v>
      </c>
      <c r="G27" s="213">
        <f>4070+7960+8090</f>
        <v>20120</v>
      </c>
      <c r="H27" s="213">
        <f t="shared" si="4"/>
        <v>-5520</v>
      </c>
      <c r="I27" s="220" t="s">
        <v>99</v>
      </c>
      <c r="J27" s="37"/>
      <c r="K27" s="215"/>
      <c r="L27" s="215">
        <v>41284</v>
      </c>
      <c r="M27" s="220" t="s">
        <v>31</v>
      </c>
      <c r="N27" s="37"/>
      <c r="O27" s="216">
        <v>23.5</v>
      </c>
      <c r="P27" s="217"/>
      <c r="Q27" s="216">
        <v>15000</v>
      </c>
      <c r="R27" s="216">
        <f>52.5*E27</f>
        <v>13072.5</v>
      </c>
      <c r="S27" s="222">
        <f>-35*E27</f>
        <v>-8715</v>
      </c>
      <c r="T27" s="225">
        <v>2250</v>
      </c>
      <c r="U27" s="216">
        <f>E27*5</f>
        <v>1245</v>
      </c>
      <c r="V27" s="37"/>
      <c r="W27" s="216">
        <f>((O27*F27)+Q27+R27+S27+U27)/G27</f>
        <v>30.971297216699803</v>
      </c>
      <c r="X27" s="216">
        <f>((O27*F27)+Q27+R27+S27+T27+U27)/G27</f>
        <v>31.083126242544733</v>
      </c>
      <c r="Y27" s="216">
        <f t="shared" si="3"/>
        <v>794104.0606361829</v>
      </c>
      <c r="Z27" s="218">
        <v>41290</v>
      </c>
    </row>
    <row r="28" spans="1:26">
      <c r="A28" s="238"/>
      <c r="B28" s="212" t="s">
        <v>100</v>
      </c>
      <c r="C28" s="37" t="s">
        <v>52</v>
      </c>
      <c r="D28" s="37" t="s">
        <v>53</v>
      </c>
      <c r="E28" s="37" t="s">
        <v>101</v>
      </c>
      <c r="F28" s="219">
        <v>18451.32</v>
      </c>
      <c r="G28" s="213">
        <v>18455.2</v>
      </c>
      <c r="H28" s="213">
        <f t="shared" si="4"/>
        <v>3.8800000000010186</v>
      </c>
      <c r="I28" s="220" t="s">
        <v>102</v>
      </c>
      <c r="J28" s="37"/>
      <c r="K28" s="215"/>
      <c r="L28" s="215">
        <v>41284</v>
      </c>
      <c r="M28" s="220" t="s">
        <v>31</v>
      </c>
      <c r="N28" s="37"/>
      <c r="O28" s="216">
        <v>62</v>
      </c>
      <c r="P28" s="217"/>
      <c r="Q28" s="216"/>
      <c r="R28" s="216"/>
      <c r="S28" s="222"/>
      <c r="T28" s="222"/>
      <c r="U28" s="216"/>
      <c r="V28" s="216"/>
      <c r="W28" s="216">
        <f>IF(O28&gt;0,O28,((P28*2.2046*S28)+(Q28+R28)/G28)+V28)</f>
        <v>62</v>
      </c>
      <c r="X28" s="216">
        <f>IF(O28&gt;0,O28,((P28*2.2046*S28)+(Q28+R28+T28)/G28)+V28)</f>
        <v>62</v>
      </c>
      <c r="Y28" s="216">
        <f>W28*F28</f>
        <v>1143981.8400000001</v>
      </c>
      <c r="Z28" s="218">
        <v>41298</v>
      </c>
    </row>
    <row r="29" spans="1:26">
      <c r="A29" s="238"/>
      <c r="B29" s="212" t="s">
        <v>23</v>
      </c>
      <c r="C29" s="37" t="s">
        <v>29</v>
      </c>
      <c r="D29" s="37" t="s">
        <v>29</v>
      </c>
      <c r="E29" s="37" t="s">
        <v>34</v>
      </c>
      <c r="F29" s="219">
        <f>40884*0.4536</f>
        <v>18544.982400000001</v>
      </c>
      <c r="G29" s="213">
        <v>18506.650000000001</v>
      </c>
      <c r="H29" s="213">
        <f t="shared" si="4"/>
        <v>-38.332399999999325</v>
      </c>
      <c r="I29" s="220" t="s">
        <v>103</v>
      </c>
      <c r="J29" s="221" t="s">
        <v>30</v>
      </c>
      <c r="K29" s="215">
        <v>41283</v>
      </c>
      <c r="L29" s="215">
        <v>41284</v>
      </c>
      <c r="M29" s="220" t="s">
        <v>31</v>
      </c>
      <c r="N29" s="220" t="s">
        <v>104</v>
      </c>
      <c r="O29" s="216"/>
      <c r="P29" s="217">
        <v>0.78500000000000003</v>
      </c>
      <c r="Q29" s="216">
        <v>17000</v>
      </c>
      <c r="R29" s="216">
        <v>8579</v>
      </c>
      <c r="S29" s="222">
        <v>12.795</v>
      </c>
      <c r="T29" s="239">
        <f>W29*F29*0.005</f>
        <v>2190.6556777387004</v>
      </c>
      <c r="V29" s="216">
        <v>0.1</v>
      </c>
      <c r="W29" s="216">
        <f>IF(O29&gt;0,O29,((P29*2.2046*S29)+(Q29+R29)/G29)+V29)</f>
        <v>23.625319566102149</v>
      </c>
      <c r="X29" s="216">
        <f>IF(O29&gt;0,O29,((P29*2.2046*S29)+(Q29+R29+T29)/G29)+V29)</f>
        <v>23.74369083684746</v>
      </c>
      <c r="Y29" s="216">
        <f>W29*F29</f>
        <v>438131.13554774004</v>
      </c>
      <c r="Z29" s="218">
        <v>41284</v>
      </c>
    </row>
    <row r="30" spans="1:26">
      <c r="A30" s="238"/>
      <c r="B30" s="212" t="s">
        <v>21</v>
      </c>
      <c r="C30" s="37" t="s">
        <v>40</v>
      </c>
      <c r="D30" s="37" t="s">
        <v>105</v>
      </c>
      <c r="E30" s="37">
        <v>250</v>
      </c>
      <c r="F30" s="219">
        <f>10640+15370</f>
        <v>26010</v>
      </c>
      <c r="G30" s="213">
        <f>3860+11960+3850</f>
        <v>19670</v>
      </c>
      <c r="H30" s="213">
        <f t="shared" si="4"/>
        <v>-6340</v>
      </c>
      <c r="I30" s="220" t="s">
        <v>106</v>
      </c>
      <c r="J30" s="37"/>
      <c r="K30" s="215"/>
      <c r="L30" s="215">
        <v>41285</v>
      </c>
      <c r="M30" s="220" t="s">
        <v>32</v>
      </c>
      <c r="N30" s="37"/>
      <c r="O30" s="216">
        <v>23.5</v>
      </c>
      <c r="P30" s="217"/>
      <c r="Q30" s="216">
        <v>15000</v>
      </c>
      <c r="R30" s="216">
        <f>52.5*E30</f>
        <v>13125</v>
      </c>
      <c r="S30" s="222">
        <f>-35*E30</f>
        <v>-8750</v>
      </c>
      <c r="T30" s="225">
        <v>2250</v>
      </c>
      <c r="U30" s="216">
        <f>E30*5</f>
        <v>1250</v>
      </c>
      <c r="V30" s="37"/>
      <c r="W30" s="216">
        <f>((O30*F30)+Q30+R30+S30+U30)/G30</f>
        <v>32.123029994916116</v>
      </c>
      <c r="X30" s="216">
        <f>((O30*F30)+Q30+R30+S30+T30+U30)/G30</f>
        <v>32.237417386883578</v>
      </c>
      <c r="Y30" s="216">
        <f>W30*F30</f>
        <v>835520.01016776823</v>
      </c>
      <c r="Z30" s="218">
        <v>41291</v>
      </c>
    </row>
    <row r="31" spans="1:26">
      <c r="A31" s="238"/>
      <c r="B31" s="220" t="s">
        <v>21</v>
      </c>
      <c r="C31" s="220" t="s">
        <v>55</v>
      </c>
      <c r="D31" s="220" t="s">
        <v>47</v>
      </c>
      <c r="E31" s="37">
        <v>150</v>
      </c>
      <c r="F31" s="219">
        <f>7758.6+5938.8</f>
        <v>13697.400000000001</v>
      </c>
      <c r="G31" s="213">
        <v>13730</v>
      </c>
      <c r="H31" s="213">
        <f t="shared" si="4"/>
        <v>32.599999999998545</v>
      </c>
      <c r="I31" s="220" t="s">
        <v>107</v>
      </c>
      <c r="J31" s="37"/>
      <c r="K31" s="215"/>
      <c r="L31" s="215">
        <v>41285</v>
      </c>
      <c r="M31" s="220" t="s">
        <v>32</v>
      </c>
      <c r="N31" s="37"/>
      <c r="O31" s="216">
        <v>31.1</v>
      </c>
      <c r="P31" s="217"/>
      <c r="Q31" s="216"/>
      <c r="R31" s="216"/>
      <c r="S31" s="222"/>
      <c r="T31" s="222"/>
      <c r="U31" s="216">
        <f>E31*5</f>
        <v>750</v>
      </c>
      <c r="W31" s="216">
        <f>((O31*F31)+Q31+R31+S31+U31)/G31</f>
        <v>31.08078222869629</v>
      </c>
      <c r="X31" s="216">
        <f>((O31*F31)+R31+S31+T31+U31)/G31</f>
        <v>31.08078222869629</v>
      </c>
      <c r="Y31" s="216">
        <f>W31*F31</f>
        <v>425725.90649934462</v>
      </c>
      <c r="Z31" s="218">
        <v>41292</v>
      </c>
    </row>
    <row r="32" spans="1:26">
      <c r="A32" s="238"/>
      <c r="B32" s="212" t="s">
        <v>23</v>
      </c>
      <c r="C32" s="220" t="s">
        <v>108</v>
      </c>
      <c r="D32" s="220" t="s">
        <v>109</v>
      </c>
      <c r="E32" s="37" t="s">
        <v>37</v>
      </c>
      <c r="F32" s="219">
        <v>18958</v>
      </c>
      <c r="G32" s="213">
        <v>19015.64</v>
      </c>
      <c r="H32" s="213">
        <f t="shared" si="4"/>
        <v>57.639999999999418</v>
      </c>
      <c r="I32" s="220" t="s">
        <v>110</v>
      </c>
      <c r="J32" s="37"/>
      <c r="K32" s="215">
        <v>41283</v>
      </c>
      <c r="L32" s="215">
        <v>41285</v>
      </c>
      <c r="M32" s="220" t="s">
        <v>32</v>
      </c>
      <c r="N32" s="37"/>
      <c r="O32" s="216">
        <v>25.5</v>
      </c>
      <c r="P32" s="217"/>
      <c r="Q32" s="216"/>
      <c r="R32" s="216"/>
      <c r="S32" s="222"/>
      <c r="T32" s="222"/>
      <c r="U32" s="216"/>
      <c r="V32" s="216"/>
      <c r="W32" s="216">
        <f>IF(O32&gt;0,O32,((P32*2.2046*S32)+(Q32+R32)/G32)+V32)</f>
        <v>25.5</v>
      </c>
      <c r="X32" s="216">
        <f>IF(O32&gt;0,O32,((P32*2.2046*S32)+(Q32+R32+T32)/G32)+V32)</f>
        <v>25.5</v>
      </c>
      <c r="Y32" s="216">
        <f t="shared" ref="Y32:Y34" si="5">W32*F32</f>
        <v>483429</v>
      </c>
      <c r="Z32" s="218">
        <v>41285</v>
      </c>
    </row>
    <row r="33" spans="1:26">
      <c r="A33" s="238"/>
      <c r="B33" s="240" t="s">
        <v>44</v>
      </c>
      <c r="C33" s="220" t="s">
        <v>111</v>
      </c>
      <c r="D33" s="220" t="s">
        <v>58</v>
      </c>
      <c r="E33" s="220" t="s">
        <v>56</v>
      </c>
      <c r="F33" s="219">
        <f>41160*0.4536</f>
        <v>18670.175999999999</v>
      </c>
      <c r="G33" s="213">
        <v>18670.18</v>
      </c>
      <c r="H33" s="213">
        <f t="shared" si="4"/>
        <v>4.0000000008149073E-3</v>
      </c>
      <c r="I33" s="220" t="s">
        <v>112</v>
      </c>
      <c r="J33" s="221" t="s">
        <v>46</v>
      </c>
      <c r="K33" s="215">
        <v>41284</v>
      </c>
      <c r="L33" s="215">
        <v>41286</v>
      </c>
      <c r="M33" s="220" t="s">
        <v>33</v>
      </c>
      <c r="N33" s="220"/>
      <c r="O33" s="216"/>
      <c r="P33" s="217">
        <v>0.96</v>
      </c>
      <c r="Q33" s="216">
        <v>17000</v>
      </c>
      <c r="R33" s="216">
        <v>8432</v>
      </c>
      <c r="S33" s="222">
        <v>12.769</v>
      </c>
      <c r="T33" s="226">
        <f>W33*F33*0.005</f>
        <v>2659.2574019689523</v>
      </c>
      <c r="V33" s="216">
        <v>0.1</v>
      </c>
      <c r="W33" s="216">
        <f>IF(O33&gt;0,O33,((P33*2.2046*S33)+(Q33+R33)/G33)+V33)</f>
        <v>28.486688095162595</v>
      </c>
      <c r="X33" s="216">
        <f>IF(O33&gt;0,O33,((P33*2.2046*S33)+(Q33+R33+T33)/G33)+V33)</f>
        <v>28.629121505122701</v>
      </c>
      <c r="Y33" s="216">
        <f t="shared" si="5"/>
        <v>531851.48039379041</v>
      </c>
      <c r="Z33" s="218">
        <v>41283</v>
      </c>
    </row>
    <row r="34" spans="1:26">
      <c r="A34" s="238"/>
      <c r="B34" s="220" t="s">
        <v>23</v>
      </c>
      <c r="C34" s="220" t="s">
        <v>29</v>
      </c>
      <c r="D34" s="220" t="s">
        <v>25</v>
      </c>
      <c r="E34" s="37" t="s">
        <v>113</v>
      </c>
      <c r="F34" s="219">
        <f>40889*0.4536</f>
        <v>18547.250400000001</v>
      </c>
      <c r="G34" s="213">
        <v>18514.3</v>
      </c>
      <c r="H34" s="213">
        <f t="shared" si="4"/>
        <v>-32.950400000001537</v>
      </c>
      <c r="I34" s="220" t="s">
        <v>114</v>
      </c>
      <c r="J34" s="37"/>
      <c r="K34" s="215">
        <v>41284</v>
      </c>
      <c r="L34" s="215">
        <v>41285</v>
      </c>
      <c r="M34" s="220" t="s">
        <v>32</v>
      </c>
      <c r="N34" s="37" t="s">
        <v>115</v>
      </c>
      <c r="O34" s="216"/>
      <c r="P34" s="217">
        <v>0.86</v>
      </c>
      <c r="Q34" s="216"/>
      <c r="R34" s="216"/>
      <c r="S34" s="222">
        <v>12.68</v>
      </c>
      <c r="T34" s="222"/>
      <c r="U34" s="216"/>
      <c r="V34" s="216"/>
      <c r="W34" s="216">
        <f>((P34*2.2046*S34)+(Q34*S34)/G34)</f>
        <v>24.040722079999998</v>
      </c>
      <c r="X34" s="216">
        <f>IF(O34&gt;0,O34,((P34*2.2046*S34)+(Q34+R34+U34)/G34)+V34)</f>
        <v>24.040722079999998</v>
      </c>
      <c r="Y34" s="216">
        <f t="shared" si="5"/>
        <v>445889.29221456882</v>
      </c>
      <c r="Z34" s="218">
        <v>41285</v>
      </c>
    </row>
    <row r="35" spans="1:26">
      <c r="A35" s="238"/>
      <c r="B35" s="212" t="s">
        <v>21</v>
      </c>
      <c r="C35" s="37" t="s">
        <v>40</v>
      </c>
      <c r="D35" s="220" t="s">
        <v>42</v>
      </c>
      <c r="E35" s="37">
        <v>250</v>
      </c>
      <c r="F35" s="219">
        <f>12080+14750</f>
        <v>26830</v>
      </c>
      <c r="G35" s="213">
        <f>9900+3570+7130</f>
        <v>20600</v>
      </c>
      <c r="H35" s="213">
        <f t="shared" si="4"/>
        <v>-6230</v>
      </c>
      <c r="I35" s="220" t="s">
        <v>116</v>
      </c>
      <c r="J35" s="37"/>
      <c r="K35" s="215"/>
      <c r="L35" s="215">
        <v>41287</v>
      </c>
      <c r="M35" s="220" t="s">
        <v>43</v>
      </c>
      <c r="N35" s="37"/>
      <c r="O35" s="216">
        <v>23</v>
      </c>
      <c r="P35" s="217"/>
      <c r="Q35" s="216">
        <v>15000</v>
      </c>
      <c r="R35" s="216">
        <f>52.5*E35</f>
        <v>13125</v>
      </c>
      <c r="S35" s="222">
        <f>-35*E35</f>
        <v>-8750</v>
      </c>
      <c r="T35" s="225">
        <v>2250</v>
      </c>
      <c r="U35" s="216">
        <f>E35*5</f>
        <v>1250</v>
      </c>
      <c r="V35" s="37"/>
      <c r="W35" s="216">
        <f>((O35*F35)+Q35+R35+S35+U35)/G35</f>
        <v>30.957038834951458</v>
      </c>
      <c r="X35" s="216">
        <f>((O35*F35)+Q35+R35+S35+T35+U35)/G35</f>
        <v>31.066262135922329</v>
      </c>
      <c r="Y35" s="216">
        <f>W35*F35</f>
        <v>830577.35194174759</v>
      </c>
      <c r="Z35" s="218">
        <v>41295</v>
      </c>
    </row>
    <row r="36" spans="1:26" ht="15.75" thickBot="1">
      <c r="A36" s="238"/>
      <c r="B36" s="227"/>
      <c r="C36" s="205"/>
      <c r="D36" s="205"/>
      <c r="E36" s="205"/>
      <c r="F36" s="206"/>
      <c r="G36" s="206"/>
      <c r="H36" s="206"/>
      <c r="I36" s="207"/>
      <c r="J36" s="205"/>
      <c r="K36" s="208"/>
      <c r="L36" s="208"/>
      <c r="M36" s="205"/>
      <c r="N36" s="205"/>
      <c r="O36" s="209"/>
      <c r="P36" s="210"/>
      <c r="Q36" s="209"/>
      <c r="R36" s="209"/>
      <c r="S36" s="209"/>
      <c r="T36" s="209"/>
      <c r="U36" s="209"/>
      <c r="V36" s="209"/>
      <c r="W36" s="209"/>
      <c r="X36" s="209"/>
      <c r="Y36" s="209"/>
      <c r="Z36" s="228"/>
    </row>
    <row r="37" spans="1:26">
      <c r="A37" s="241"/>
      <c r="B37" s="230" t="s">
        <v>21</v>
      </c>
      <c r="C37" s="108" t="s">
        <v>40</v>
      </c>
      <c r="D37" s="220" t="s">
        <v>41</v>
      </c>
      <c r="E37" s="37">
        <v>250</v>
      </c>
      <c r="F37" s="219">
        <f>12840+13515</f>
        <v>26355</v>
      </c>
      <c r="G37" s="213">
        <f>8740+8100+3290</f>
        <v>20130</v>
      </c>
      <c r="H37" s="231">
        <f t="shared" ref="H37:H53" si="6">G37-F37</f>
        <v>-6225</v>
      </c>
      <c r="I37" s="220" t="s">
        <v>117</v>
      </c>
      <c r="J37" s="108"/>
      <c r="K37" s="232"/>
      <c r="L37" s="232">
        <v>41288</v>
      </c>
      <c r="M37" s="108" t="s">
        <v>22</v>
      </c>
      <c r="N37" s="108"/>
      <c r="O37" s="233">
        <v>23</v>
      </c>
      <c r="P37" s="234"/>
      <c r="Q37" s="233">
        <v>15000</v>
      </c>
      <c r="R37" s="233">
        <f>52.5*E37</f>
        <v>13125</v>
      </c>
      <c r="S37" s="235">
        <f>-35*E37</f>
        <v>-8750</v>
      </c>
      <c r="T37" s="236">
        <v>2250</v>
      </c>
      <c r="U37" s="233">
        <f>E37*5</f>
        <v>1250</v>
      </c>
      <c r="V37" s="108"/>
      <c r="W37" s="233">
        <f>((O37*F37)+Q37+R37+S37+U37)/G37</f>
        <v>31.137108792846497</v>
      </c>
      <c r="X37" s="233">
        <f>((O37*F37)+Q37+R37+S37+T37+U37)/G37</f>
        <v>31.248882265275707</v>
      </c>
      <c r="Y37" s="233">
        <f t="shared" ref="Y37:Y45" si="7">W37*F37</f>
        <v>820618.50223546941</v>
      </c>
      <c r="Z37" s="237">
        <v>41295</v>
      </c>
    </row>
    <row r="38" spans="1:26">
      <c r="A38" s="242"/>
      <c r="B38" s="212" t="s">
        <v>36</v>
      </c>
      <c r="C38" s="37" t="s">
        <v>50</v>
      </c>
      <c r="D38" s="37" t="s">
        <v>48</v>
      </c>
      <c r="E38" s="37" t="s">
        <v>37</v>
      </c>
      <c r="F38" s="219">
        <v>18705.25</v>
      </c>
      <c r="G38" s="213">
        <v>18706.03</v>
      </c>
      <c r="H38" s="213">
        <f t="shared" si="6"/>
        <v>0.77999999999883585</v>
      </c>
      <c r="I38" s="220" t="s">
        <v>118</v>
      </c>
      <c r="J38" s="37"/>
      <c r="K38" s="215">
        <v>41285</v>
      </c>
      <c r="L38" s="215">
        <v>41288</v>
      </c>
      <c r="M38" s="220" t="s">
        <v>22</v>
      </c>
      <c r="N38" s="220" t="s">
        <v>119</v>
      </c>
      <c r="O38" s="216"/>
      <c r="P38" s="217">
        <v>1.8959999999999999</v>
      </c>
      <c r="Q38" s="216"/>
      <c r="R38" s="216"/>
      <c r="S38" s="222">
        <v>12.696999999999999</v>
      </c>
      <c r="T38" s="222"/>
      <c r="U38" s="216"/>
      <c r="V38" s="216"/>
      <c r="W38" s="216">
        <f>IF(O38&gt;0,O38,((P38*S38)+(Q38+R38)/G38)+V38)</f>
        <v>24.073511999999997</v>
      </c>
      <c r="X38" s="216">
        <f>IF(O38&gt;0,O38,((P38*S38)+(Q38+R38+T38)/G38)+V38)</f>
        <v>24.073511999999997</v>
      </c>
      <c r="Y38" s="216">
        <f t="shared" si="7"/>
        <v>450301.06033799995</v>
      </c>
      <c r="Z38" s="218">
        <v>41288</v>
      </c>
    </row>
    <row r="39" spans="1:26">
      <c r="A39" s="242"/>
      <c r="B39" s="220" t="s">
        <v>21</v>
      </c>
      <c r="C39" s="220" t="s">
        <v>55</v>
      </c>
      <c r="D39" s="220" t="s">
        <v>47</v>
      </c>
      <c r="E39" s="37">
        <v>250</v>
      </c>
      <c r="F39" s="219">
        <f>19985+2870.8</f>
        <v>22855.8</v>
      </c>
      <c r="G39" s="213">
        <f>7190+15650</f>
        <v>22840</v>
      </c>
      <c r="H39" s="213">
        <f t="shared" si="6"/>
        <v>-15.799999999999272</v>
      </c>
      <c r="I39" s="220" t="s">
        <v>120</v>
      </c>
      <c r="J39" s="37"/>
      <c r="K39" s="215"/>
      <c r="L39" s="215">
        <v>41289</v>
      </c>
      <c r="M39" s="220" t="s">
        <v>27</v>
      </c>
      <c r="N39" s="37"/>
      <c r="O39" s="216">
        <v>30.7</v>
      </c>
      <c r="P39" s="217"/>
      <c r="Q39" s="216"/>
      <c r="R39" s="216"/>
      <c r="S39" s="222"/>
      <c r="T39" s="222"/>
      <c r="U39" s="216">
        <f>E39*5</f>
        <v>1250</v>
      </c>
      <c r="W39" s="216">
        <f>((O39*F39)+Q39+R39+S39+U39)/G39</f>
        <v>30.775965849387038</v>
      </c>
      <c r="X39" s="216">
        <f>((O39*F39)+R39+S39+T39+U39)/G39</f>
        <v>30.775965849387038</v>
      </c>
      <c r="Y39" s="216">
        <f>W39*F39</f>
        <v>703409.32026042021</v>
      </c>
      <c r="Z39" s="218">
        <v>41296</v>
      </c>
    </row>
    <row r="40" spans="1:26">
      <c r="A40" s="242"/>
      <c r="B40" s="212" t="s">
        <v>23</v>
      </c>
      <c r="C40" s="37" t="s">
        <v>29</v>
      </c>
      <c r="D40" s="37" t="s">
        <v>29</v>
      </c>
      <c r="E40" s="37" t="s">
        <v>34</v>
      </c>
      <c r="F40" s="219">
        <f>40472*0.4536</f>
        <v>18358.099200000001</v>
      </c>
      <c r="G40" s="213">
        <v>18318.88</v>
      </c>
      <c r="H40" s="213">
        <f t="shared" si="6"/>
        <v>-39.219199999999546</v>
      </c>
      <c r="I40" s="220" t="s">
        <v>121</v>
      </c>
      <c r="J40" s="221" t="s">
        <v>30</v>
      </c>
      <c r="K40" s="215">
        <v>41288</v>
      </c>
      <c r="L40" s="215">
        <v>41289</v>
      </c>
      <c r="M40" s="220" t="s">
        <v>27</v>
      </c>
      <c r="N40" s="220" t="s">
        <v>122</v>
      </c>
      <c r="O40" s="216"/>
      <c r="P40" s="217">
        <v>0.80500000000000005</v>
      </c>
      <c r="Q40" s="216">
        <v>17000</v>
      </c>
      <c r="R40" s="216">
        <v>7658</v>
      </c>
      <c r="S40" s="222">
        <v>12.69</v>
      </c>
      <c r="T40" s="226">
        <f>W40*F40*0.005</f>
        <v>2199.9450260679851</v>
      </c>
      <c r="V40" s="216">
        <v>0.1</v>
      </c>
      <c r="W40" s="216">
        <f>IF(O40&gt;0,O40,((P40*2.2046*S40)+(Q40+R40)/G40)+V40)</f>
        <v>23.967024059527745</v>
      </c>
      <c r="X40" s="216">
        <f>IF(O40&gt;0,O40,((P40*2.2046*S40)+(Q40+R40+T40)/G40)+V40)</f>
        <v>24.087115736861076</v>
      </c>
      <c r="Y40" s="216">
        <f t="shared" si="7"/>
        <v>439989.00521359703</v>
      </c>
      <c r="Z40" s="218">
        <v>41290</v>
      </c>
    </row>
    <row r="41" spans="1:26">
      <c r="A41" s="242"/>
      <c r="B41" s="212" t="s">
        <v>23</v>
      </c>
      <c r="C41" s="37" t="s">
        <v>29</v>
      </c>
      <c r="D41" s="37" t="s">
        <v>29</v>
      </c>
      <c r="E41" s="37" t="s">
        <v>26</v>
      </c>
      <c r="F41" s="219">
        <f>42292*0.4536</f>
        <v>19183.6512</v>
      </c>
      <c r="G41" s="213">
        <v>19191.25</v>
      </c>
      <c r="H41" s="213">
        <f t="shared" si="6"/>
        <v>7.5987999999997555</v>
      </c>
      <c r="I41" s="220" t="s">
        <v>123</v>
      </c>
      <c r="J41" s="221" t="s">
        <v>30</v>
      </c>
      <c r="K41" s="215">
        <v>41288</v>
      </c>
      <c r="L41" s="215">
        <v>41289</v>
      </c>
      <c r="M41" s="220" t="s">
        <v>27</v>
      </c>
      <c r="N41" s="220" t="s">
        <v>122</v>
      </c>
      <c r="O41" s="216"/>
      <c r="P41" s="217">
        <v>0.80500000000000005</v>
      </c>
      <c r="Q41" s="216">
        <v>17000</v>
      </c>
      <c r="R41" s="216">
        <v>7658</v>
      </c>
      <c r="S41" s="222">
        <v>12.696999999999999</v>
      </c>
      <c r="T41" s="226">
        <f>W41*F41*0.005</f>
        <v>2284.6059957268635</v>
      </c>
      <c r="V41" s="216"/>
      <c r="W41" s="216">
        <f>IF(O41&gt;0,O41,((P41*2.2046*S41)+(Q41+R41)/G41)+V41)</f>
        <v>23.818260370860614</v>
      </c>
      <c r="X41" s="216">
        <f>IF(O41&gt;0,O41,((P41*2.2046*S41)+(Q41+R41+T41)/G41)+V41)</f>
        <v>23.937304518361525</v>
      </c>
      <c r="Y41" s="216">
        <f t="shared" si="7"/>
        <v>456921.19914537267</v>
      </c>
      <c r="Z41" s="218">
        <v>41290</v>
      </c>
    </row>
    <row r="42" spans="1:26">
      <c r="A42" s="242"/>
      <c r="B42" s="240" t="s">
        <v>44</v>
      </c>
      <c r="C42" s="220" t="s">
        <v>111</v>
      </c>
      <c r="D42" s="220" t="s">
        <v>58</v>
      </c>
      <c r="E42" s="220" t="s">
        <v>56</v>
      </c>
      <c r="F42" s="219">
        <f>41160*0.4536</f>
        <v>18670.175999999999</v>
      </c>
      <c r="G42" s="213">
        <v>18670.18</v>
      </c>
      <c r="H42" s="213">
        <f t="shared" si="6"/>
        <v>4.0000000008149073E-3</v>
      </c>
      <c r="I42" s="220" t="s">
        <v>124</v>
      </c>
      <c r="J42" s="221" t="s">
        <v>46</v>
      </c>
      <c r="K42" s="215">
        <v>41288</v>
      </c>
      <c r="L42" s="215">
        <v>41290</v>
      </c>
      <c r="M42" s="220" t="s">
        <v>28</v>
      </c>
      <c r="N42" s="220"/>
      <c r="O42" s="216"/>
      <c r="P42" s="217">
        <v>0.94499999999999995</v>
      </c>
      <c r="Q42" s="216">
        <v>17000</v>
      </c>
      <c r="R42" s="216">
        <v>7658</v>
      </c>
      <c r="S42" s="222">
        <v>12.69</v>
      </c>
      <c r="T42" s="226">
        <f>W42*F42*0.005</f>
        <v>2600.605141428804</v>
      </c>
      <c r="V42" s="216">
        <v>0.1</v>
      </c>
      <c r="W42" s="216">
        <f>IF(O42&gt;0,O42,((P42*2.2046*S42)+(Q42+R42)/G42)+V42)</f>
        <v>27.858389138150642</v>
      </c>
      <c r="X42" s="216">
        <f>IF(O42&gt;0,O42,((P42*2.2046*S42)+(Q42+R42+T42)/G42)+V42)</f>
        <v>27.99768105399874</v>
      </c>
      <c r="Y42" s="216">
        <f t="shared" si="7"/>
        <v>520121.02828576078</v>
      </c>
      <c r="Z42" s="218">
        <v>41290</v>
      </c>
    </row>
    <row r="43" spans="1:26">
      <c r="A43" s="242"/>
      <c r="B43" s="220" t="s">
        <v>21</v>
      </c>
      <c r="C43" s="220" t="s">
        <v>49</v>
      </c>
      <c r="D43" s="220" t="s">
        <v>125</v>
      </c>
      <c r="E43" s="37">
        <v>250</v>
      </c>
      <c r="F43" s="219">
        <f>13190+1700+7280</f>
        <v>22170</v>
      </c>
      <c r="G43" s="213">
        <v>22170</v>
      </c>
      <c r="H43" s="213">
        <f t="shared" si="6"/>
        <v>0</v>
      </c>
      <c r="I43" s="220" t="s">
        <v>126</v>
      </c>
      <c r="J43" s="37"/>
      <c r="K43" s="215"/>
      <c r="L43" s="215">
        <v>41290</v>
      </c>
      <c r="M43" s="220" t="s">
        <v>28</v>
      </c>
      <c r="N43" s="37"/>
      <c r="O43" s="216">
        <v>30.4</v>
      </c>
      <c r="P43" s="217"/>
      <c r="Q43" s="216"/>
      <c r="R43" s="216"/>
      <c r="S43" s="222"/>
      <c r="T43" s="222"/>
      <c r="U43" s="216">
        <f>E43*5</f>
        <v>1250</v>
      </c>
      <c r="W43" s="216">
        <f>((O43*F43)+Q43+R43+S43+U43)/G43</f>
        <v>30.456382498872351</v>
      </c>
      <c r="X43" s="216">
        <f>((O43*F43)+R43+S43+T43+U43)/G43</f>
        <v>30.456382498872351</v>
      </c>
      <c r="Y43" s="216">
        <f>W43*F43</f>
        <v>675218</v>
      </c>
      <c r="Z43" s="218">
        <v>41297</v>
      </c>
    </row>
    <row r="44" spans="1:26">
      <c r="A44" s="242"/>
      <c r="B44" s="212" t="s">
        <v>23</v>
      </c>
      <c r="C44" s="37" t="s">
        <v>29</v>
      </c>
      <c r="D44" s="37" t="s">
        <v>29</v>
      </c>
      <c r="E44" s="37" t="s">
        <v>38</v>
      </c>
      <c r="F44" s="219">
        <f>41493*0.4536</f>
        <v>18821.2248</v>
      </c>
      <c r="G44" s="213">
        <v>18632.810000000001</v>
      </c>
      <c r="H44" s="213">
        <f t="shared" si="6"/>
        <v>-188.41479999999865</v>
      </c>
      <c r="I44" s="220" t="s">
        <v>127</v>
      </c>
      <c r="J44" s="221" t="s">
        <v>46</v>
      </c>
      <c r="K44" s="215">
        <v>41289</v>
      </c>
      <c r="L44" s="215">
        <v>41291</v>
      </c>
      <c r="M44" s="220" t="s">
        <v>31</v>
      </c>
      <c r="N44" s="220" t="s">
        <v>91</v>
      </c>
      <c r="O44" s="216"/>
      <c r="P44" s="217">
        <v>0.76500000000000001</v>
      </c>
      <c r="Q44" s="216">
        <v>17000</v>
      </c>
      <c r="R44" s="216">
        <v>7658</v>
      </c>
      <c r="S44" s="222">
        <v>12.696999999999999</v>
      </c>
      <c r="T44" s="226">
        <f>W44*F44*0.005</f>
        <v>2149.1106144334035</v>
      </c>
      <c r="V44" s="216">
        <v>0.1</v>
      </c>
      <c r="W44" s="216">
        <f>IF(O44&gt;0,O44,((P44*2.2046*S44)+(Q44+R44)/G44)+V44)</f>
        <v>22.83709628114535</v>
      </c>
      <c r="X44" s="216">
        <f>IF(O44&gt;0,O44,((P44*2.2046*S44)+(Q44+R44+T44)/G44)+V44)</f>
        <v>22.95243640506833</v>
      </c>
      <c r="Y44" s="216">
        <f t="shared" ref="Y44" si="8">W44*F44</f>
        <v>429822.12288668065</v>
      </c>
      <c r="Z44" s="218">
        <v>41291</v>
      </c>
    </row>
    <row r="45" spans="1:26">
      <c r="A45" s="242"/>
      <c r="B45" s="212" t="s">
        <v>36</v>
      </c>
      <c r="C45" s="37" t="s">
        <v>50</v>
      </c>
      <c r="D45" s="37" t="s">
        <v>48</v>
      </c>
      <c r="E45" s="37" t="s">
        <v>37</v>
      </c>
      <c r="F45" s="219">
        <v>19097.150000000001</v>
      </c>
      <c r="G45" s="213">
        <v>19022.88</v>
      </c>
      <c r="H45" s="213">
        <f t="shared" si="6"/>
        <v>-74.270000000000437</v>
      </c>
      <c r="I45" s="220" t="s">
        <v>128</v>
      </c>
      <c r="J45" s="37"/>
      <c r="K45" s="215">
        <v>41290</v>
      </c>
      <c r="L45" s="215">
        <v>41291</v>
      </c>
      <c r="M45" s="220" t="s">
        <v>31</v>
      </c>
      <c r="N45" s="220" t="s">
        <v>129</v>
      </c>
      <c r="O45" s="216"/>
      <c r="P45" s="217">
        <v>1.8959999999999999</v>
      </c>
      <c r="Q45" s="216"/>
      <c r="R45" s="216"/>
      <c r="S45" s="222">
        <v>12.695</v>
      </c>
      <c r="T45" s="222"/>
      <c r="U45" s="216"/>
      <c r="V45" s="216"/>
      <c r="W45" s="216">
        <f>IF(O45&gt;0,O45,((P45*S45)+(Q45+R45)/G45)+V45)</f>
        <v>24.06972</v>
      </c>
      <c r="X45" s="216">
        <f>IF(O45&gt;0,O45,((P45*S45)+(Q45+R45+T45)/G45)+V45)</f>
        <v>24.06972</v>
      </c>
      <c r="Y45" s="216">
        <f t="shared" si="7"/>
        <v>459663.05329800001</v>
      </c>
      <c r="Z45" s="218">
        <v>41291</v>
      </c>
    </row>
    <row r="46" spans="1:26">
      <c r="A46" s="242"/>
      <c r="B46" s="220" t="s">
        <v>21</v>
      </c>
      <c r="C46" s="220" t="s">
        <v>49</v>
      </c>
      <c r="D46" s="220" t="s">
        <v>125</v>
      </c>
      <c r="E46" s="37">
        <v>251</v>
      </c>
      <c r="F46" s="219">
        <f>3680+9170+10440</f>
        <v>23290</v>
      </c>
      <c r="G46" s="213">
        <v>23290</v>
      </c>
      <c r="H46" s="213">
        <f t="shared" si="6"/>
        <v>0</v>
      </c>
      <c r="I46" s="220" t="s">
        <v>130</v>
      </c>
      <c r="J46" s="37"/>
      <c r="K46" s="215"/>
      <c r="L46" s="215">
        <v>41291</v>
      </c>
      <c r="M46" s="220" t="s">
        <v>31</v>
      </c>
      <c r="N46" s="37"/>
      <c r="O46" s="216">
        <v>30.4</v>
      </c>
      <c r="P46" s="217"/>
      <c r="Q46" s="216"/>
      <c r="R46" s="216"/>
      <c r="S46" s="222"/>
      <c r="T46" s="222"/>
      <c r="U46" s="216">
        <f>E46*5</f>
        <v>1255</v>
      </c>
      <c r="W46" s="216">
        <f>((O46*F46)+Q46+R46+S46+U46)/G46</f>
        <v>30.453885787891799</v>
      </c>
      <c r="X46" s="216">
        <f>((O46*F46)+R46+S46+T46+U46)/G46</f>
        <v>30.453885787891799</v>
      </c>
      <c r="Y46" s="216">
        <f>W46*F46</f>
        <v>709271</v>
      </c>
      <c r="Z46" s="218">
        <v>41298</v>
      </c>
    </row>
    <row r="47" spans="1:26">
      <c r="A47" s="242"/>
      <c r="B47" s="212" t="s">
        <v>23</v>
      </c>
      <c r="C47" s="37" t="s">
        <v>29</v>
      </c>
      <c r="D47" s="37" t="s">
        <v>29</v>
      </c>
      <c r="E47" s="37" t="s">
        <v>26</v>
      </c>
      <c r="F47" s="219">
        <f>41120*0.4536</f>
        <v>18652.031999999999</v>
      </c>
      <c r="G47" s="213">
        <v>18620.3</v>
      </c>
      <c r="H47" s="213">
        <f t="shared" si="6"/>
        <v>-31.731999999999971</v>
      </c>
      <c r="I47" s="220" t="s">
        <v>131</v>
      </c>
      <c r="J47" s="221" t="s">
        <v>30</v>
      </c>
      <c r="K47" s="215">
        <v>41290</v>
      </c>
      <c r="L47" s="215">
        <v>41291</v>
      </c>
      <c r="M47" s="220" t="s">
        <v>31</v>
      </c>
      <c r="N47" s="220" t="s">
        <v>132</v>
      </c>
      <c r="O47" s="216"/>
      <c r="P47" s="217">
        <v>0.80500000000000005</v>
      </c>
      <c r="Q47" s="216">
        <v>17000</v>
      </c>
      <c r="R47" s="216">
        <v>7658</v>
      </c>
      <c r="S47" s="222">
        <v>12.685</v>
      </c>
      <c r="T47" s="223">
        <f>W47*F47*0.005</f>
        <v>2232.308874598581</v>
      </c>
      <c r="V47" s="216">
        <v>0.1</v>
      </c>
      <c r="W47" s="216">
        <f>IF(O47&gt;0,O47,((P47*2.2046*S47)+(Q47+R47)/G47)+V47)</f>
        <v>23.936361192159449</v>
      </c>
      <c r="X47" s="216">
        <f>IF(O47&gt;0,O47,((P47*2.2046*S47)+(Q47+R47+T47)/G47)+V47)</f>
        <v>24.05624695525664</v>
      </c>
      <c r="Y47" s="216">
        <f>W47*F47</f>
        <v>446461.77491971618</v>
      </c>
      <c r="Z47" s="218">
        <v>41291</v>
      </c>
    </row>
    <row r="48" spans="1:26">
      <c r="A48" s="242"/>
      <c r="B48" s="220" t="s">
        <v>21</v>
      </c>
      <c r="C48" s="220" t="s">
        <v>49</v>
      </c>
      <c r="D48" s="220" t="s">
        <v>125</v>
      </c>
      <c r="E48" s="37">
        <v>251</v>
      </c>
      <c r="F48" s="219">
        <v>23760</v>
      </c>
      <c r="G48" s="213">
        <v>23760</v>
      </c>
      <c r="H48" s="213">
        <f t="shared" si="6"/>
        <v>0</v>
      </c>
      <c r="I48" s="220" t="s">
        <v>133</v>
      </c>
      <c r="J48" s="37"/>
      <c r="K48" s="215"/>
      <c r="L48" s="215">
        <v>41292</v>
      </c>
      <c r="M48" s="220" t="s">
        <v>32</v>
      </c>
      <c r="N48" s="37"/>
      <c r="O48" s="216">
        <v>30.4</v>
      </c>
      <c r="P48" s="217"/>
      <c r="Q48" s="216"/>
      <c r="R48" s="216"/>
      <c r="S48" s="222"/>
      <c r="T48" s="222"/>
      <c r="U48" s="216">
        <f>E48*5</f>
        <v>1255</v>
      </c>
      <c r="W48" s="216">
        <f>((O48*F48)+Q48+R48+S48+U48)/G48</f>
        <v>30.452819865319864</v>
      </c>
      <c r="X48" s="216">
        <f>((O48*F48)+R48+S48+T48+U48)/G48</f>
        <v>30.452819865319864</v>
      </c>
      <c r="Y48" s="216">
        <f>W48*F48</f>
        <v>723559</v>
      </c>
      <c r="Z48" s="218">
        <v>41299</v>
      </c>
    </row>
    <row r="49" spans="1:26">
      <c r="A49" s="242"/>
      <c r="B49" s="220" t="s">
        <v>21</v>
      </c>
      <c r="C49" s="220" t="s">
        <v>55</v>
      </c>
      <c r="D49" s="220" t="s">
        <v>47</v>
      </c>
      <c r="E49" s="37">
        <v>155</v>
      </c>
      <c r="F49" s="219">
        <v>16255.9</v>
      </c>
      <c r="G49" s="213">
        <v>16220</v>
      </c>
      <c r="H49" s="213">
        <f t="shared" si="6"/>
        <v>-35.899999999999636</v>
      </c>
      <c r="I49" s="220" t="s">
        <v>134</v>
      </c>
      <c r="J49" s="37"/>
      <c r="K49" s="215"/>
      <c r="L49" s="215">
        <v>41292</v>
      </c>
      <c r="M49" s="220" t="s">
        <v>32</v>
      </c>
      <c r="N49" s="37"/>
      <c r="O49" s="216">
        <v>30.2</v>
      </c>
      <c r="P49" s="217"/>
      <c r="Q49" s="216"/>
      <c r="R49" s="216"/>
      <c r="S49" s="222"/>
      <c r="T49" s="222"/>
      <c r="U49" s="216">
        <f>E49*5</f>
        <v>775</v>
      </c>
      <c r="W49" s="216">
        <f>((O49*F49)+Q49+R49+S49+U49)/G49</f>
        <v>30.314622688039456</v>
      </c>
      <c r="X49" s="216">
        <f>((O49*F49)+R49+S49+T49+U49)/G49</f>
        <v>30.314622688039456</v>
      </c>
      <c r="Y49" s="216">
        <f>W49*F49</f>
        <v>492791.47495450056</v>
      </c>
      <c r="Z49" s="218">
        <v>41299</v>
      </c>
    </row>
    <row r="50" spans="1:26">
      <c r="A50" s="242"/>
      <c r="B50" s="220" t="s">
        <v>23</v>
      </c>
      <c r="C50" s="220" t="s">
        <v>59</v>
      </c>
      <c r="D50" s="220" t="s">
        <v>25</v>
      </c>
      <c r="E50" s="220" t="s">
        <v>37</v>
      </c>
      <c r="F50" s="219">
        <f>42887*0.4536</f>
        <v>19453.5432</v>
      </c>
      <c r="G50" s="213">
        <v>19214.63</v>
      </c>
      <c r="H50" s="243">
        <f t="shared" si="6"/>
        <v>-238.91319999999905</v>
      </c>
      <c r="I50" s="220" t="s">
        <v>135</v>
      </c>
      <c r="J50" s="37"/>
      <c r="K50" s="215"/>
      <c r="L50" s="215">
        <v>41291</v>
      </c>
      <c r="M50" s="220" t="s">
        <v>31</v>
      </c>
      <c r="N50" s="37" t="s">
        <v>136</v>
      </c>
      <c r="O50" s="216"/>
      <c r="P50" s="217">
        <v>0.86</v>
      </c>
      <c r="Q50" s="216"/>
      <c r="R50" s="216"/>
      <c r="S50" s="222">
        <v>12.64</v>
      </c>
      <c r="T50" s="222"/>
      <c r="U50" s="216"/>
      <c r="V50" s="216"/>
      <c r="W50" s="216">
        <f>((P50*2.2046*S50)+(Q50*S50)/G50)</f>
        <v>23.964883840000002</v>
      </c>
      <c r="X50" s="216">
        <f>IF(O50&gt;0,O50,((P50*2.2046*S50)+(Q50+R50+U50)/G50)+V50)</f>
        <v>23.964883840000002</v>
      </c>
      <c r="Y50" s="216">
        <f t="shared" ref="Y50:Y52" si="9">W50*F50</f>
        <v>466201.90306442196</v>
      </c>
      <c r="Z50" s="218">
        <v>41292</v>
      </c>
    </row>
    <row r="51" spans="1:26" s="189" customFormat="1">
      <c r="A51" s="242"/>
      <c r="B51" s="220" t="s">
        <v>137</v>
      </c>
      <c r="C51" s="220" t="s">
        <v>29</v>
      </c>
      <c r="D51" s="220" t="s">
        <v>29</v>
      </c>
      <c r="E51" s="220" t="s">
        <v>95</v>
      </c>
      <c r="F51" s="219">
        <f>19785*0.4536</f>
        <v>8974.4760000000006</v>
      </c>
      <c r="G51" s="213">
        <v>8931</v>
      </c>
      <c r="H51" s="213">
        <f t="shared" si="6"/>
        <v>-43.476000000000568</v>
      </c>
      <c r="I51" s="220" t="s">
        <v>138</v>
      </c>
      <c r="J51" s="221" t="s">
        <v>30</v>
      </c>
      <c r="K51" s="215">
        <v>41292</v>
      </c>
      <c r="L51" s="215">
        <v>41293</v>
      </c>
      <c r="M51" s="220" t="s">
        <v>33</v>
      </c>
      <c r="N51" s="37" t="s">
        <v>139</v>
      </c>
      <c r="O51" s="216"/>
      <c r="P51" s="217">
        <v>0.99</v>
      </c>
      <c r="Q51" s="216">
        <f>(17000*F51)/(F51+F52)</f>
        <v>8793.5632304112532</v>
      </c>
      <c r="R51" s="216">
        <f>(7645*F51)/(F51+F52)</f>
        <v>3954.5171115584726</v>
      </c>
      <c r="S51" s="222">
        <v>12.64</v>
      </c>
      <c r="T51" s="223">
        <f>W51*F51*0.005</f>
        <v>1306.453927890271</v>
      </c>
      <c r="U51" s="203"/>
      <c r="V51" s="216">
        <v>0.1</v>
      </c>
      <c r="W51" s="216">
        <f>IF(O51&gt;0,O51,((P51*2.2046*S51)+(Q51+R51)/G51)+V51)</f>
        <v>29.114879306385596</v>
      </c>
      <c r="X51" s="216">
        <f>IF(O51&gt;0,O51,((P51*2.2046*S51)+(Q51+R51+T51)/G51)+V51)</f>
        <v>29.261162357319453</v>
      </c>
      <c r="Y51" s="216">
        <f t="shared" si="9"/>
        <v>261290.7855780542</v>
      </c>
      <c r="Z51" s="218">
        <v>41292</v>
      </c>
    </row>
    <row r="52" spans="1:26" s="189" customFormat="1">
      <c r="A52" s="242"/>
      <c r="B52" s="220" t="s">
        <v>140</v>
      </c>
      <c r="C52" s="220" t="s">
        <v>29</v>
      </c>
      <c r="D52" s="220" t="s">
        <v>29</v>
      </c>
      <c r="E52" s="220" t="s">
        <v>141</v>
      </c>
      <c r="F52" s="219">
        <f>18464*0.4536</f>
        <v>8375.2703999999994</v>
      </c>
      <c r="G52" s="213">
        <v>8359.5</v>
      </c>
      <c r="H52" s="213">
        <f t="shared" si="6"/>
        <v>-15.770399999999427</v>
      </c>
      <c r="I52" s="220" t="s">
        <v>138</v>
      </c>
      <c r="J52" s="37"/>
      <c r="K52" s="215">
        <v>41292</v>
      </c>
      <c r="L52" s="215">
        <v>41293</v>
      </c>
      <c r="M52" s="220" t="s">
        <v>33</v>
      </c>
      <c r="N52" s="37"/>
      <c r="O52" s="216"/>
      <c r="P52" s="217">
        <v>0.54</v>
      </c>
      <c r="Q52" s="216">
        <f>(17000*F52)/(F52+F51)</f>
        <v>8206.4367695887468</v>
      </c>
      <c r="R52" s="216">
        <f>(7645*F52)/(F52+F51)</f>
        <v>3690.4828884415278</v>
      </c>
      <c r="S52" s="222">
        <v>12.64</v>
      </c>
      <c r="T52" s="223">
        <f>W52*F52*0.005</f>
        <v>693.92797834552539</v>
      </c>
      <c r="U52" s="203"/>
      <c r="V52" s="216">
        <v>0.1</v>
      </c>
      <c r="W52" s="216">
        <f t="shared" ref="W52" si="10">IF(O52&gt;0,O52,((P52*2.2046*S52)+(Q52+R52)/G52)+V52)</f>
        <v>16.570879391440911</v>
      </c>
      <c r="X52" s="216">
        <f t="shared" ref="X52" si="11">IF(O52&gt;0,O52,((P52*2.2046*S52)+(Q52+R52+T52)/G52)+V52)</f>
        <v>16.65389009523247</v>
      </c>
      <c r="Y52" s="216">
        <f t="shared" si="9"/>
        <v>138785.59566910507</v>
      </c>
      <c r="Z52" s="218" t="s">
        <v>142</v>
      </c>
    </row>
    <row r="53" spans="1:26">
      <c r="A53" s="242"/>
      <c r="B53" s="212" t="s">
        <v>21</v>
      </c>
      <c r="C53" s="37" t="s">
        <v>40</v>
      </c>
      <c r="D53" s="220" t="s">
        <v>143</v>
      </c>
      <c r="E53" s="37">
        <v>251</v>
      </c>
      <c r="F53" s="219">
        <f>12700+12975</f>
        <v>25675</v>
      </c>
      <c r="G53" s="213">
        <f>9910+3980+6300</f>
        <v>20190</v>
      </c>
      <c r="H53" s="213">
        <f t="shared" si="6"/>
        <v>-5485</v>
      </c>
      <c r="I53" s="220" t="s">
        <v>144</v>
      </c>
      <c r="J53" s="37"/>
      <c r="K53" s="215"/>
      <c r="L53" s="215">
        <v>41294</v>
      </c>
      <c r="M53" s="220" t="s">
        <v>43</v>
      </c>
      <c r="N53" s="37"/>
      <c r="O53" s="216">
        <v>22.7</v>
      </c>
      <c r="P53" s="217"/>
      <c r="Q53" s="216">
        <v>15000</v>
      </c>
      <c r="R53" s="216">
        <f>52.5*E53</f>
        <v>13177.5</v>
      </c>
      <c r="S53" s="222">
        <f>-35*E53</f>
        <v>-8785</v>
      </c>
      <c r="T53" s="222">
        <v>2250</v>
      </c>
      <c r="U53" s="216">
        <f>E53*5</f>
        <v>1255</v>
      </c>
      <c r="V53" s="37"/>
      <c r="W53" s="216">
        <f>((O53*F53)+Q53+R53+S53+U53)/G53</f>
        <v>29.889549281822685</v>
      </c>
      <c r="X53" s="216">
        <f>((O53*F53)+Q53+R53+S53+T53+U53)/G53</f>
        <v>30.000990589400693</v>
      </c>
      <c r="Y53" s="216">
        <f>W53*F53</f>
        <v>767414.17781079747</v>
      </c>
      <c r="Z53" s="218">
        <v>41302</v>
      </c>
    </row>
    <row r="54" spans="1:26" ht="15.75" thickBot="1">
      <c r="A54" s="242"/>
      <c r="B54" s="227"/>
      <c r="C54" s="205"/>
      <c r="D54" s="205"/>
      <c r="E54" s="205"/>
      <c r="F54" s="206"/>
      <c r="G54" s="206"/>
      <c r="H54" s="206"/>
      <c r="I54" s="207"/>
      <c r="J54" s="205"/>
      <c r="K54" s="208"/>
      <c r="L54" s="208"/>
      <c r="M54" s="205"/>
      <c r="N54" s="205"/>
      <c r="O54" s="209"/>
      <c r="P54" s="210"/>
      <c r="Q54" s="209"/>
      <c r="R54" s="209"/>
      <c r="S54" s="209"/>
      <c r="T54" s="209"/>
      <c r="U54" s="209"/>
      <c r="V54" s="209"/>
      <c r="W54" s="209"/>
      <c r="X54" s="209"/>
      <c r="Y54" s="209"/>
      <c r="Z54" s="228"/>
    </row>
    <row r="55" spans="1:26">
      <c r="A55" s="244"/>
      <c r="B55" s="230" t="s">
        <v>21</v>
      </c>
      <c r="C55" s="108" t="s">
        <v>40</v>
      </c>
      <c r="D55" s="220" t="s">
        <v>54</v>
      </c>
      <c r="E55" s="37">
        <v>250</v>
      </c>
      <c r="F55" s="219">
        <f>12800+12670</f>
        <v>25470</v>
      </c>
      <c r="G55" s="213">
        <f>10310+6280+3070</f>
        <v>19660</v>
      </c>
      <c r="H55" s="231">
        <f t="shared" ref="H55:H60" si="12">G55-F55</f>
        <v>-5810</v>
      </c>
      <c r="I55" s="220" t="s">
        <v>145</v>
      </c>
      <c r="J55" s="108"/>
      <c r="K55" s="232"/>
      <c r="L55" s="232">
        <v>41295</v>
      </c>
      <c r="M55" s="108" t="s">
        <v>22</v>
      </c>
      <c r="N55" s="108"/>
      <c r="O55" s="233">
        <v>22.7</v>
      </c>
      <c r="P55" s="234"/>
      <c r="Q55" s="233">
        <v>15000</v>
      </c>
      <c r="R55" s="233">
        <f>52.5*E55</f>
        <v>13125</v>
      </c>
      <c r="S55" s="235">
        <f>-35*E55</f>
        <v>-8750</v>
      </c>
      <c r="T55" s="235">
        <v>2250</v>
      </c>
      <c r="U55" s="233">
        <f>E55*5</f>
        <v>1250</v>
      </c>
      <c r="V55" s="108"/>
      <c r="W55" s="233">
        <f>((O55*F55)+Q55+R55+S55+U55)/G55</f>
        <v>30.457477110885044</v>
      </c>
      <c r="X55" s="233">
        <f>((O55*F55)+Q55+R55+S55+T55+U55)/G55</f>
        <v>30.571922685656155</v>
      </c>
      <c r="Y55" s="233">
        <f t="shared" ref="Y55:Y64" si="13">W55*F55</f>
        <v>775751.94201424206</v>
      </c>
      <c r="Z55" s="237">
        <v>41302</v>
      </c>
    </row>
    <row r="56" spans="1:26">
      <c r="A56" s="245"/>
      <c r="B56" s="212" t="s">
        <v>36</v>
      </c>
      <c r="C56" s="37" t="s">
        <v>50</v>
      </c>
      <c r="D56" s="37" t="s">
        <v>48</v>
      </c>
      <c r="E56" s="37" t="s">
        <v>37</v>
      </c>
      <c r="F56" s="219">
        <v>18644.919999999998</v>
      </c>
      <c r="G56" s="213">
        <v>18709.39</v>
      </c>
      <c r="H56" s="213">
        <f t="shared" si="12"/>
        <v>64.470000000001164</v>
      </c>
      <c r="I56" s="220" t="s">
        <v>146</v>
      </c>
      <c r="J56" s="37"/>
      <c r="K56" s="215">
        <v>41292</v>
      </c>
      <c r="L56" s="215">
        <v>41295</v>
      </c>
      <c r="M56" s="220" t="s">
        <v>22</v>
      </c>
      <c r="N56" s="220" t="s">
        <v>147</v>
      </c>
      <c r="O56" s="216"/>
      <c r="P56" s="217">
        <v>1.8959999999999999</v>
      </c>
      <c r="Q56" s="216"/>
      <c r="R56" s="216"/>
      <c r="S56" s="222">
        <v>12.698</v>
      </c>
      <c r="T56" s="222"/>
      <c r="U56" s="216"/>
      <c r="V56" s="216"/>
      <c r="W56" s="216">
        <f>IF(O56&gt;0,O56,((P56*S56)+(Q56+R56)/G56)+V56)</f>
        <v>24.075407999999999</v>
      </c>
      <c r="X56" s="216">
        <f>IF(O56&gt;0,O56,((P56*S56)+(Q56+R56+T56)/G56)+V56)</f>
        <v>24.075407999999999</v>
      </c>
      <c r="Y56" s="216">
        <f t="shared" si="13"/>
        <v>448884.05612735997</v>
      </c>
      <c r="Z56" s="218">
        <v>41295</v>
      </c>
    </row>
    <row r="57" spans="1:26">
      <c r="A57" s="245"/>
      <c r="B57" s="220" t="s">
        <v>21</v>
      </c>
      <c r="C57" s="220" t="s">
        <v>49</v>
      </c>
      <c r="D57" s="220" t="s">
        <v>125</v>
      </c>
      <c r="E57" s="37">
        <f>171+80</f>
        <v>251</v>
      </c>
      <c r="F57" s="219">
        <f>15460+7190</f>
        <v>22650</v>
      </c>
      <c r="G57" s="213">
        <v>22650</v>
      </c>
      <c r="H57" s="213">
        <f t="shared" si="12"/>
        <v>0</v>
      </c>
      <c r="I57" s="220" t="s">
        <v>148</v>
      </c>
      <c r="J57" s="37"/>
      <c r="K57" s="215"/>
      <c r="L57" s="215">
        <v>41296</v>
      </c>
      <c r="M57" s="220" t="s">
        <v>27</v>
      </c>
      <c r="N57" s="37"/>
      <c r="O57" s="216">
        <v>30.1</v>
      </c>
      <c r="P57" s="217"/>
      <c r="Q57" s="216"/>
      <c r="R57" s="216"/>
      <c r="S57" s="222"/>
      <c r="T57" s="222"/>
      <c r="U57" s="216">
        <f>E57*5</f>
        <v>1255</v>
      </c>
      <c r="W57" s="216">
        <f>((O57*F57)+Q57+R57+S57+U57)/G57</f>
        <v>30.155408388520971</v>
      </c>
      <c r="X57" s="216">
        <f>((O57*F57)+R57+S57+T57+U57)/G57</f>
        <v>30.155408388520971</v>
      </c>
      <c r="Y57" s="216">
        <f>W57*F57</f>
        <v>683020</v>
      </c>
      <c r="Z57" s="218">
        <v>41303</v>
      </c>
    </row>
    <row r="58" spans="1:26">
      <c r="A58" s="245"/>
      <c r="B58" s="212" t="s">
        <v>23</v>
      </c>
      <c r="C58" s="37" t="s">
        <v>29</v>
      </c>
      <c r="D58" s="37" t="s">
        <v>29</v>
      </c>
      <c r="E58" s="37" t="s">
        <v>34</v>
      </c>
      <c r="F58" s="219">
        <f>40384*0.4536</f>
        <v>18318.182400000002</v>
      </c>
      <c r="G58" s="213">
        <v>18287.71</v>
      </c>
      <c r="H58" s="213">
        <f t="shared" si="12"/>
        <v>-30.472400000002381</v>
      </c>
      <c r="I58" s="220" t="s">
        <v>149</v>
      </c>
      <c r="J58" s="221" t="s">
        <v>30</v>
      </c>
      <c r="K58" s="215">
        <v>41295</v>
      </c>
      <c r="L58" s="215">
        <v>41296</v>
      </c>
      <c r="M58" s="220" t="s">
        <v>27</v>
      </c>
      <c r="N58" s="220" t="s">
        <v>150</v>
      </c>
      <c r="O58" s="216"/>
      <c r="P58" s="246">
        <v>0.80500000000000005</v>
      </c>
      <c r="Q58" s="216">
        <v>17000</v>
      </c>
      <c r="R58" s="216">
        <v>7645</v>
      </c>
      <c r="S58" s="222">
        <v>12.689</v>
      </c>
      <c r="T58" s="223">
        <f>W58*F58*0.005</f>
        <v>2195.1440669166991</v>
      </c>
      <c r="V58" s="216">
        <v>0.1</v>
      </c>
      <c r="W58" s="216">
        <f>IF(O58&gt;0,O58,((P58*2.2046*S58)+(Q58+R58)/G58)+V58)</f>
        <v>23.966832723717165</v>
      </c>
      <c r="X58" s="216">
        <f>IF(O58&gt;0,O58,((P58*2.2046*S58)+(Q58+R58+T58)/G58)+V58)</f>
        <v>24.086866564308288</v>
      </c>
      <c r="Y58" s="216">
        <f t="shared" si="13"/>
        <v>439028.81338333985</v>
      </c>
      <c r="Z58" s="218">
        <v>41297</v>
      </c>
    </row>
    <row r="59" spans="1:26">
      <c r="A59" s="245"/>
      <c r="B59" s="212" t="s">
        <v>23</v>
      </c>
      <c r="C59" s="37" t="s">
        <v>29</v>
      </c>
      <c r="D59" s="37" t="s">
        <v>29</v>
      </c>
      <c r="E59" s="37" t="s">
        <v>34</v>
      </c>
      <c r="F59" s="219">
        <f>40463*0.4536</f>
        <v>18354.016800000001</v>
      </c>
      <c r="G59" s="213">
        <v>18326.939999999999</v>
      </c>
      <c r="H59" s="213">
        <f t="shared" si="12"/>
        <v>-27.076800000002549</v>
      </c>
      <c r="I59" s="220" t="s">
        <v>151</v>
      </c>
      <c r="J59" s="221" t="s">
        <v>30</v>
      </c>
      <c r="K59" s="215">
        <v>41295</v>
      </c>
      <c r="L59" s="215">
        <v>41296</v>
      </c>
      <c r="M59" s="220" t="s">
        <v>27</v>
      </c>
      <c r="N59" s="220" t="s">
        <v>150</v>
      </c>
      <c r="O59" s="216"/>
      <c r="P59" s="217">
        <v>0.80500000000000005</v>
      </c>
      <c r="Q59" s="216">
        <v>17000</v>
      </c>
      <c r="R59" s="216">
        <v>7645</v>
      </c>
      <c r="S59" s="222">
        <v>12.664999999999999</v>
      </c>
      <c r="T59" s="223">
        <f>W59*F59*0.005</f>
        <v>2195.2647733786616</v>
      </c>
      <c r="V59" s="216">
        <v>0.1</v>
      </c>
      <c r="W59" s="216">
        <f>IF(O59&gt;0,O59,((P59*2.2046*S59)+(Q59+R59)/G59)+V59)</f>
        <v>23.921355170369701</v>
      </c>
      <c r="X59" s="216">
        <f>IF(O59&gt;0,O59,((P59*2.2046*S59)+(Q59+R59+T59)/G59)+V59)</f>
        <v>24.041138657049892</v>
      </c>
      <c r="Y59" s="216">
        <f t="shared" si="13"/>
        <v>439052.95467573236</v>
      </c>
      <c r="Z59" s="218">
        <v>41297</v>
      </c>
    </row>
    <row r="60" spans="1:26">
      <c r="A60" s="245"/>
      <c r="B60" s="240" t="s">
        <v>44</v>
      </c>
      <c r="C60" s="220" t="s">
        <v>111</v>
      </c>
      <c r="D60" s="220" t="s">
        <v>58</v>
      </c>
      <c r="E60" s="220" t="s">
        <v>152</v>
      </c>
      <c r="F60" s="219">
        <f>40980*0.4536</f>
        <v>18588.527999999998</v>
      </c>
      <c r="G60" s="213">
        <v>18500</v>
      </c>
      <c r="H60" s="213">
        <f t="shared" si="12"/>
        <v>-88.527999999998428</v>
      </c>
      <c r="I60" s="220" t="s">
        <v>153</v>
      </c>
      <c r="J60" s="221" t="s">
        <v>46</v>
      </c>
      <c r="K60" s="215">
        <v>41295</v>
      </c>
      <c r="L60" s="215">
        <v>41297</v>
      </c>
      <c r="M60" s="220" t="s">
        <v>31</v>
      </c>
      <c r="N60" s="220"/>
      <c r="O60" s="216"/>
      <c r="P60" s="217">
        <v>0.94499999999999995</v>
      </c>
      <c r="Q60" s="216">
        <v>17000</v>
      </c>
      <c r="R60" s="216">
        <v>7645</v>
      </c>
      <c r="S60" s="222">
        <v>12.664999999999999</v>
      </c>
      <c r="T60" s="223">
        <f>W60*F60*0.005</f>
        <v>2585.4553020461121</v>
      </c>
      <c r="V60" s="216">
        <v>0.1</v>
      </c>
      <c r="W60" s="216">
        <f>IF(O60&gt;0,O60,((P60*2.2046*S60)+(Q60+R60)/G60)+V60)</f>
        <v>27.817751917162159</v>
      </c>
      <c r="X60" s="216">
        <f>IF(O60&gt;0,O60,((P60*2.2046*S60)+(Q60+R60+T60)/G60)+V60)</f>
        <v>27.9575062578133</v>
      </c>
      <c r="Y60" s="216">
        <f t="shared" si="13"/>
        <v>517091.06040922244</v>
      </c>
      <c r="Z60" s="218">
        <v>41297</v>
      </c>
    </row>
    <row r="61" spans="1:26">
      <c r="A61" s="245"/>
      <c r="B61" s="212" t="s">
        <v>21</v>
      </c>
      <c r="C61" s="37" t="s">
        <v>40</v>
      </c>
      <c r="D61" s="37" t="s">
        <v>154</v>
      </c>
      <c r="E61" s="37">
        <f>119+90+41</f>
        <v>250</v>
      </c>
      <c r="F61" s="219">
        <f>12740+12270</f>
        <v>25010</v>
      </c>
      <c r="G61" s="213">
        <f>9120+7260+3180</f>
        <v>19560</v>
      </c>
      <c r="H61" s="213">
        <f>G61-F61</f>
        <v>-5450</v>
      </c>
      <c r="I61" s="220" t="s">
        <v>155</v>
      </c>
      <c r="J61" s="37"/>
      <c r="K61" s="215"/>
      <c r="L61" s="215">
        <v>41297</v>
      </c>
      <c r="M61" s="220" t="s">
        <v>28</v>
      </c>
      <c r="N61" s="37"/>
      <c r="O61" s="216">
        <v>22.7</v>
      </c>
      <c r="P61" s="217"/>
      <c r="Q61" s="216">
        <v>15000</v>
      </c>
      <c r="R61" s="216">
        <f>52.5*E61</f>
        <v>13125</v>
      </c>
      <c r="S61" s="222">
        <f>-35*E61</f>
        <v>-8750</v>
      </c>
      <c r="T61" s="222">
        <v>2250</v>
      </c>
      <c r="U61" s="216">
        <f>E61*5</f>
        <v>1250</v>
      </c>
      <c r="V61" s="37"/>
      <c r="W61" s="216">
        <f>((O61*F61)+Q61+R61+S61+U61)/G61</f>
        <v>30.079345603271985</v>
      </c>
      <c r="X61" s="216">
        <f>((O61*F61)+Q61+R61+S61+T61+U61)/G61</f>
        <v>30.194376278118611</v>
      </c>
      <c r="Y61" s="216">
        <f t="shared" si="13"/>
        <v>752284.43353783234</v>
      </c>
      <c r="Z61" s="218">
        <v>41303</v>
      </c>
    </row>
    <row r="62" spans="1:26">
      <c r="A62" s="245"/>
      <c r="B62" s="220" t="s">
        <v>21</v>
      </c>
      <c r="C62" s="220" t="s">
        <v>55</v>
      </c>
      <c r="D62" s="220" t="s">
        <v>47</v>
      </c>
      <c r="E62" s="37">
        <v>145</v>
      </c>
      <c r="F62" s="219">
        <v>14064.4</v>
      </c>
      <c r="G62" s="213">
        <v>14070</v>
      </c>
      <c r="H62" s="213">
        <f>G62-F62</f>
        <v>5.6000000000003638</v>
      </c>
      <c r="I62" s="220" t="s">
        <v>156</v>
      </c>
      <c r="J62" s="37"/>
      <c r="K62" s="215"/>
      <c r="L62" s="215">
        <v>41297</v>
      </c>
      <c r="M62" s="220" t="s">
        <v>28</v>
      </c>
      <c r="N62" s="37"/>
      <c r="O62" s="216">
        <v>29.6</v>
      </c>
      <c r="P62" s="217"/>
      <c r="Q62" s="216"/>
      <c r="R62" s="216"/>
      <c r="S62" s="222"/>
      <c r="T62" s="222"/>
      <c r="U62" s="216">
        <f>E62*5</f>
        <v>725</v>
      </c>
      <c r="W62" s="216">
        <f>((O62*F62)+Q62+R62+S62+U62)/G62</f>
        <v>29.639746979388768</v>
      </c>
      <c r="X62" s="216">
        <f>((O62*F62)+R62+S62+T62+U62)/G62</f>
        <v>29.639746979388768</v>
      </c>
      <c r="Y62" s="216">
        <f t="shared" si="13"/>
        <v>416865.25741691538</v>
      </c>
      <c r="Z62" s="218">
        <v>41304</v>
      </c>
    </row>
    <row r="63" spans="1:26">
      <c r="A63" s="245"/>
      <c r="B63" s="220" t="s">
        <v>23</v>
      </c>
      <c r="C63" s="220" t="s">
        <v>59</v>
      </c>
      <c r="D63" s="220" t="s">
        <v>25</v>
      </c>
      <c r="E63" s="220" t="s">
        <v>37</v>
      </c>
      <c r="F63" s="219">
        <f>42507*0.4536</f>
        <v>19281.175200000001</v>
      </c>
      <c r="G63" s="213">
        <v>19275.54</v>
      </c>
      <c r="H63" s="213">
        <f t="shared" ref="H63:H73" si="14">G63-F63</f>
        <v>-5.6352000000006228</v>
      </c>
      <c r="I63" s="220" t="s">
        <v>157</v>
      </c>
      <c r="J63" s="37"/>
      <c r="K63" s="215">
        <v>41295</v>
      </c>
      <c r="L63" s="215">
        <v>41297</v>
      </c>
      <c r="M63" s="220" t="s">
        <v>28</v>
      </c>
      <c r="N63" s="37" t="s">
        <v>158</v>
      </c>
      <c r="O63" s="216"/>
      <c r="P63" s="217">
        <v>0.86</v>
      </c>
      <c r="Q63" s="216"/>
      <c r="R63" s="216"/>
      <c r="S63" s="222">
        <v>12.695</v>
      </c>
      <c r="T63" s="222"/>
      <c r="U63" s="216"/>
      <c r="V63" s="216"/>
      <c r="W63" s="216">
        <f>((P63*2.2046*S63)+(Q63*S63)/G63)</f>
        <v>24.06916142</v>
      </c>
      <c r="X63" s="216">
        <f>IF(O63&gt;0,O63,((P63*2.2046*S63)+(Q63+R63+U63)/G63)+V63)</f>
        <v>24.06916142</v>
      </c>
      <c r="Y63" s="216">
        <f t="shared" si="13"/>
        <v>464081.71825610084</v>
      </c>
      <c r="Z63" s="218">
        <v>41297</v>
      </c>
    </row>
    <row r="64" spans="1:26">
      <c r="A64" s="245"/>
      <c r="B64" s="212" t="s">
        <v>36</v>
      </c>
      <c r="C64" s="37" t="s">
        <v>50</v>
      </c>
      <c r="D64" s="37" t="s">
        <v>48</v>
      </c>
      <c r="E64" s="37" t="s">
        <v>60</v>
      </c>
      <c r="F64" s="219">
        <v>18076.11</v>
      </c>
      <c r="G64" s="213">
        <v>17988.05</v>
      </c>
      <c r="H64" s="213">
        <f t="shared" si="14"/>
        <v>-88.06000000000131</v>
      </c>
      <c r="I64" s="220" t="s">
        <v>159</v>
      </c>
      <c r="J64" s="37"/>
      <c r="K64" s="215">
        <v>41296</v>
      </c>
      <c r="L64" s="215">
        <v>41298</v>
      </c>
      <c r="M64" s="220" t="s">
        <v>31</v>
      </c>
      <c r="N64" s="220" t="s">
        <v>160</v>
      </c>
      <c r="O64" s="216"/>
      <c r="P64" s="217">
        <v>1.94</v>
      </c>
      <c r="Q64" s="216"/>
      <c r="R64" s="216"/>
      <c r="S64" s="222">
        <v>12.73</v>
      </c>
      <c r="T64" s="222"/>
      <c r="U64" s="216"/>
      <c r="V64" s="216"/>
      <c r="W64" s="216">
        <f>IF(O64&gt;0,O64,((P64*S64)+(Q64+R64)/G64)+V64)</f>
        <v>24.696200000000001</v>
      </c>
      <c r="X64" s="216">
        <f>IF(O64&gt;0,O64,((P64*S64)+(Q64+R64+T64)/G64)+V64)</f>
        <v>24.696200000000001</v>
      </c>
      <c r="Y64" s="216">
        <f t="shared" si="13"/>
        <v>446411.22778200003</v>
      </c>
      <c r="Z64" s="218">
        <v>41298</v>
      </c>
    </row>
    <row r="65" spans="1:26">
      <c r="A65" s="245"/>
      <c r="B65" s="220" t="s">
        <v>21</v>
      </c>
      <c r="C65" s="220" t="s">
        <v>49</v>
      </c>
      <c r="D65" s="220" t="s">
        <v>125</v>
      </c>
      <c r="E65" s="37">
        <v>252</v>
      </c>
      <c r="F65" s="219">
        <f>9160+10130+3910</f>
        <v>23200</v>
      </c>
      <c r="G65" s="213">
        <f>3910+10130+9160</f>
        <v>23200</v>
      </c>
      <c r="H65" s="213">
        <f t="shared" si="14"/>
        <v>0</v>
      </c>
      <c r="I65" s="220" t="s">
        <v>161</v>
      </c>
      <c r="J65" s="37"/>
      <c r="K65" s="215"/>
      <c r="L65" s="215">
        <v>41298</v>
      </c>
      <c r="M65" s="220" t="s">
        <v>31</v>
      </c>
      <c r="N65" s="37"/>
      <c r="O65" s="216">
        <v>29.5</v>
      </c>
      <c r="P65" s="217"/>
      <c r="Q65" s="216"/>
      <c r="R65" s="216"/>
      <c r="S65" s="222"/>
      <c r="T65" s="222"/>
      <c r="U65" s="216">
        <f>E65*5</f>
        <v>1260</v>
      </c>
      <c r="W65" s="216">
        <f>((O65*F65)+Q65+R65+S65+U65)/G65</f>
        <v>29.554310344827588</v>
      </c>
      <c r="X65" s="216">
        <f>((O65*F65)+R65+S65+T65+U65)/G65</f>
        <v>29.554310344827588</v>
      </c>
      <c r="Y65" s="216">
        <f>W65*F65</f>
        <v>685660</v>
      </c>
      <c r="Z65" s="218">
        <v>41305</v>
      </c>
    </row>
    <row r="66" spans="1:26">
      <c r="A66" s="245"/>
      <c r="B66" s="212" t="s">
        <v>23</v>
      </c>
      <c r="C66" s="37" t="s">
        <v>29</v>
      </c>
      <c r="D66" s="37" t="s">
        <v>29</v>
      </c>
      <c r="E66" s="37" t="s">
        <v>26</v>
      </c>
      <c r="F66" s="219">
        <f>40408*0.4536</f>
        <v>18329.068800000001</v>
      </c>
      <c r="G66" s="213">
        <v>18285.27</v>
      </c>
      <c r="H66" s="213">
        <f t="shared" si="14"/>
        <v>-43.798800000000483</v>
      </c>
      <c r="I66" s="220" t="s">
        <v>162</v>
      </c>
      <c r="J66" s="221" t="s">
        <v>30</v>
      </c>
      <c r="K66" s="215">
        <v>41297</v>
      </c>
      <c r="L66" s="215">
        <v>41298</v>
      </c>
      <c r="M66" s="220" t="s">
        <v>31</v>
      </c>
      <c r="N66" s="220" t="s">
        <v>163</v>
      </c>
      <c r="O66" s="216"/>
      <c r="P66" s="217">
        <v>0.82499999999999996</v>
      </c>
      <c r="Q66" s="216">
        <v>17000</v>
      </c>
      <c r="R66" s="216">
        <v>7645</v>
      </c>
      <c r="S66" s="222">
        <v>12.73</v>
      </c>
      <c r="T66" s="223">
        <f>W66*F66*0.005</f>
        <v>2254.5732053649836</v>
      </c>
      <c r="V66" s="216">
        <v>0.1</v>
      </c>
      <c r="W66" s="216">
        <f>IF(O66&gt;0,O66,((P66*2.2046*S66)+(Q66+R66)/G66)+V66)</f>
        <v>24.601066534978401</v>
      </c>
      <c r="X66" s="216">
        <f>IF(O66&gt;0,O66,((P66*2.2046*S66)+(Q66+R66+T66)/G66)+V66)</f>
        <v>24.724366502950708</v>
      </c>
      <c r="Y66" s="216">
        <f>W66*F66</f>
        <v>450914.64107299672</v>
      </c>
      <c r="Z66" s="218">
        <v>41298</v>
      </c>
    </row>
    <row r="67" spans="1:26">
      <c r="A67" s="245"/>
      <c r="B67" s="212" t="s">
        <v>21</v>
      </c>
      <c r="C67" s="37" t="s">
        <v>40</v>
      </c>
      <c r="D67" s="37" t="s">
        <v>41</v>
      </c>
      <c r="E67" s="37">
        <v>250</v>
      </c>
      <c r="F67" s="219">
        <f>12780+12570</f>
        <v>25350</v>
      </c>
      <c r="G67" s="213">
        <f>4750+3040+11350</f>
        <v>19140</v>
      </c>
      <c r="H67" s="213">
        <f t="shared" si="14"/>
        <v>-6210</v>
      </c>
      <c r="I67" s="220" t="s">
        <v>164</v>
      </c>
      <c r="J67" s="37"/>
      <c r="K67" s="215"/>
      <c r="L67" s="215">
        <v>41299</v>
      </c>
      <c r="M67" s="220" t="s">
        <v>32</v>
      </c>
      <c r="N67" s="37"/>
      <c r="O67" s="216">
        <v>22.4</v>
      </c>
      <c r="P67" s="217"/>
      <c r="Q67" s="216">
        <v>15000</v>
      </c>
      <c r="R67" s="216">
        <f>52.5*E67</f>
        <v>13125</v>
      </c>
      <c r="S67" s="222">
        <f>-35*E67</f>
        <v>-8750</v>
      </c>
      <c r="T67" s="222">
        <v>2250</v>
      </c>
      <c r="U67" s="216">
        <f>E67*5</f>
        <v>1250</v>
      </c>
      <c r="V67" s="37"/>
      <c r="W67" s="216">
        <f>((O67*F67)+Q67+R67+S67+U67)/G67</f>
        <v>30.745297805642632</v>
      </c>
      <c r="X67" s="216">
        <f>((O67*F67)+Q67+R67+S67+T67+U67)/G67</f>
        <v>30.862852664576803</v>
      </c>
      <c r="Y67" s="216">
        <f>W67*F67</f>
        <v>779393.29937304079</v>
      </c>
      <c r="Z67" s="218">
        <v>41305</v>
      </c>
    </row>
    <row r="68" spans="1:26">
      <c r="A68" s="245"/>
      <c r="B68" s="220" t="s">
        <v>21</v>
      </c>
      <c r="C68" s="220" t="s">
        <v>55</v>
      </c>
      <c r="D68" s="220" t="s">
        <v>47</v>
      </c>
      <c r="E68" s="37">
        <v>145</v>
      </c>
      <c r="F68" s="219">
        <f>1741.7+11741.7</f>
        <v>13483.400000000001</v>
      </c>
      <c r="G68" s="213">
        <v>13480</v>
      </c>
      <c r="H68" s="213">
        <f t="shared" si="14"/>
        <v>-3.4000000000014552</v>
      </c>
      <c r="I68" s="220" t="s">
        <v>165</v>
      </c>
      <c r="J68" s="37"/>
      <c r="K68" s="215"/>
      <c r="L68" s="215">
        <v>41299</v>
      </c>
      <c r="M68" s="220" t="s">
        <v>32</v>
      </c>
      <c r="N68" s="37"/>
      <c r="O68" s="216">
        <v>29.6</v>
      </c>
      <c r="P68" s="217"/>
      <c r="Q68" s="216"/>
      <c r="R68" s="216"/>
      <c r="S68" s="222"/>
      <c r="T68" s="222"/>
      <c r="U68" s="216">
        <f>E68*5</f>
        <v>725</v>
      </c>
      <c r="W68" s="216">
        <f>((O68*F68)+Q68+R68+S68+U68)/G68</f>
        <v>29.661249258160243</v>
      </c>
      <c r="X68" s="216">
        <f>((O68*F68)+R68+S68+T68+U68)/G68</f>
        <v>29.661249258160243</v>
      </c>
      <c r="Y68" s="216">
        <f>W68*F68</f>
        <v>399934.48824747786</v>
      </c>
      <c r="Z68" s="218">
        <v>41306</v>
      </c>
    </row>
    <row r="69" spans="1:26">
      <c r="A69" s="245"/>
      <c r="B69" s="212" t="s">
        <v>70</v>
      </c>
      <c r="C69" s="37" t="s">
        <v>52</v>
      </c>
      <c r="D69" s="37" t="s">
        <v>58</v>
      </c>
      <c r="E69" s="37" t="s">
        <v>166</v>
      </c>
      <c r="F69" s="219">
        <f>39714.4*0.4536</f>
        <v>18014.451840000002</v>
      </c>
      <c r="G69" s="213">
        <v>18014.45</v>
      </c>
      <c r="H69" s="213">
        <f t="shared" si="14"/>
        <v>-1.8400000008114148E-3</v>
      </c>
      <c r="I69" s="220" t="s">
        <v>167</v>
      </c>
      <c r="J69" s="221" t="s">
        <v>30</v>
      </c>
      <c r="K69" s="215">
        <v>41299</v>
      </c>
      <c r="L69" s="215">
        <v>41300</v>
      </c>
      <c r="M69" s="220" t="s">
        <v>33</v>
      </c>
      <c r="N69" s="220"/>
      <c r="O69" s="216"/>
      <c r="P69" s="246">
        <v>1.0125</v>
      </c>
      <c r="Q69" s="216"/>
      <c r="R69" s="216">
        <v>7638.5</v>
      </c>
      <c r="S69" s="222">
        <v>12.654999999999999</v>
      </c>
      <c r="T69" s="223"/>
      <c r="V69" s="216">
        <v>0.1</v>
      </c>
      <c r="W69" s="216">
        <f>IF(O69&gt;0,O69,((P69*2.2046*S69)+(Q69+R69)/G69)+V69)</f>
        <v>28.771973879202427</v>
      </c>
      <c r="X69" s="216">
        <f>IF(O69&gt;0,O69,((P69*2.2046*S69)+(Q69+R69+T69)/G69)+V69)</f>
        <v>28.771973879202427</v>
      </c>
      <c r="Y69" s="216">
        <f t="shared" ref="Y69:Y72" si="15">W69*F69</f>
        <v>518311.33778863016</v>
      </c>
      <c r="Z69" s="218">
        <v>41299</v>
      </c>
    </row>
    <row r="70" spans="1:26">
      <c r="A70" s="245"/>
      <c r="B70" s="212" t="s">
        <v>168</v>
      </c>
      <c r="C70" s="37" t="s">
        <v>24</v>
      </c>
      <c r="D70" s="37" t="s">
        <v>25</v>
      </c>
      <c r="E70" s="37" t="s">
        <v>169</v>
      </c>
      <c r="F70" s="219">
        <f>22500*0.4536</f>
        <v>10206</v>
      </c>
      <c r="G70" s="213">
        <v>10206</v>
      </c>
      <c r="H70" s="213">
        <f t="shared" si="14"/>
        <v>0</v>
      </c>
      <c r="I70" s="220" t="s">
        <v>170</v>
      </c>
      <c r="J70" s="37"/>
      <c r="K70" s="215"/>
      <c r="L70" s="215">
        <v>41300</v>
      </c>
      <c r="M70" s="220" t="s">
        <v>33</v>
      </c>
      <c r="N70" s="220"/>
      <c r="O70" s="216"/>
      <c r="P70" s="246">
        <v>1.53</v>
      </c>
      <c r="Q70" s="216"/>
      <c r="R70" s="216"/>
      <c r="S70" s="222">
        <v>12.798</v>
      </c>
      <c r="T70" s="222"/>
      <c r="U70" s="216"/>
      <c r="V70" s="216"/>
      <c r="W70" s="216">
        <f t="shared" ref="W70:W71" si="16">((P70*2.2046*S70)+(Q70*S70)/G70)</f>
        <v>43.168140323999999</v>
      </c>
      <c r="X70" s="216">
        <f t="shared" ref="X70:X71" si="17">IF(O70&gt;0,O70,((P70*2.2046*S70)+(Q70+R70+U70)/G70)+V70)</f>
        <v>43.168140323999999</v>
      </c>
      <c r="Y70" s="216">
        <f t="shared" si="15"/>
        <v>440574.040146744</v>
      </c>
      <c r="Z70" s="218">
        <v>41302</v>
      </c>
    </row>
    <row r="71" spans="1:26">
      <c r="A71" s="245"/>
      <c r="B71" s="212" t="s">
        <v>171</v>
      </c>
      <c r="C71" s="37" t="s">
        <v>24</v>
      </c>
      <c r="D71" s="37" t="s">
        <v>25</v>
      </c>
      <c r="E71" s="37" t="s">
        <v>172</v>
      </c>
      <c r="F71" s="219">
        <f>19500*0.4536</f>
        <v>8845.2000000000007</v>
      </c>
      <c r="G71" s="213">
        <v>8845.2000000000007</v>
      </c>
      <c r="H71" s="213">
        <f t="shared" si="14"/>
        <v>0</v>
      </c>
      <c r="I71" s="220" t="s">
        <v>142</v>
      </c>
      <c r="J71" s="37"/>
      <c r="K71" s="215"/>
      <c r="L71" s="215">
        <v>41300</v>
      </c>
      <c r="M71" s="220" t="s">
        <v>33</v>
      </c>
      <c r="N71" s="220"/>
      <c r="O71" s="216"/>
      <c r="P71" s="246">
        <v>1.26</v>
      </c>
      <c r="Q71" s="216"/>
      <c r="R71" s="216"/>
      <c r="S71" s="222">
        <v>12.798</v>
      </c>
      <c r="T71" s="222"/>
      <c r="U71" s="216"/>
      <c r="V71" s="216"/>
      <c r="W71" s="216">
        <f t="shared" si="16"/>
        <v>35.550233208000002</v>
      </c>
      <c r="X71" s="216">
        <f t="shared" si="17"/>
        <v>35.550233208000002</v>
      </c>
      <c r="Y71" s="216">
        <f t="shared" si="15"/>
        <v>314448.92277140165</v>
      </c>
      <c r="Z71" s="218">
        <v>41302</v>
      </c>
    </row>
    <row r="72" spans="1:26">
      <c r="A72" s="245"/>
      <c r="B72" s="220" t="s">
        <v>23</v>
      </c>
      <c r="C72" s="220" t="s">
        <v>29</v>
      </c>
      <c r="D72" s="220" t="s">
        <v>25</v>
      </c>
      <c r="E72" s="220" t="s">
        <v>38</v>
      </c>
      <c r="F72" s="219">
        <f>39978*0.4536</f>
        <v>18134.020799999998</v>
      </c>
      <c r="G72" s="213">
        <v>17931.14</v>
      </c>
      <c r="H72" s="213">
        <f t="shared" si="14"/>
        <v>-202.880799999999</v>
      </c>
      <c r="I72" s="220" t="s">
        <v>173</v>
      </c>
      <c r="J72" s="37"/>
      <c r="K72" s="215">
        <v>41299</v>
      </c>
      <c r="L72" s="215">
        <v>41301</v>
      </c>
      <c r="M72" s="220" t="s">
        <v>43</v>
      </c>
      <c r="N72" s="37" t="s">
        <v>174</v>
      </c>
      <c r="O72" s="216"/>
      <c r="P72" s="217">
        <v>0.89</v>
      </c>
      <c r="Q72" s="216"/>
      <c r="R72" s="216"/>
      <c r="S72" s="222">
        <v>12.798</v>
      </c>
      <c r="T72" s="222"/>
      <c r="U72" s="216"/>
      <c r="V72" s="216"/>
      <c r="W72" s="216">
        <f>((P72*2.2046*S72)+(Q72*S72)/G72)</f>
        <v>25.110879012000002</v>
      </c>
      <c r="X72" s="216">
        <f>IF(O72&gt;0,O72,((P72*2.2046*S72)+(Q72+R72+U72)/G72)+V72)</f>
        <v>25.110879012000002</v>
      </c>
      <c r="Y72" s="216">
        <f t="shared" si="15"/>
        <v>455361.20230989147</v>
      </c>
      <c r="Z72" s="218">
        <v>41302</v>
      </c>
    </row>
    <row r="73" spans="1:26">
      <c r="A73" s="245"/>
      <c r="B73" s="212" t="s">
        <v>21</v>
      </c>
      <c r="C73" s="37" t="s">
        <v>40</v>
      </c>
      <c r="D73" s="37" t="s">
        <v>39</v>
      </c>
      <c r="E73" s="37">
        <f>130+40+80</f>
        <v>250</v>
      </c>
      <c r="F73" s="219">
        <f>12610+13210</f>
        <v>25820</v>
      </c>
      <c r="G73" s="213">
        <f>10710+3080+6220</f>
        <v>20010</v>
      </c>
      <c r="H73" s="213">
        <f t="shared" si="14"/>
        <v>-5810</v>
      </c>
      <c r="I73" s="220" t="s">
        <v>175</v>
      </c>
      <c r="J73" s="37"/>
      <c r="K73" s="215"/>
      <c r="L73" s="215">
        <v>41301</v>
      </c>
      <c r="M73" s="220" t="s">
        <v>43</v>
      </c>
      <c r="N73" s="37"/>
      <c r="O73" s="216">
        <v>22.2</v>
      </c>
      <c r="P73" s="217"/>
      <c r="Q73" s="216">
        <v>15000</v>
      </c>
      <c r="R73" s="216">
        <f>52.5*E73</f>
        <v>13125</v>
      </c>
      <c r="S73" s="222">
        <f>-35*E73</f>
        <v>-8750</v>
      </c>
      <c r="T73" s="222">
        <v>2250</v>
      </c>
      <c r="U73" s="216">
        <f>E73*5</f>
        <v>1250</v>
      </c>
      <c r="V73" s="37"/>
      <c r="W73" s="216">
        <f>((O73*F73)+Q73+R73+S73+U73)/G73</f>
        <v>29.676611694152925</v>
      </c>
      <c r="X73" s="216">
        <f>((O73*F73)+Q73+R73+S73+T73+U73)/G73</f>
        <v>29.789055472263868</v>
      </c>
      <c r="Y73" s="216">
        <f>W73*F73</f>
        <v>766250.1139430285</v>
      </c>
      <c r="Z73" s="218">
        <v>41310</v>
      </c>
    </row>
    <row r="74" spans="1:26" ht="15.75" thickBot="1">
      <c r="A74" s="245"/>
      <c r="B74" s="227"/>
      <c r="C74" s="205"/>
      <c r="D74" s="205"/>
      <c r="E74" s="205"/>
      <c r="F74" s="206"/>
      <c r="G74" s="206"/>
      <c r="H74" s="206"/>
      <c r="I74" s="207"/>
      <c r="J74" s="205"/>
      <c r="K74" s="208"/>
      <c r="L74" s="208"/>
      <c r="M74" s="205"/>
      <c r="N74" s="205"/>
      <c r="O74" s="209"/>
      <c r="P74" s="210"/>
      <c r="Q74" s="209"/>
      <c r="R74" s="209"/>
      <c r="S74" s="209"/>
      <c r="T74" s="209"/>
      <c r="U74" s="209"/>
      <c r="V74" s="209"/>
      <c r="W74" s="209"/>
      <c r="X74" s="209"/>
      <c r="Y74" s="209"/>
      <c r="Z74" s="228"/>
    </row>
    <row r="75" spans="1:26">
      <c r="A75" s="247"/>
      <c r="B75" s="230" t="s">
        <v>21</v>
      </c>
      <c r="C75" s="108" t="s">
        <v>40</v>
      </c>
      <c r="D75" s="37" t="s">
        <v>54</v>
      </c>
      <c r="E75" s="37">
        <v>250</v>
      </c>
      <c r="F75" s="219">
        <f>13860+11910</f>
        <v>25770</v>
      </c>
      <c r="G75" s="213">
        <f>11100+5930+2970</f>
        <v>20000</v>
      </c>
      <c r="H75" s="231">
        <f t="shared" ref="H75:H86" si="18">G75-F75</f>
        <v>-5770</v>
      </c>
      <c r="I75" s="220" t="s">
        <v>176</v>
      </c>
      <c r="J75" s="108"/>
      <c r="K75" s="232"/>
      <c r="L75" s="232">
        <v>41302</v>
      </c>
      <c r="M75" s="108" t="s">
        <v>22</v>
      </c>
      <c r="N75" s="108"/>
      <c r="O75" s="233">
        <v>22.2</v>
      </c>
      <c r="P75" s="234"/>
      <c r="Q75" s="233">
        <v>15000</v>
      </c>
      <c r="R75" s="233">
        <f>52.5*E75</f>
        <v>13125</v>
      </c>
      <c r="S75" s="235">
        <f>-35*E75</f>
        <v>-8750</v>
      </c>
      <c r="T75" s="235">
        <v>2250</v>
      </c>
      <c r="U75" s="233">
        <f>E75*5</f>
        <v>1250</v>
      </c>
      <c r="V75" s="108"/>
      <c r="W75" s="233">
        <f>((O75*F75)+Q75+R75+S75+U75)/G75</f>
        <v>29.635950000000001</v>
      </c>
      <c r="X75" s="233">
        <f>((O75*F75)+Q75+R75+S75+T75+U75)/G75</f>
        <v>29.748449999999998</v>
      </c>
      <c r="Y75" s="233">
        <f t="shared" ref="Y75:Y84" si="19">W75*F75</f>
        <v>763718.43150000006</v>
      </c>
      <c r="Z75" s="237">
        <v>41310</v>
      </c>
    </row>
    <row r="76" spans="1:26">
      <c r="A76" s="248"/>
      <c r="B76" s="212" t="s">
        <v>36</v>
      </c>
      <c r="C76" s="37" t="s">
        <v>50</v>
      </c>
      <c r="D76" s="37" t="s">
        <v>48</v>
      </c>
      <c r="E76" s="37" t="s">
        <v>37</v>
      </c>
      <c r="F76" s="219">
        <v>18561.900000000001</v>
      </c>
      <c r="G76" s="213">
        <v>18557.82</v>
      </c>
      <c r="H76" s="213">
        <f t="shared" si="18"/>
        <v>-4.0800000000017462</v>
      </c>
      <c r="I76" s="220" t="s">
        <v>177</v>
      </c>
      <c r="J76" s="37"/>
      <c r="K76" s="215">
        <v>41299</v>
      </c>
      <c r="L76" s="215">
        <v>41302</v>
      </c>
      <c r="M76" s="220" t="s">
        <v>22</v>
      </c>
      <c r="N76" s="220" t="s">
        <v>178</v>
      </c>
      <c r="O76" s="216"/>
      <c r="P76" s="217">
        <v>1.94</v>
      </c>
      <c r="Q76" s="216"/>
      <c r="R76" s="216"/>
      <c r="S76" s="222">
        <v>12.708</v>
      </c>
      <c r="T76" s="222"/>
      <c r="U76" s="216"/>
      <c r="V76" s="216"/>
      <c r="W76" s="216">
        <f>IF(O76&gt;0,O76,((P76*S76)+(Q76+R76)/G76)+V76)</f>
        <v>24.65352</v>
      </c>
      <c r="X76" s="216">
        <f>IF(O76&gt;0,O76,((P76*S76)+(Q76+R76+T76)/G76)+V76)</f>
        <v>24.65352</v>
      </c>
      <c r="Y76" s="216">
        <f t="shared" si="19"/>
        <v>457616.17288800003</v>
      </c>
      <c r="Z76" s="218">
        <v>41302</v>
      </c>
    </row>
    <row r="77" spans="1:26">
      <c r="A77" s="248"/>
      <c r="B77" s="212" t="s">
        <v>21</v>
      </c>
      <c r="C77" s="37" t="s">
        <v>40</v>
      </c>
      <c r="D77" s="37" t="s">
        <v>179</v>
      </c>
      <c r="E77" s="37">
        <f>125+80+45</f>
        <v>250</v>
      </c>
      <c r="F77" s="219">
        <f>12765+13265</f>
        <v>26030</v>
      </c>
      <c r="G77" s="213">
        <f>10270+6450+3570</f>
        <v>20290</v>
      </c>
      <c r="H77" s="213">
        <f t="shared" si="18"/>
        <v>-5740</v>
      </c>
      <c r="I77" s="220" t="s">
        <v>180</v>
      </c>
      <c r="J77" s="37"/>
      <c r="K77" s="215"/>
      <c r="L77" s="215">
        <v>41303</v>
      </c>
      <c r="M77" s="220" t="s">
        <v>27</v>
      </c>
      <c r="N77" s="37"/>
      <c r="O77" s="216">
        <v>21.8</v>
      </c>
      <c r="P77" s="217"/>
      <c r="Q77" s="216">
        <v>15000</v>
      </c>
      <c r="R77" s="216">
        <f>52.5*E77</f>
        <v>13125</v>
      </c>
      <c r="S77" s="222">
        <f>-35*E77</f>
        <v>-8750</v>
      </c>
      <c r="T77" s="222">
        <v>2250</v>
      </c>
      <c r="U77" s="216">
        <f>E77*5</f>
        <v>1250</v>
      </c>
      <c r="V77" s="37"/>
      <c r="W77" s="216">
        <f>((O77*F77)+Q77+R77+S77+U77)/G77</f>
        <v>28.983686545096106</v>
      </c>
      <c r="X77" s="216">
        <f>((O77*F77)+Q77+R77+S77+T77+U77)/G77</f>
        <v>29.094578610152784</v>
      </c>
      <c r="Y77" s="216">
        <f t="shared" si="19"/>
        <v>754445.36076885159</v>
      </c>
      <c r="Z77" s="218">
        <v>41310</v>
      </c>
    </row>
    <row r="78" spans="1:26">
      <c r="A78" s="248"/>
      <c r="B78" s="212" t="s">
        <v>23</v>
      </c>
      <c r="C78" s="37" t="s">
        <v>29</v>
      </c>
      <c r="D78" s="37" t="s">
        <v>29</v>
      </c>
      <c r="E78" s="37" t="s">
        <v>26</v>
      </c>
      <c r="F78" s="219">
        <f>41367*0.4536</f>
        <v>18764.071199999998</v>
      </c>
      <c r="G78" s="213">
        <v>18725.37</v>
      </c>
      <c r="H78" s="213">
        <f t="shared" si="18"/>
        <v>-38.701199999999517</v>
      </c>
      <c r="I78" s="220" t="s">
        <v>181</v>
      </c>
      <c r="J78" s="221" t="s">
        <v>30</v>
      </c>
      <c r="K78" s="215">
        <v>41302</v>
      </c>
      <c r="L78" s="215">
        <v>41303</v>
      </c>
      <c r="M78" s="220" t="s">
        <v>27</v>
      </c>
      <c r="N78" s="220" t="s">
        <v>182</v>
      </c>
      <c r="O78" s="216"/>
      <c r="P78" s="217">
        <v>0.85499999999999998</v>
      </c>
      <c r="Q78" s="216">
        <v>17000</v>
      </c>
      <c r="R78" s="216">
        <v>7651.5</v>
      </c>
      <c r="S78" s="249">
        <v>12.7296</v>
      </c>
      <c r="T78" s="223">
        <f>W78*F78*0.005</f>
        <v>2384.0614768427549</v>
      </c>
      <c r="V78" s="216">
        <v>0.1</v>
      </c>
      <c r="W78" s="216">
        <f>IF(O78&gt;0,O78,((P78*2.2046*S78)+(Q78+R78)/G78)+V78)</f>
        <v>25.41091910632651</v>
      </c>
      <c r="X78" s="216">
        <f>IF(O78&gt;0,O78,((P78*2.2046*S78)+(Q78+R78+T78)/G78)+V78)</f>
        <v>25.538236295617978</v>
      </c>
      <c r="Y78" s="216">
        <f t="shared" si="19"/>
        <v>476812.29536855099</v>
      </c>
      <c r="Z78" s="218">
        <v>41304</v>
      </c>
    </row>
    <row r="79" spans="1:26">
      <c r="A79" s="248"/>
      <c r="B79" s="212" t="s">
        <v>23</v>
      </c>
      <c r="C79" s="37" t="s">
        <v>29</v>
      </c>
      <c r="D79" s="37" t="s">
        <v>29</v>
      </c>
      <c r="E79" s="37" t="s">
        <v>26</v>
      </c>
      <c r="F79" s="219">
        <f>41639*0.4536</f>
        <v>18887.450400000002</v>
      </c>
      <c r="G79" s="213">
        <v>18869.39</v>
      </c>
      <c r="H79" s="213">
        <f t="shared" si="18"/>
        <v>-18.060400000002119</v>
      </c>
      <c r="I79" s="220" t="s">
        <v>183</v>
      </c>
      <c r="J79" s="221" t="s">
        <v>30</v>
      </c>
      <c r="K79" s="215">
        <v>41302</v>
      </c>
      <c r="L79" s="215">
        <v>41303</v>
      </c>
      <c r="M79" s="220" t="s">
        <v>27</v>
      </c>
      <c r="N79" s="220" t="s">
        <v>182</v>
      </c>
      <c r="O79" s="216"/>
      <c r="P79" s="217">
        <v>0.85499999999999998</v>
      </c>
      <c r="Q79" s="216">
        <v>17000</v>
      </c>
      <c r="R79" s="216">
        <v>7651.5</v>
      </c>
      <c r="S79" s="249">
        <v>12.7296</v>
      </c>
      <c r="T79" s="223">
        <f t="shared" ref="T79:T80" si="20">W79*F79*0.005</f>
        <v>2398.7884694848485</v>
      </c>
      <c r="V79" s="216">
        <v>0.1</v>
      </c>
      <c r="W79" s="216">
        <f t="shared" ref="W79:W80" si="21">IF(O79&gt;0,O79,((P79*2.2046*S79)+(Q79+R79)/G79)+V79)</f>
        <v>25.400871146534932</v>
      </c>
      <c r="X79" s="216">
        <f t="shared" ref="X79:X80" si="22">IF(O79&gt;0,O79,((P79*2.2046*S79)+(Q79+R79+T79)/G79)+V79)</f>
        <v>25.527997061547808</v>
      </c>
      <c r="Y79" s="216">
        <f t="shared" si="19"/>
        <v>479757.69389696972</v>
      </c>
      <c r="Z79" s="218">
        <v>41304</v>
      </c>
    </row>
    <row r="80" spans="1:26">
      <c r="A80" s="248"/>
      <c r="B80" s="212" t="s">
        <v>184</v>
      </c>
      <c r="C80" s="37" t="s">
        <v>185</v>
      </c>
      <c r="D80" s="37" t="s">
        <v>185</v>
      </c>
      <c r="E80" s="37" t="s">
        <v>186</v>
      </c>
      <c r="F80" s="219">
        <f>40806.716*0.4536</f>
        <v>18509.926377600001</v>
      </c>
      <c r="G80" s="213">
        <v>18509.93</v>
      </c>
      <c r="H80" s="213">
        <f t="shared" si="18"/>
        <v>3.6223999995854683E-3</v>
      </c>
      <c r="I80" s="203">
        <v>1342065</v>
      </c>
      <c r="J80" s="221" t="s">
        <v>46</v>
      </c>
      <c r="K80" s="215">
        <v>41302</v>
      </c>
      <c r="L80" s="215">
        <v>41304</v>
      </c>
      <c r="M80" s="220" t="s">
        <v>28</v>
      </c>
      <c r="N80" s="220"/>
      <c r="O80" s="216"/>
      <c r="P80" s="217">
        <v>0.61</v>
      </c>
      <c r="Q80" s="216">
        <v>17000</v>
      </c>
      <c r="R80" s="216">
        <v>8294</v>
      </c>
      <c r="S80" s="250">
        <v>12.9</v>
      </c>
      <c r="T80" s="223">
        <f t="shared" si="20"/>
        <v>1741.2757118025565</v>
      </c>
      <c r="V80" s="216">
        <v>0.1</v>
      </c>
      <c r="W80" s="216">
        <f t="shared" si="21"/>
        <v>18.814507159896447</v>
      </c>
      <c r="X80" s="216">
        <f t="shared" si="22"/>
        <v>18.9085796772859</v>
      </c>
      <c r="Y80" s="216">
        <f t="shared" si="19"/>
        <v>348255.14236051129</v>
      </c>
      <c r="Z80" s="218">
        <v>41304</v>
      </c>
    </row>
    <row r="81" spans="1:26">
      <c r="A81" s="248"/>
      <c r="B81" s="220" t="s">
        <v>23</v>
      </c>
      <c r="C81" s="220" t="s">
        <v>29</v>
      </c>
      <c r="D81" s="220" t="s">
        <v>25</v>
      </c>
      <c r="E81" s="220" t="s">
        <v>38</v>
      </c>
      <c r="F81" s="219">
        <f>41776*0.4536</f>
        <v>18949.5936</v>
      </c>
      <c r="G81" s="213">
        <v>18913.87</v>
      </c>
      <c r="H81" s="213">
        <f>G81-F81</f>
        <v>-35.72360000000117</v>
      </c>
      <c r="I81" s="220" t="s">
        <v>187</v>
      </c>
      <c r="J81" s="37"/>
      <c r="K81" s="215"/>
      <c r="L81" s="215">
        <v>41303</v>
      </c>
      <c r="M81" s="220" t="s">
        <v>27</v>
      </c>
      <c r="N81" s="37" t="s">
        <v>188</v>
      </c>
      <c r="O81" s="216"/>
      <c r="P81" s="217">
        <v>0.91</v>
      </c>
      <c r="Q81" s="216"/>
      <c r="R81" s="216"/>
      <c r="S81" s="250">
        <v>12.9</v>
      </c>
      <c r="T81" s="222"/>
      <c r="U81" s="216"/>
      <c r="V81" s="216"/>
      <c r="W81" s="216">
        <f>((P81*2.2046*S81)+(Q81*S81)/G81)</f>
        <v>25.8797994</v>
      </c>
      <c r="X81" s="216">
        <f>IF(O81&gt;0,O81,((P81*2.2046*S81)+(Q81+R81+U81)/G81)+V81)</f>
        <v>25.8797994</v>
      </c>
      <c r="Y81" s="216">
        <f>W81*F81</f>
        <v>490411.68107952381</v>
      </c>
      <c r="Z81" s="218">
        <v>41304</v>
      </c>
    </row>
    <row r="82" spans="1:26">
      <c r="A82" s="248"/>
      <c r="B82" s="220" t="s">
        <v>21</v>
      </c>
      <c r="C82" s="220" t="s">
        <v>49</v>
      </c>
      <c r="D82" s="220" t="s">
        <v>125</v>
      </c>
      <c r="E82" s="37">
        <f>166+80</f>
        <v>246</v>
      </c>
      <c r="F82" s="219">
        <f>14790+7410</f>
        <v>22200</v>
      </c>
      <c r="G82" s="213">
        <v>22200</v>
      </c>
      <c r="H82" s="213">
        <f t="shared" si="18"/>
        <v>0</v>
      </c>
      <c r="I82" s="220" t="s">
        <v>189</v>
      </c>
      <c r="J82" s="37"/>
      <c r="K82" s="215"/>
      <c r="L82" s="215">
        <v>41304</v>
      </c>
      <c r="M82" s="220" t="s">
        <v>28</v>
      </c>
      <c r="N82" s="37"/>
      <c r="O82" s="216">
        <v>29</v>
      </c>
      <c r="P82" s="217"/>
      <c r="Q82" s="216"/>
      <c r="R82" s="216"/>
      <c r="S82" s="222"/>
      <c r="T82" s="222"/>
      <c r="U82" s="216">
        <f>E82*5</f>
        <v>1230</v>
      </c>
      <c r="W82" s="216">
        <f>((O82*F82)+Q82+R82+S82+U82)/G82</f>
        <v>29.055405405405406</v>
      </c>
      <c r="X82" s="216">
        <f>((O82*F82)+R82+S82+T82+U82)/G82</f>
        <v>29.055405405405406</v>
      </c>
      <c r="Y82" s="216">
        <f>W82*F82</f>
        <v>645030</v>
      </c>
      <c r="Z82" s="218">
        <v>41311</v>
      </c>
    </row>
    <row r="83" spans="1:26">
      <c r="A83" s="248"/>
      <c r="B83" s="212" t="s">
        <v>36</v>
      </c>
      <c r="C83" s="37" t="s">
        <v>50</v>
      </c>
      <c r="D83" s="37" t="s">
        <v>48</v>
      </c>
      <c r="E83" s="37" t="s">
        <v>60</v>
      </c>
      <c r="F83" s="219">
        <v>17941.39</v>
      </c>
      <c r="G83" s="213">
        <v>17944.61</v>
      </c>
      <c r="H83" s="213">
        <f t="shared" si="18"/>
        <v>3.2200000000011642</v>
      </c>
      <c r="I83" s="220" t="s">
        <v>190</v>
      </c>
      <c r="J83" s="37"/>
      <c r="K83" s="215">
        <v>41303</v>
      </c>
      <c r="L83" s="215">
        <v>41305</v>
      </c>
      <c r="M83" s="220" t="s">
        <v>31</v>
      </c>
      <c r="N83" s="220" t="s">
        <v>191</v>
      </c>
      <c r="O83" s="216"/>
      <c r="P83" s="217">
        <v>2.0009999999999999</v>
      </c>
      <c r="Q83" s="216"/>
      <c r="R83" s="216"/>
      <c r="S83" s="250">
        <v>12.9</v>
      </c>
      <c r="T83" s="222"/>
      <c r="U83" s="216"/>
      <c r="V83" s="216"/>
      <c r="W83" s="216">
        <f>IF(O83&gt;0,O83,((P83*S83)+(Q83+R83)/G83)+V83)</f>
        <v>25.812899999999999</v>
      </c>
      <c r="X83" s="216">
        <f>IF(O83&gt;0,O83,((P83*S83)+(Q83+R83+T83)/G83)+V83)</f>
        <v>25.812899999999999</v>
      </c>
      <c r="Y83" s="216">
        <f t="shared" si="19"/>
        <v>463119.30593099998</v>
      </c>
      <c r="Z83" s="218">
        <v>41305</v>
      </c>
    </row>
    <row r="84" spans="1:26">
      <c r="A84" s="248"/>
      <c r="B84" s="212" t="s">
        <v>21</v>
      </c>
      <c r="C84" s="37" t="s">
        <v>40</v>
      </c>
      <c r="D84" s="37" t="s">
        <v>54</v>
      </c>
      <c r="E84" s="37">
        <v>252</v>
      </c>
      <c r="F84" s="219">
        <f>12330+13590</f>
        <v>25920</v>
      </c>
      <c r="G84" s="213">
        <f>9710+7590+3060</f>
        <v>20360</v>
      </c>
      <c r="H84" s="213">
        <f t="shared" si="18"/>
        <v>-5560</v>
      </c>
      <c r="I84" s="220" t="s">
        <v>192</v>
      </c>
      <c r="J84" s="37"/>
      <c r="K84" s="215"/>
      <c r="L84" s="215"/>
      <c r="M84" s="220" t="s">
        <v>31</v>
      </c>
      <c r="N84" s="37"/>
      <c r="O84" s="216">
        <v>21.8</v>
      </c>
      <c r="P84" s="217"/>
      <c r="Q84" s="216">
        <v>15000</v>
      </c>
      <c r="R84" s="216">
        <f>52.5*E84</f>
        <v>13230</v>
      </c>
      <c r="S84" s="222">
        <f>-35*E84</f>
        <v>-8820</v>
      </c>
      <c r="T84" s="222">
        <v>2250</v>
      </c>
      <c r="U84" s="216">
        <f>E84*5</f>
        <v>1260</v>
      </c>
      <c r="V84" s="37"/>
      <c r="W84" s="216">
        <f>((O84*F84)+Q84+R84+S84+U84)/G84</f>
        <v>28.768467583497053</v>
      </c>
      <c r="X84" s="216">
        <f>((O84*F84)+Q84+R84+S84+T84+U84)/G84</f>
        <v>28.878978388998036</v>
      </c>
      <c r="Y84" s="216">
        <f t="shared" si="19"/>
        <v>745678.67976424366</v>
      </c>
      <c r="Z84" s="218"/>
    </row>
    <row r="85" spans="1:26">
      <c r="A85" s="248"/>
      <c r="B85" s="212" t="s">
        <v>23</v>
      </c>
      <c r="C85" s="37" t="s">
        <v>29</v>
      </c>
      <c r="D85" s="37" t="s">
        <v>29</v>
      </c>
      <c r="E85" s="37" t="s">
        <v>26</v>
      </c>
      <c r="F85" s="219">
        <f>37671*0.4536</f>
        <v>17087.565600000002</v>
      </c>
      <c r="G85" s="213">
        <v>17074.59</v>
      </c>
      <c r="H85" s="213">
        <f t="shared" si="18"/>
        <v>-12.975600000001577</v>
      </c>
      <c r="I85" s="220" t="s">
        <v>193</v>
      </c>
      <c r="J85" s="221" t="s">
        <v>30</v>
      </c>
      <c r="K85" s="215">
        <v>41304</v>
      </c>
      <c r="L85" s="215">
        <v>41305</v>
      </c>
      <c r="M85" s="220" t="s">
        <v>31</v>
      </c>
      <c r="N85" s="220" t="s">
        <v>194</v>
      </c>
      <c r="O85" s="216"/>
      <c r="P85" s="217">
        <v>0.85499999999999998</v>
      </c>
      <c r="Q85" s="216">
        <v>17000</v>
      </c>
      <c r="R85" s="216">
        <v>7658</v>
      </c>
      <c r="S85" s="222">
        <v>12.675000000000001</v>
      </c>
      <c r="T85" s="223">
        <f>W85*F85*0.005</f>
        <v>2173.1675451630385</v>
      </c>
      <c r="V85" s="216">
        <v>0.1</v>
      </c>
      <c r="W85" s="216">
        <f>IF(O85&gt;0,O85,((P85*2.2046*S85)+(Q85+R85)/G85)+V85)</f>
        <v>25.435660011898225</v>
      </c>
      <c r="X85" s="216">
        <f>IF(O85&gt;0,O85,((P85*2.2046*S85)+(Q85+R85+T85)/G85)+V85)</f>
        <v>25.562934959358927</v>
      </c>
      <c r="Y85" s="216">
        <f>W85*F85</f>
        <v>434633.50903260772</v>
      </c>
      <c r="Z85" s="218">
        <v>41305</v>
      </c>
    </row>
    <row r="86" spans="1:26">
      <c r="A86" s="248"/>
      <c r="B86" s="220" t="s">
        <v>23</v>
      </c>
      <c r="C86" s="220" t="s">
        <v>59</v>
      </c>
      <c r="D86" s="220" t="s">
        <v>25</v>
      </c>
      <c r="E86" s="220" t="s">
        <v>51</v>
      </c>
      <c r="F86" s="219">
        <f>40960*0.4536</f>
        <v>18579.455999999998</v>
      </c>
      <c r="G86" s="213">
        <v>18589.560000000001</v>
      </c>
      <c r="H86" s="213">
        <f t="shared" si="18"/>
        <v>10.104000000002998</v>
      </c>
      <c r="I86" s="220" t="s">
        <v>195</v>
      </c>
      <c r="J86" s="37"/>
      <c r="K86" s="215">
        <v>41304</v>
      </c>
      <c r="L86" s="215">
        <v>41305</v>
      </c>
      <c r="M86" s="220" t="s">
        <v>31</v>
      </c>
      <c r="N86" s="37" t="s">
        <v>191</v>
      </c>
      <c r="O86" s="216"/>
      <c r="P86" s="217">
        <v>0.91</v>
      </c>
      <c r="Q86" s="216"/>
      <c r="R86" s="216"/>
      <c r="S86" s="250">
        <v>12.9</v>
      </c>
      <c r="T86" s="222"/>
      <c r="U86" s="216"/>
      <c r="V86" s="216"/>
      <c r="W86" s="216">
        <f t="shared" ref="W86" si="23">((P86*2.2046*S86)+(Q86*S86)/G86)</f>
        <v>25.8797994</v>
      </c>
      <c r="X86" s="216">
        <f t="shared" ref="X86" si="24">IF(O86&gt;0,O86,((P86*2.2046*S86)+(Q86+R86+U86)/G86)+V86)</f>
        <v>25.8797994</v>
      </c>
      <c r="Y86" s="216">
        <f t="shared" ref="Y86" si="25">W86*F86</f>
        <v>480832.59424112632</v>
      </c>
      <c r="Z86" s="218">
        <v>41306</v>
      </c>
    </row>
    <row r="87" spans="1:26" ht="15.75" thickBot="1">
      <c r="A87" s="248"/>
      <c r="B87" s="227"/>
      <c r="C87" s="205"/>
      <c r="D87" s="205"/>
      <c r="E87" s="205"/>
      <c r="F87" s="206"/>
      <c r="G87" s="206"/>
      <c r="H87" s="206"/>
      <c r="I87" s="207"/>
      <c r="J87" s="205"/>
      <c r="K87" s="208"/>
      <c r="L87" s="208"/>
      <c r="M87" s="205"/>
      <c r="N87" s="205"/>
      <c r="O87" s="209"/>
      <c r="P87" s="210"/>
      <c r="Q87" s="209"/>
      <c r="R87" s="209"/>
      <c r="S87" s="209"/>
      <c r="T87" s="209"/>
      <c r="U87" s="209"/>
      <c r="V87" s="209"/>
      <c r="W87" s="209"/>
      <c r="X87" s="209"/>
      <c r="Y87" s="209"/>
      <c r="Z87" s="22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4"/>
  <sheetViews>
    <sheetView workbookViewId="0">
      <selection sqref="A1:XFD1048576"/>
    </sheetView>
  </sheetViews>
  <sheetFormatPr baseColWidth="10" defaultRowHeight="15"/>
  <cols>
    <col min="1" max="1" width="18.42578125" customWidth="1"/>
    <col min="2" max="2" width="30.85546875" customWidth="1"/>
    <col min="3" max="3" width="15.42578125" customWidth="1"/>
    <col min="4" max="4" width="15.140625" customWidth="1"/>
    <col min="5" max="6" width="14.140625" customWidth="1"/>
    <col min="7" max="7" width="14.7109375" customWidth="1"/>
    <col min="8" max="8" width="14.140625" customWidth="1"/>
    <col min="9" max="9" width="14.7109375" style="33" customWidth="1"/>
    <col min="10" max="10" width="20.5703125" style="33" customWidth="1"/>
    <col min="257" max="257" width="18.42578125" customWidth="1"/>
    <col min="258" max="258" width="29.5703125" customWidth="1"/>
    <col min="259" max="259" width="15.42578125" customWidth="1"/>
    <col min="260" max="264" width="14.140625" customWidth="1"/>
    <col min="265" max="265" width="14.7109375" customWidth="1"/>
    <col min="266" max="266" width="18.5703125" customWidth="1"/>
    <col min="513" max="513" width="18.42578125" customWidth="1"/>
    <col min="514" max="514" width="29.5703125" customWidth="1"/>
    <col min="515" max="515" width="15.42578125" customWidth="1"/>
    <col min="516" max="520" width="14.140625" customWidth="1"/>
    <col min="521" max="521" width="14.7109375" customWidth="1"/>
    <col min="522" max="522" width="18.5703125" customWidth="1"/>
    <col min="769" max="769" width="18.42578125" customWidth="1"/>
    <col min="770" max="770" width="29.5703125" customWidth="1"/>
    <col min="771" max="771" width="15.42578125" customWidth="1"/>
    <col min="772" max="776" width="14.140625" customWidth="1"/>
    <col min="777" max="777" width="14.7109375" customWidth="1"/>
    <col min="778" max="778" width="18.5703125" customWidth="1"/>
    <col min="1025" max="1025" width="18.42578125" customWidth="1"/>
    <col min="1026" max="1026" width="29.5703125" customWidth="1"/>
    <col min="1027" max="1027" width="15.42578125" customWidth="1"/>
    <col min="1028" max="1032" width="14.140625" customWidth="1"/>
    <col min="1033" max="1033" width="14.7109375" customWidth="1"/>
    <col min="1034" max="1034" width="18.5703125" customWidth="1"/>
    <col min="1281" max="1281" width="18.42578125" customWidth="1"/>
    <col min="1282" max="1282" width="29.5703125" customWidth="1"/>
    <col min="1283" max="1283" width="15.42578125" customWidth="1"/>
    <col min="1284" max="1288" width="14.140625" customWidth="1"/>
    <col min="1289" max="1289" width="14.7109375" customWidth="1"/>
    <col min="1290" max="1290" width="18.5703125" customWidth="1"/>
    <col min="1537" max="1537" width="18.42578125" customWidth="1"/>
    <col min="1538" max="1538" width="29.5703125" customWidth="1"/>
    <col min="1539" max="1539" width="15.42578125" customWidth="1"/>
    <col min="1540" max="1544" width="14.140625" customWidth="1"/>
    <col min="1545" max="1545" width="14.7109375" customWidth="1"/>
    <col min="1546" max="1546" width="18.5703125" customWidth="1"/>
    <col min="1793" max="1793" width="18.42578125" customWidth="1"/>
    <col min="1794" max="1794" width="29.5703125" customWidth="1"/>
    <col min="1795" max="1795" width="15.42578125" customWidth="1"/>
    <col min="1796" max="1800" width="14.140625" customWidth="1"/>
    <col min="1801" max="1801" width="14.7109375" customWidth="1"/>
    <col min="1802" max="1802" width="18.5703125" customWidth="1"/>
    <col min="2049" max="2049" width="18.42578125" customWidth="1"/>
    <col min="2050" max="2050" width="29.5703125" customWidth="1"/>
    <col min="2051" max="2051" width="15.42578125" customWidth="1"/>
    <col min="2052" max="2056" width="14.140625" customWidth="1"/>
    <col min="2057" max="2057" width="14.7109375" customWidth="1"/>
    <col min="2058" max="2058" width="18.5703125" customWidth="1"/>
    <col min="2305" max="2305" width="18.42578125" customWidth="1"/>
    <col min="2306" max="2306" width="29.5703125" customWidth="1"/>
    <col min="2307" max="2307" width="15.42578125" customWidth="1"/>
    <col min="2308" max="2312" width="14.140625" customWidth="1"/>
    <col min="2313" max="2313" width="14.7109375" customWidth="1"/>
    <col min="2314" max="2314" width="18.5703125" customWidth="1"/>
    <col min="2561" max="2561" width="18.42578125" customWidth="1"/>
    <col min="2562" max="2562" width="29.5703125" customWidth="1"/>
    <col min="2563" max="2563" width="15.42578125" customWidth="1"/>
    <col min="2564" max="2568" width="14.140625" customWidth="1"/>
    <col min="2569" max="2569" width="14.7109375" customWidth="1"/>
    <col min="2570" max="2570" width="18.5703125" customWidth="1"/>
    <col min="2817" max="2817" width="18.42578125" customWidth="1"/>
    <col min="2818" max="2818" width="29.5703125" customWidth="1"/>
    <col min="2819" max="2819" width="15.42578125" customWidth="1"/>
    <col min="2820" max="2824" width="14.140625" customWidth="1"/>
    <col min="2825" max="2825" width="14.7109375" customWidth="1"/>
    <col min="2826" max="2826" width="18.5703125" customWidth="1"/>
    <col min="3073" max="3073" width="18.42578125" customWidth="1"/>
    <col min="3074" max="3074" width="29.5703125" customWidth="1"/>
    <col min="3075" max="3075" width="15.42578125" customWidth="1"/>
    <col min="3076" max="3080" width="14.140625" customWidth="1"/>
    <col min="3081" max="3081" width="14.7109375" customWidth="1"/>
    <col min="3082" max="3082" width="18.5703125" customWidth="1"/>
    <col min="3329" max="3329" width="18.42578125" customWidth="1"/>
    <col min="3330" max="3330" width="29.5703125" customWidth="1"/>
    <col min="3331" max="3331" width="15.42578125" customWidth="1"/>
    <col min="3332" max="3336" width="14.140625" customWidth="1"/>
    <col min="3337" max="3337" width="14.7109375" customWidth="1"/>
    <col min="3338" max="3338" width="18.5703125" customWidth="1"/>
    <col min="3585" max="3585" width="18.42578125" customWidth="1"/>
    <col min="3586" max="3586" width="29.5703125" customWidth="1"/>
    <col min="3587" max="3587" width="15.42578125" customWidth="1"/>
    <col min="3588" max="3592" width="14.140625" customWidth="1"/>
    <col min="3593" max="3593" width="14.7109375" customWidth="1"/>
    <col min="3594" max="3594" width="18.5703125" customWidth="1"/>
    <col min="3841" max="3841" width="18.42578125" customWidth="1"/>
    <col min="3842" max="3842" width="29.5703125" customWidth="1"/>
    <col min="3843" max="3843" width="15.42578125" customWidth="1"/>
    <col min="3844" max="3848" width="14.140625" customWidth="1"/>
    <col min="3849" max="3849" width="14.7109375" customWidth="1"/>
    <col min="3850" max="3850" width="18.5703125" customWidth="1"/>
    <col min="4097" max="4097" width="18.42578125" customWidth="1"/>
    <col min="4098" max="4098" width="29.5703125" customWidth="1"/>
    <col min="4099" max="4099" width="15.42578125" customWidth="1"/>
    <col min="4100" max="4104" width="14.140625" customWidth="1"/>
    <col min="4105" max="4105" width="14.7109375" customWidth="1"/>
    <col min="4106" max="4106" width="18.5703125" customWidth="1"/>
    <col min="4353" max="4353" width="18.42578125" customWidth="1"/>
    <col min="4354" max="4354" width="29.5703125" customWidth="1"/>
    <col min="4355" max="4355" width="15.42578125" customWidth="1"/>
    <col min="4356" max="4360" width="14.140625" customWidth="1"/>
    <col min="4361" max="4361" width="14.7109375" customWidth="1"/>
    <col min="4362" max="4362" width="18.5703125" customWidth="1"/>
    <col min="4609" max="4609" width="18.42578125" customWidth="1"/>
    <col min="4610" max="4610" width="29.5703125" customWidth="1"/>
    <col min="4611" max="4611" width="15.42578125" customWidth="1"/>
    <col min="4612" max="4616" width="14.140625" customWidth="1"/>
    <col min="4617" max="4617" width="14.7109375" customWidth="1"/>
    <col min="4618" max="4618" width="18.5703125" customWidth="1"/>
    <col min="4865" max="4865" width="18.42578125" customWidth="1"/>
    <col min="4866" max="4866" width="29.5703125" customWidth="1"/>
    <col min="4867" max="4867" width="15.42578125" customWidth="1"/>
    <col min="4868" max="4872" width="14.140625" customWidth="1"/>
    <col min="4873" max="4873" width="14.7109375" customWidth="1"/>
    <col min="4874" max="4874" width="18.5703125" customWidth="1"/>
    <col min="5121" max="5121" width="18.42578125" customWidth="1"/>
    <col min="5122" max="5122" width="29.5703125" customWidth="1"/>
    <col min="5123" max="5123" width="15.42578125" customWidth="1"/>
    <col min="5124" max="5128" width="14.140625" customWidth="1"/>
    <col min="5129" max="5129" width="14.7109375" customWidth="1"/>
    <col min="5130" max="5130" width="18.5703125" customWidth="1"/>
    <col min="5377" max="5377" width="18.42578125" customWidth="1"/>
    <col min="5378" max="5378" width="29.5703125" customWidth="1"/>
    <col min="5379" max="5379" width="15.42578125" customWidth="1"/>
    <col min="5380" max="5384" width="14.140625" customWidth="1"/>
    <col min="5385" max="5385" width="14.7109375" customWidth="1"/>
    <col min="5386" max="5386" width="18.5703125" customWidth="1"/>
    <col min="5633" max="5633" width="18.42578125" customWidth="1"/>
    <col min="5634" max="5634" width="29.5703125" customWidth="1"/>
    <col min="5635" max="5635" width="15.42578125" customWidth="1"/>
    <col min="5636" max="5640" width="14.140625" customWidth="1"/>
    <col min="5641" max="5641" width="14.7109375" customWidth="1"/>
    <col min="5642" max="5642" width="18.5703125" customWidth="1"/>
    <col min="5889" max="5889" width="18.42578125" customWidth="1"/>
    <col min="5890" max="5890" width="29.5703125" customWidth="1"/>
    <col min="5891" max="5891" width="15.42578125" customWidth="1"/>
    <col min="5892" max="5896" width="14.140625" customWidth="1"/>
    <col min="5897" max="5897" width="14.7109375" customWidth="1"/>
    <col min="5898" max="5898" width="18.5703125" customWidth="1"/>
    <col min="6145" max="6145" width="18.42578125" customWidth="1"/>
    <col min="6146" max="6146" width="29.5703125" customWidth="1"/>
    <col min="6147" max="6147" width="15.42578125" customWidth="1"/>
    <col min="6148" max="6152" width="14.140625" customWidth="1"/>
    <col min="6153" max="6153" width="14.7109375" customWidth="1"/>
    <col min="6154" max="6154" width="18.5703125" customWidth="1"/>
    <col min="6401" max="6401" width="18.42578125" customWidth="1"/>
    <col min="6402" max="6402" width="29.5703125" customWidth="1"/>
    <col min="6403" max="6403" width="15.42578125" customWidth="1"/>
    <col min="6404" max="6408" width="14.140625" customWidth="1"/>
    <col min="6409" max="6409" width="14.7109375" customWidth="1"/>
    <col min="6410" max="6410" width="18.5703125" customWidth="1"/>
    <col min="6657" max="6657" width="18.42578125" customWidth="1"/>
    <col min="6658" max="6658" width="29.5703125" customWidth="1"/>
    <col min="6659" max="6659" width="15.42578125" customWidth="1"/>
    <col min="6660" max="6664" width="14.140625" customWidth="1"/>
    <col min="6665" max="6665" width="14.7109375" customWidth="1"/>
    <col min="6666" max="6666" width="18.5703125" customWidth="1"/>
    <col min="6913" max="6913" width="18.42578125" customWidth="1"/>
    <col min="6914" max="6914" width="29.5703125" customWidth="1"/>
    <col min="6915" max="6915" width="15.42578125" customWidth="1"/>
    <col min="6916" max="6920" width="14.140625" customWidth="1"/>
    <col min="6921" max="6921" width="14.7109375" customWidth="1"/>
    <col min="6922" max="6922" width="18.5703125" customWidth="1"/>
    <col min="7169" max="7169" width="18.42578125" customWidth="1"/>
    <col min="7170" max="7170" width="29.5703125" customWidth="1"/>
    <col min="7171" max="7171" width="15.42578125" customWidth="1"/>
    <col min="7172" max="7176" width="14.140625" customWidth="1"/>
    <col min="7177" max="7177" width="14.7109375" customWidth="1"/>
    <col min="7178" max="7178" width="18.5703125" customWidth="1"/>
    <col min="7425" max="7425" width="18.42578125" customWidth="1"/>
    <col min="7426" max="7426" width="29.5703125" customWidth="1"/>
    <col min="7427" max="7427" width="15.42578125" customWidth="1"/>
    <col min="7428" max="7432" width="14.140625" customWidth="1"/>
    <col min="7433" max="7433" width="14.7109375" customWidth="1"/>
    <col min="7434" max="7434" width="18.5703125" customWidth="1"/>
    <col min="7681" max="7681" width="18.42578125" customWidth="1"/>
    <col min="7682" max="7682" width="29.5703125" customWidth="1"/>
    <col min="7683" max="7683" width="15.42578125" customWidth="1"/>
    <col min="7684" max="7688" width="14.140625" customWidth="1"/>
    <col min="7689" max="7689" width="14.7109375" customWidth="1"/>
    <col min="7690" max="7690" width="18.5703125" customWidth="1"/>
    <col min="7937" max="7937" width="18.42578125" customWidth="1"/>
    <col min="7938" max="7938" width="29.5703125" customWidth="1"/>
    <col min="7939" max="7939" width="15.42578125" customWidth="1"/>
    <col min="7940" max="7944" width="14.140625" customWidth="1"/>
    <col min="7945" max="7945" width="14.7109375" customWidth="1"/>
    <col min="7946" max="7946" width="18.5703125" customWidth="1"/>
    <col min="8193" max="8193" width="18.42578125" customWidth="1"/>
    <col min="8194" max="8194" width="29.5703125" customWidth="1"/>
    <col min="8195" max="8195" width="15.42578125" customWidth="1"/>
    <col min="8196" max="8200" width="14.140625" customWidth="1"/>
    <col min="8201" max="8201" width="14.7109375" customWidth="1"/>
    <col min="8202" max="8202" width="18.5703125" customWidth="1"/>
    <col min="8449" max="8449" width="18.42578125" customWidth="1"/>
    <col min="8450" max="8450" width="29.5703125" customWidth="1"/>
    <col min="8451" max="8451" width="15.42578125" customWidth="1"/>
    <col min="8452" max="8456" width="14.140625" customWidth="1"/>
    <col min="8457" max="8457" width="14.7109375" customWidth="1"/>
    <col min="8458" max="8458" width="18.5703125" customWidth="1"/>
    <col min="8705" max="8705" width="18.42578125" customWidth="1"/>
    <col min="8706" max="8706" width="29.5703125" customWidth="1"/>
    <col min="8707" max="8707" width="15.42578125" customWidth="1"/>
    <col min="8708" max="8712" width="14.140625" customWidth="1"/>
    <col min="8713" max="8713" width="14.7109375" customWidth="1"/>
    <col min="8714" max="8714" width="18.5703125" customWidth="1"/>
    <col min="8961" max="8961" width="18.42578125" customWidth="1"/>
    <col min="8962" max="8962" width="29.5703125" customWidth="1"/>
    <col min="8963" max="8963" width="15.42578125" customWidth="1"/>
    <col min="8964" max="8968" width="14.140625" customWidth="1"/>
    <col min="8969" max="8969" width="14.7109375" customWidth="1"/>
    <col min="8970" max="8970" width="18.5703125" customWidth="1"/>
    <col min="9217" max="9217" width="18.42578125" customWidth="1"/>
    <col min="9218" max="9218" width="29.5703125" customWidth="1"/>
    <col min="9219" max="9219" width="15.42578125" customWidth="1"/>
    <col min="9220" max="9224" width="14.140625" customWidth="1"/>
    <col min="9225" max="9225" width="14.7109375" customWidth="1"/>
    <col min="9226" max="9226" width="18.5703125" customWidth="1"/>
    <col min="9473" max="9473" width="18.42578125" customWidth="1"/>
    <col min="9474" max="9474" width="29.5703125" customWidth="1"/>
    <col min="9475" max="9475" width="15.42578125" customWidth="1"/>
    <col min="9476" max="9480" width="14.140625" customWidth="1"/>
    <col min="9481" max="9481" width="14.7109375" customWidth="1"/>
    <col min="9482" max="9482" width="18.5703125" customWidth="1"/>
    <col min="9729" max="9729" width="18.42578125" customWidth="1"/>
    <col min="9730" max="9730" width="29.5703125" customWidth="1"/>
    <col min="9731" max="9731" width="15.42578125" customWidth="1"/>
    <col min="9732" max="9736" width="14.140625" customWidth="1"/>
    <col min="9737" max="9737" width="14.7109375" customWidth="1"/>
    <col min="9738" max="9738" width="18.5703125" customWidth="1"/>
    <col min="9985" max="9985" width="18.42578125" customWidth="1"/>
    <col min="9986" max="9986" width="29.5703125" customWidth="1"/>
    <col min="9987" max="9987" width="15.42578125" customWidth="1"/>
    <col min="9988" max="9992" width="14.140625" customWidth="1"/>
    <col min="9993" max="9993" width="14.7109375" customWidth="1"/>
    <col min="9994" max="9994" width="18.5703125" customWidth="1"/>
    <col min="10241" max="10241" width="18.42578125" customWidth="1"/>
    <col min="10242" max="10242" width="29.5703125" customWidth="1"/>
    <col min="10243" max="10243" width="15.42578125" customWidth="1"/>
    <col min="10244" max="10248" width="14.140625" customWidth="1"/>
    <col min="10249" max="10249" width="14.7109375" customWidth="1"/>
    <col min="10250" max="10250" width="18.5703125" customWidth="1"/>
    <col min="10497" max="10497" width="18.42578125" customWidth="1"/>
    <col min="10498" max="10498" width="29.5703125" customWidth="1"/>
    <col min="10499" max="10499" width="15.42578125" customWidth="1"/>
    <col min="10500" max="10504" width="14.140625" customWidth="1"/>
    <col min="10505" max="10505" width="14.7109375" customWidth="1"/>
    <col min="10506" max="10506" width="18.5703125" customWidth="1"/>
    <col min="10753" max="10753" width="18.42578125" customWidth="1"/>
    <col min="10754" max="10754" width="29.5703125" customWidth="1"/>
    <col min="10755" max="10755" width="15.42578125" customWidth="1"/>
    <col min="10756" max="10760" width="14.140625" customWidth="1"/>
    <col min="10761" max="10761" width="14.7109375" customWidth="1"/>
    <col min="10762" max="10762" width="18.5703125" customWidth="1"/>
    <col min="11009" max="11009" width="18.42578125" customWidth="1"/>
    <col min="11010" max="11010" width="29.5703125" customWidth="1"/>
    <col min="11011" max="11011" width="15.42578125" customWidth="1"/>
    <col min="11012" max="11016" width="14.140625" customWidth="1"/>
    <col min="11017" max="11017" width="14.7109375" customWidth="1"/>
    <col min="11018" max="11018" width="18.5703125" customWidth="1"/>
    <col min="11265" max="11265" width="18.42578125" customWidth="1"/>
    <col min="11266" max="11266" width="29.5703125" customWidth="1"/>
    <col min="11267" max="11267" width="15.42578125" customWidth="1"/>
    <col min="11268" max="11272" width="14.140625" customWidth="1"/>
    <col min="11273" max="11273" width="14.7109375" customWidth="1"/>
    <col min="11274" max="11274" width="18.5703125" customWidth="1"/>
    <col min="11521" max="11521" width="18.42578125" customWidth="1"/>
    <col min="11522" max="11522" width="29.5703125" customWidth="1"/>
    <col min="11523" max="11523" width="15.42578125" customWidth="1"/>
    <col min="11524" max="11528" width="14.140625" customWidth="1"/>
    <col min="11529" max="11529" width="14.7109375" customWidth="1"/>
    <col min="11530" max="11530" width="18.5703125" customWidth="1"/>
    <col min="11777" max="11777" width="18.42578125" customWidth="1"/>
    <col min="11778" max="11778" width="29.5703125" customWidth="1"/>
    <col min="11779" max="11779" width="15.42578125" customWidth="1"/>
    <col min="11780" max="11784" width="14.140625" customWidth="1"/>
    <col min="11785" max="11785" width="14.7109375" customWidth="1"/>
    <col min="11786" max="11786" width="18.5703125" customWidth="1"/>
    <col min="12033" max="12033" width="18.42578125" customWidth="1"/>
    <col min="12034" max="12034" width="29.5703125" customWidth="1"/>
    <col min="12035" max="12035" width="15.42578125" customWidth="1"/>
    <col min="12036" max="12040" width="14.140625" customWidth="1"/>
    <col min="12041" max="12041" width="14.7109375" customWidth="1"/>
    <col min="12042" max="12042" width="18.5703125" customWidth="1"/>
    <col min="12289" max="12289" width="18.42578125" customWidth="1"/>
    <col min="12290" max="12290" width="29.5703125" customWidth="1"/>
    <col min="12291" max="12291" width="15.42578125" customWidth="1"/>
    <col min="12292" max="12296" width="14.140625" customWidth="1"/>
    <col min="12297" max="12297" width="14.7109375" customWidth="1"/>
    <col min="12298" max="12298" width="18.5703125" customWidth="1"/>
    <col min="12545" max="12545" width="18.42578125" customWidth="1"/>
    <col min="12546" max="12546" width="29.5703125" customWidth="1"/>
    <col min="12547" max="12547" width="15.42578125" customWidth="1"/>
    <col min="12548" max="12552" width="14.140625" customWidth="1"/>
    <col min="12553" max="12553" width="14.7109375" customWidth="1"/>
    <col min="12554" max="12554" width="18.5703125" customWidth="1"/>
    <col min="12801" max="12801" width="18.42578125" customWidth="1"/>
    <col min="12802" max="12802" width="29.5703125" customWidth="1"/>
    <col min="12803" max="12803" width="15.42578125" customWidth="1"/>
    <col min="12804" max="12808" width="14.140625" customWidth="1"/>
    <col min="12809" max="12809" width="14.7109375" customWidth="1"/>
    <col min="12810" max="12810" width="18.5703125" customWidth="1"/>
    <col min="13057" max="13057" width="18.42578125" customWidth="1"/>
    <col min="13058" max="13058" width="29.5703125" customWidth="1"/>
    <col min="13059" max="13059" width="15.42578125" customWidth="1"/>
    <col min="13060" max="13064" width="14.140625" customWidth="1"/>
    <col min="13065" max="13065" width="14.7109375" customWidth="1"/>
    <col min="13066" max="13066" width="18.5703125" customWidth="1"/>
    <col min="13313" max="13313" width="18.42578125" customWidth="1"/>
    <col min="13314" max="13314" width="29.5703125" customWidth="1"/>
    <col min="13315" max="13315" width="15.42578125" customWidth="1"/>
    <col min="13316" max="13320" width="14.140625" customWidth="1"/>
    <col min="13321" max="13321" width="14.7109375" customWidth="1"/>
    <col min="13322" max="13322" width="18.5703125" customWidth="1"/>
    <col min="13569" max="13569" width="18.42578125" customWidth="1"/>
    <col min="13570" max="13570" width="29.5703125" customWidth="1"/>
    <col min="13571" max="13571" width="15.42578125" customWidth="1"/>
    <col min="13572" max="13576" width="14.140625" customWidth="1"/>
    <col min="13577" max="13577" width="14.7109375" customWidth="1"/>
    <col min="13578" max="13578" width="18.5703125" customWidth="1"/>
    <col min="13825" max="13825" width="18.42578125" customWidth="1"/>
    <col min="13826" max="13826" width="29.5703125" customWidth="1"/>
    <col min="13827" max="13827" width="15.42578125" customWidth="1"/>
    <col min="13828" max="13832" width="14.140625" customWidth="1"/>
    <col min="13833" max="13833" width="14.7109375" customWidth="1"/>
    <col min="13834" max="13834" width="18.5703125" customWidth="1"/>
    <col min="14081" max="14081" width="18.42578125" customWidth="1"/>
    <col min="14082" max="14082" width="29.5703125" customWidth="1"/>
    <col min="14083" max="14083" width="15.42578125" customWidth="1"/>
    <col min="14084" max="14088" width="14.140625" customWidth="1"/>
    <col min="14089" max="14089" width="14.7109375" customWidth="1"/>
    <col min="14090" max="14090" width="18.5703125" customWidth="1"/>
    <col min="14337" max="14337" width="18.42578125" customWidth="1"/>
    <col min="14338" max="14338" width="29.5703125" customWidth="1"/>
    <col min="14339" max="14339" width="15.42578125" customWidth="1"/>
    <col min="14340" max="14344" width="14.140625" customWidth="1"/>
    <col min="14345" max="14345" width="14.7109375" customWidth="1"/>
    <col min="14346" max="14346" width="18.5703125" customWidth="1"/>
    <col min="14593" max="14593" width="18.42578125" customWidth="1"/>
    <col min="14594" max="14594" width="29.5703125" customWidth="1"/>
    <col min="14595" max="14595" width="15.42578125" customWidth="1"/>
    <col min="14596" max="14600" width="14.140625" customWidth="1"/>
    <col min="14601" max="14601" width="14.7109375" customWidth="1"/>
    <col min="14602" max="14602" width="18.5703125" customWidth="1"/>
    <col min="14849" max="14849" width="18.42578125" customWidth="1"/>
    <col min="14850" max="14850" width="29.5703125" customWidth="1"/>
    <col min="14851" max="14851" width="15.42578125" customWidth="1"/>
    <col min="14852" max="14856" width="14.140625" customWidth="1"/>
    <col min="14857" max="14857" width="14.7109375" customWidth="1"/>
    <col min="14858" max="14858" width="18.5703125" customWidth="1"/>
    <col min="15105" max="15105" width="18.42578125" customWidth="1"/>
    <col min="15106" max="15106" width="29.5703125" customWidth="1"/>
    <col min="15107" max="15107" width="15.42578125" customWidth="1"/>
    <col min="15108" max="15112" width="14.140625" customWidth="1"/>
    <col min="15113" max="15113" width="14.7109375" customWidth="1"/>
    <col min="15114" max="15114" width="18.5703125" customWidth="1"/>
    <col min="15361" max="15361" width="18.42578125" customWidth="1"/>
    <col min="15362" max="15362" width="29.5703125" customWidth="1"/>
    <col min="15363" max="15363" width="15.42578125" customWidth="1"/>
    <col min="15364" max="15368" width="14.140625" customWidth="1"/>
    <col min="15369" max="15369" width="14.7109375" customWidth="1"/>
    <col min="15370" max="15370" width="18.5703125" customWidth="1"/>
    <col min="15617" max="15617" width="18.42578125" customWidth="1"/>
    <col min="15618" max="15618" width="29.5703125" customWidth="1"/>
    <col min="15619" max="15619" width="15.42578125" customWidth="1"/>
    <col min="15620" max="15624" width="14.140625" customWidth="1"/>
    <col min="15625" max="15625" width="14.7109375" customWidth="1"/>
    <col min="15626" max="15626" width="18.5703125" customWidth="1"/>
    <col min="15873" max="15873" width="18.42578125" customWidth="1"/>
    <col min="15874" max="15874" width="29.5703125" customWidth="1"/>
    <col min="15875" max="15875" width="15.42578125" customWidth="1"/>
    <col min="15876" max="15880" width="14.140625" customWidth="1"/>
    <col min="15881" max="15881" width="14.7109375" customWidth="1"/>
    <col min="15882" max="15882" width="18.5703125" customWidth="1"/>
    <col min="16129" max="16129" width="18.42578125" customWidth="1"/>
    <col min="16130" max="16130" width="29.5703125" customWidth="1"/>
    <col min="16131" max="16131" width="15.42578125" customWidth="1"/>
    <col min="16132" max="16136" width="14.140625" customWidth="1"/>
    <col min="16137" max="16137" width="14.7109375" customWidth="1"/>
    <col min="16138" max="16138" width="18.5703125" customWidth="1"/>
  </cols>
  <sheetData>
    <row r="1" spans="1:13">
      <c r="A1" s="16"/>
      <c r="B1" s="16"/>
      <c r="C1" s="125"/>
      <c r="D1" s="16"/>
      <c r="E1" s="16"/>
      <c r="F1" s="16"/>
      <c r="G1" s="16"/>
      <c r="H1" s="16"/>
      <c r="I1" s="126"/>
      <c r="J1" s="126"/>
    </row>
    <row r="2" spans="1:13" ht="20.25">
      <c r="A2" s="16"/>
      <c r="B2" s="127"/>
      <c r="C2" s="16"/>
      <c r="D2" s="16"/>
      <c r="E2" s="16"/>
      <c r="F2" s="16"/>
      <c r="G2" s="16"/>
      <c r="H2" s="16"/>
      <c r="I2" s="126"/>
      <c r="J2" s="126"/>
      <c r="L2" s="128"/>
    </row>
    <row r="3" spans="1:13">
      <c r="A3" s="129"/>
      <c r="B3" s="16"/>
      <c r="C3" s="125"/>
      <c r="D3" s="16"/>
      <c r="E3" s="16"/>
      <c r="F3" s="16"/>
      <c r="G3" s="16"/>
      <c r="H3" s="16"/>
      <c r="I3" s="126"/>
      <c r="J3" s="126"/>
    </row>
    <row r="4" spans="1:13">
      <c r="A4" s="129"/>
      <c r="B4" s="16"/>
      <c r="C4" s="125"/>
      <c r="D4" s="16"/>
      <c r="E4" s="16"/>
      <c r="F4" s="16"/>
      <c r="G4" s="16"/>
      <c r="H4" s="16"/>
      <c r="I4" s="126"/>
      <c r="J4" s="126"/>
    </row>
    <row r="5" spans="1:13" ht="18">
      <c r="A5" s="16"/>
      <c r="B5" s="130"/>
      <c r="C5" s="16"/>
      <c r="D5" s="16"/>
      <c r="E5" s="16"/>
      <c r="F5" s="16"/>
      <c r="G5" s="16"/>
      <c r="H5" s="16"/>
      <c r="I5" s="126"/>
      <c r="J5" s="126"/>
    </row>
    <row r="6" spans="1:13">
      <c r="A6" s="16"/>
      <c r="B6" s="16"/>
      <c r="C6" s="16"/>
      <c r="D6" s="16"/>
      <c r="E6" s="16"/>
      <c r="F6" s="16"/>
      <c r="G6" s="16"/>
      <c r="H6" s="16"/>
      <c r="I6" s="126"/>
      <c r="J6" s="126"/>
    </row>
    <row r="7" spans="1:13" ht="18">
      <c r="A7" s="16"/>
      <c r="B7" s="32"/>
      <c r="C7" s="130"/>
      <c r="D7" s="131"/>
      <c r="E7" s="131"/>
      <c r="F7" s="131"/>
      <c r="G7" s="131"/>
      <c r="H7" s="131"/>
      <c r="I7" s="132"/>
      <c r="J7" s="126"/>
    </row>
    <row r="8" spans="1:13" ht="15.75">
      <c r="A8" s="16"/>
      <c r="B8" s="32"/>
      <c r="C8" s="133"/>
      <c r="D8" s="134"/>
      <c r="E8" s="134"/>
      <c r="F8" s="134"/>
      <c r="G8" s="134"/>
      <c r="H8" s="134"/>
      <c r="I8" s="132"/>
      <c r="J8" s="126"/>
    </row>
    <row r="9" spans="1:13" ht="17.25" customHeight="1">
      <c r="A9" s="135"/>
      <c r="B9" s="136"/>
      <c r="C9" s="137"/>
      <c r="D9" s="138"/>
      <c r="E9" s="137"/>
      <c r="F9" s="138"/>
      <c r="G9" s="137"/>
      <c r="H9" s="138"/>
      <c r="I9" s="138"/>
      <c r="J9" s="138"/>
    </row>
    <row r="10" spans="1:13" ht="18" hidden="1">
      <c r="A10" s="139"/>
      <c r="B10" s="140"/>
      <c r="C10" s="141"/>
      <c r="D10" s="141"/>
      <c r="E10" s="141"/>
      <c r="F10" s="141"/>
      <c r="G10" s="141"/>
      <c r="H10" s="141"/>
      <c r="I10" s="142"/>
      <c r="J10" s="142"/>
      <c r="M10" s="143"/>
    </row>
    <row r="11" spans="1:13" ht="18.75" hidden="1" customHeight="1">
      <c r="A11" s="139"/>
      <c r="B11" s="140"/>
      <c r="C11" s="144"/>
      <c r="D11" s="145"/>
      <c r="E11" s="145"/>
      <c r="F11" s="145"/>
      <c r="G11" s="145"/>
      <c r="H11" s="145"/>
      <c r="I11" s="142"/>
      <c r="J11" s="142"/>
    </row>
    <row r="12" spans="1:13" ht="18.75" hidden="1" customHeight="1">
      <c r="A12" s="146"/>
      <c r="B12" s="140"/>
      <c r="C12" s="144"/>
      <c r="D12" s="147"/>
      <c r="E12" s="147"/>
      <c r="F12" s="147"/>
      <c r="G12" s="147"/>
      <c r="H12" s="147"/>
      <c r="I12" s="142"/>
      <c r="J12" s="142"/>
    </row>
    <row r="13" spans="1:13" ht="21" hidden="1" customHeight="1">
      <c r="A13" s="146"/>
      <c r="B13" s="140"/>
      <c r="C13" s="144"/>
      <c r="D13" s="147"/>
      <c r="E13" s="147"/>
      <c r="F13" s="147"/>
      <c r="G13" s="147"/>
      <c r="H13" s="147"/>
      <c r="I13" s="142"/>
      <c r="J13" s="142"/>
    </row>
    <row r="14" spans="1:13" ht="21.75" hidden="1" customHeight="1">
      <c r="A14" s="146"/>
      <c r="B14" s="140"/>
      <c r="C14" s="144"/>
      <c r="D14" s="147"/>
      <c r="E14" s="147"/>
      <c r="F14" s="147"/>
      <c r="G14" s="147"/>
      <c r="H14" s="147"/>
      <c r="I14" s="142"/>
      <c r="J14" s="142"/>
    </row>
    <row r="15" spans="1:13" ht="20.25" hidden="1" customHeight="1">
      <c r="A15" s="146"/>
      <c r="B15" s="140"/>
      <c r="C15" s="144"/>
      <c r="D15" s="147"/>
      <c r="E15" s="147"/>
      <c r="F15" s="147"/>
      <c r="G15" s="147"/>
      <c r="H15" s="147"/>
      <c r="I15" s="142"/>
      <c r="J15" s="142"/>
    </row>
    <row r="16" spans="1:13" ht="18" customHeight="1">
      <c r="A16" s="148"/>
      <c r="B16" s="149"/>
      <c r="C16" s="150"/>
      <c r="D16" s="151"/>
      <c r="E16" s="150"/>
      <c r="F16" s="151"/>
      <c r="G16" s="152"/>
      <c r="H16" s="151"/>
      <c r="I16" s="142"/>
      <c r="J16" s="142"/>
    </row>
    <row r="17" spans="1:13" ht="18.75" hidden="1" customHeight="1">
      <c r="A17" s="148"/>
      <c r="B17" s="149"/>
      <c r="C17" s="150"/>
      <c r="D17" s="151"/>
      <c r="E17" s="150"/>
      <c r="F17" s="151"/>
      <c r="G17" s="152"/>
      <c r="H17" s="151"/>
      <c r="I17" s="142"/>
      <c r="J17" s="142"/>
      <c r="K17" s="128"/>
      <c r="L17" s="128"/>
      <c r="M17" s="128"/>
    </row>
    <row r="18" spans="1:13" ht="18.75" customHeight="1">
      <c r="A18" s="148"/>
      <c r="B18" s="149"/>
      <c r="C18" s="150"/>
      <c r="D18" s="151"/>
      <c r="E18" s="150"/>
      <c r="F18" s="151"/>
      <c r="G18" s="152"/>
      <c r="H18" s="151"/>
      <c r="I18" s="153"/>
      <c r="J18" s="142"/>
      <c r="K18" s="128"/>
    </row>
    <row r="19" spans="1:13" ht="18.75" customHeight="1">
      <c r="A19" s="148"/>
      <c r="B19" s="149"/>
      <c r="C19" s="150"/>
      <c r="D19" s="151"/>
      <c r="E19" s="150"/>
      <c r="F19" s="151"/>
      <c r="G19" s="152"/>
      <c r="H19" s="151"/>
      <c r="I19" s="142"/>
      <c r="J19" s="142"/>
    </row>
    <row r="20" spans="1:13" ht="18.75" hidden="1" customHeight="1">
      <c r="A20" s="148"/>
      <c r="B20" s="149"/>
      <c r="C20" s="150"/>
      <c r="D20" s="154"/>
      <c r="E20" s="150"/>
      <c r="F20" s="154"/>
      <c r="G20" s="152"/>
      <c r="H20" s="151"/>
      <c r="I20" s="142"/>
      <c r="J20" s="142"/>
    </row>
    <row r="21" spans="1:13" ht="17.25" customHeight="1">
      <c r="A21" s="148"/>
      <c r="B21" s="149"/>
      <c r="C21" s="150"/>
      <c r="D21" s="151"/>
      <c r="E21" s="150"/>
      <c r="F21" s="151"/>
      <c r="G21" s="152"/>
      <c r="H21" s="151"/>
      <c r="I21" s="142"/>
      <c r="J21" s="142"/>
    </row>
    <row r="22" spans="1:13" ht="18.75" customHeight="1">
      <c r="A22" s="148"/>
      <c r="B22" s="149"/>
      <c r="C22" s="150"/>
      <c r="D22" s="151"/>
      <c r="E22" s="150"/>
      <c r="F22" s="151"/>
      <c r="G22" s="152"/>
      <c r="H22" s="151"/>
      <c r="I22" s="142"/>
      <c r="J22" s="142"/>
    </row>
    <row r="23" spans="1:13" ht="18" customHeight="1">
      <c r="A23" s="148"/>
      <c r="B23" s="149"/>
      <c r="C23" s="150"/>
      <c r="D23" s="151"/>
      <c r="E23" s="150"/>
      <c r="F23" s="151"/>
      <c r="G23" s="152"/>
      <c r="H23" s="151"/>
      <c r="I23" s="142"/>
      <c r="J23" s="142"/>
    </row>
    <row r="24" spans="1:13" ht="18.75" customHeight="1">
      <c r="A24" s="148"/>
      <c r="B24" s="149"/>
      <c r="C24" s="150"/>
      <c r="D24" s="151"/>
      <c r="E24" s="150"/>
      <c r="F24" s="151"/>
      <c r="G24" s="152"/>
      <c r="H24" s="151"/>
      <c r="I24" s="142"/>
      <c r="J24" s="142"/>
    </row>
    <row r="25" spans="1:13" ht="18.75" hidden="1" customHeight="1">
      <c r="A25" s="148"/>
      <c r="B25" s="149"/>
      <c r="C25" s="150"/>
      <c r="D25" s="151"/>
      <c r="E25" s="150"/>
      <c r="F25" s="151"/>
      <c r="G25" s="152"/>
      <c r="H25" s="151"/>
      <c r="I25" s="142"/>
      <c r="J25" s="142"/>
      <c r="K25" s="128"/>
    </row>
    <row r="26" spans="1:13" ht="18.75" customHeight="1">
      <c r="A26" s="148"/>
      <c r="B26" s="149"/>
      <c r="C26" s="155"/>
      <c r="D26" s="156"/>
      <c r="E26" s="150"/>
      <c r="F26" s="157"/>
      <c r="G26" s="152"/>
      <c r="H26" s="151"/>
      <c r="I26" s="158"/>
      <c r="J26" s="142"/>
    </row>
    <row r="27" spans="1:13" ht="18.75" customHeight="1">
      <c r="A27" s="148"/>
      <c r="B27" s="149"/>
      <c r="C27" s="155"/>
      <c r="D27" s="156"/>
      <c r="E27" s="150"/>
      <c r="F27" s="157"/>
      <c r="G27" s="152"/>
      <c r="H27" s="151"/>
      <c r="I27" s="158"/>
      <c r="J27" s="142"/>
    </row>
    <row r="28" spans="1:13" ht="18.75" hidden="1" customHeight="1">
      <c r="A28" s="148"/>
      <c r="B28" s="149"/>
      <c r="C28" s="155"/>
      <c r="D28" s="156"/>
      <c r="E28" s="150"/>
      <c r="F28" s="157"/>
      <c r="G28" s="152"/>
      <c r="H28" s="151"/>
      <c r="I28" s="158"/>
      <c r="J28" s="142"/>
    </row>
    <row r="29" spans="1:13" ht="18.75" customHeight="1">
      <c r="A29" s="148"/>
      <c r="B29" s="149"/>
      <c r="C29" s="155"/>
      <c r="D29" s="156"/>
      <c r="E29" s="150"/>
      <c r="F29" s="157"/>
      <c r="G29" s="152"/>
      <c r="H29" s="151"/>
      <c r="I29" s="158"/>
      <c r="J29" s="142"/>
    </row>
    <row r="30" spans="1:13" ht="18.75" customHeight="1">
      <c r="A30" s="148"/>
      <c r="B30" s="149"/>
      <c r="C30" s="155"/>
      <c r="D30" s="156"/>
      <c r="E30" s="150"/>
      <c r="F30" s="157"/>
      <c r="G30" s="152"/>
      <c r="H30" s="151"/>
      <c r="I30" s="158"/>
      <c r="J30" s="142"/>
    </row>
    <row r="31" spans="1:13" ht="18" customHeight="1">
      <c r="A31" s="159"/>
      <c r="B31" s="130"/>
      <c r="C31" s="130"/>
      <c r="D31" s="130"/>
      <c r="E31" s="130"/>
      <c r="F31" s="130"/>
      <c r="G31" s="130"/>
      <c r="H31" s="130"/>
      <c r="I31" s="160"/>
      <c r="J31" s="160"/>
    </row>
    <row r="32" spans="1:13" ht="18">
      <c r="A32" s="130"/>
      <c r="B32" s="161"/>
      <c r="C32" s="141"/>
      <c r="D32" s="162"/>
      <c r="E32" s="141"/>
      <c r="F32" s="162"/>
      <c r="G32" s="141"/>
      <c r="H32" s="163"/>
      <c r="I32" s="164"/>
      <c r="J32" s="142"/>
    </row>
    <row r="33" spans="1:10">
      <c r="A33" s="32"/>
      <c r="B33" s="32"/>
      <c r="C33" s="16"/>
      <c r="D33" s="16"/>
      <c r="E33" s="16"/>
      <c r="F33" s="16"/>
      <c r="G33" s="16"/>
      <c r="H33" s="16"/>
      <c r="I33" s="132"/>
      <c r="J33" s="132"/>
    </row>
    <row r="34" spans="1:10">
      <c r="A34" s="32"/>
      <c r="B34" s="32"/>
      <c r="C34" s="16"/>
      <c r="D34" s="16"/>
      <c r="E34" s="16"/>
      <c r="F34" s="16"/>
      <c r="G34" s="16"/>
      <c r="H34" s="16"/>
      <c r="I34" s="132"/>
      <c r="J34" s="132"/>
    </row>
    <row r="35" spans="1:10">
      <c r="A35" s="32"/>
      <c r="B35" s="32"/>
      <c r="C35" s="16"/>
      <c r="D35" s="16"/>
      <c r="E35" s="16"/>
      <c r="F35" s="16"/>
      <c r="G35" s="16"/>
      <c r="H35" s="16"/>
      <c r="I35" s="132"/>
      <c r="J35" s="132"/>
    </row>
    <row r="36" spans="1:10">
      <c r="I36" s="165"/>
      <c r="J36" s="165"/>
    </row>
    <row r="37" spans="1:10">
      <c r="I37" s="165"/>
      <c r="J37" s="165"/>
    </row>
    <row r="38" spans="1:10">
      <c r="I38" s="165"/>
      <c r="J38" s="165"/>
    </row>
    <row r="43" spans="1:10" ht="18">
      <c r="A43" s="27"/>
      <c r="B43" s="159"/>
    </row>
    <row r="44" spans="1:10">
      <c r="A44" s="27"/>
      <c r="B44" s="27"/>
    </row>
  </sheetData>
  <pageMargins left="0.44" right="0.38" top="0.74803149606299213" bottom="0.74803149606299213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26"/>
  <sheetViews>
    <sheetView workbookViewId="0">
      <selection sqref="A1:XFD1048576"/>
    </sheetView>
  </sheetViews>
  <sheetFormatPr baseColWidth="10" defaultRowHeight="15"/>
  <cols>
    <col min="1" max="1" width="26.140625" customWidth="1"/>
    <col min="2" max="2" width="14.85546875" customWidth="1"/>
    <col min="3" max="3" width="12.7109375" bestFit="1" customWidth="1"/>
    <col min="4" max="4" width="10.7109375" customWidth="1"/>
    <col min="5" max="5" width="12.140625" customWidth="1"/>
    <col min="6" max="6" width="14.7109375" customWidth="1"/>
    <col min="7" max="7" width="11.42578125" hidden="1" customWidth="1"/>
    <col min="257" max="257" width="26.140625" customWidth="1"/>
    <col min="258" max="258" width="14.85546875" customWidth="1"/>
    <col min="259" max="259" width="12.7109375" bestFit="1" customWidth="1"/>
    <col min="260" max="260" width="10.7109375" customWidth="1"/>
    <col min="261" max="261" width="12.140625" customWidth="1"/>
    <col min="262" max="262" width="14.7109375" customWidth="1"/>
    <col min="263" max="263" width="0" hidden="1" customWidth="1"/>
    <col min="513" max="513" width="26.140625" customWidth="1"/>
    <col min="514" max="514" width="14.85546875" customWidth="1"/>
    <col min="515" max="515" width="12.7109375" bestFit="1" customWidth="1"/>
    <col min="516" max="516" width="10.7109375" customWidth="1"/>
    <col min="517" max="517" width="12.140625" customWidth="1"/>
    <col min="518" max="518" width="14.7109375" customWidth="1"/>
    <col min="519" max="519" width="0" hidden="1" customWidth="1"/>
    <col min="769" max="769" width="26.140625" customWidth="1"/>
    <col min="770" max="770" width="14.85546875" customWidth="1"/>
    <col min="771" max="771" width="12.7109375" bestFit="1" customWidth="1"/>
    <col min="772" max="772" width="10.7109375" customWidth="1"/>
    <col min="773" max="773" width="12.140625" customWidth="1"/>
    <col min="774" max="774" width="14.7109375" customWidth="1"/>
    <col min="775" max="775" width="0" hidden="1" customWidth="1"/>
    <col min="1025" max="1025" width="26.140625" customWidth="1"/>
    <col min="1026" max="1026" width="14.85546875" customWidth="1"/>
    <col min="1027" max="1027" width="12.7109375" bestFit="1" customWidth="1"/>
    <col min="1028" max="1028" width="10.7109375" customWidth="1"/>
    <col min="1029" max="1029" width="12.140625" customWidth="1"/>
    <col min="1030" max="1030" width="14.7109375" customWidth="1"/>
    <col min="1031" max="1031" width="0" hidden="1" customWidth="1"/>
    <col min="1281" max="1281" width="26.140625" customWidth="1"/>
    <col min="1282" max="1282" width="14.85546875" customWidth="1"/>
    <col min="1283" max="1283" width="12.7109375" bestFit="1" customWidth="1"/>
    <col min="1284" max="1284" width="10.7109375" customWidth="1"/>
    <col min="1285" max="1285" width="12.140625" customWidth="1"/>
    <col min="1286" max="1286" width="14.7109375" customWidth="1"/>
    <col min="1287" max="1287" width="0" hidden="1" customWidth="1"/>
    <col min="1537" max="1537" width="26.140625" customWidth="1"/>
    <col min="1538" max="1538" width="14.85546875" customWidth="1"/>
    <col min="1539" max="1539" width="12.7109375" bestFit="1" customWidth="1"/>
    <col min="1540" max="1540" width="10.7109375" customWidth="1"/>
    <col min="1541" max="1541" width="12.140625" customWidth="1"/>
    <col min="1542" max="1542" width="14.7109375" customWidth="1"/>
    <col min="1543" max="1543" width="0" hidden="1" customWidth="1"/>
    <col min="1793" max="1793" width="26.140625" customWidth="1"/>
    <col min="1794" max="1794" width="14.85546875" customWidth="1"/>
    <col min="1795" max="1795" width="12.7109375" bestFit="1" customWidth="1"/>
    <col min="1796" max="1796" width="10.7109375" customWidth="1"/>
    <col min="1797" max="1797" width="12.140625" customWidth="1"/>
    <col min="1798" max="1798" width="14.7109375" customWidth="1"/>
    <col min="1799" max="1799" width="0" hidden="1" customWidth="1"/>
    <col min="2049" max="2049" width="26.140625" customWidth="1"/>
    <col min="2050" max="2050" width="14.85546875" customWidth="1"/>
    <col min="2051" max="2051" width="12.7109375" bestFit="1" customWidth="1"/>
    <col min="2052" max="2052" width="10.7109375" customWidth="1"/>
    <col min="2053" max="2053" width="12.140625" customWidth="1"/>
    <col min="2054" max="2054" width="14.7109375" customWidth="1"/>
    <col min="2055" max="2055" width="0" hidden="1" customWidth="1"/>
    <col min="2305" max="2305" width="26.140625" customWidth="1"/>
    <col min="2306" max="2306" width="14.85546875" customWidth="1"/>
    <col min="2307" max="2307" width="12.7109375" bestFit="1" customWidth="1"/>
    <col min="2308" max="2308" width="10.7109375" customWidth="1"/>
    <col min="2309" max="2309" width="12.140625" customWidth="1"/>
    <col min="2310" max="2310" width="14.7109375" customWidth="1"/>
    <col min="2311" max="2311" width="0" hidden="1" customWidth="1"/>
    <col min="2561" max="2561" width="26.140625" customWidth="1"/>
    <col min="2562" max="2562" width="14.85546875" customWidth="1"/>
    <col min="2563" max="2563" width="12.7109375" bestFit="1" customWidth="1"/>
    <col min="2564" max="2564" width="10.7109375" customWidth="1"/>
    <col min="2565" max="2565" width="12.140625" customWidth="1"/>
    <col min="2566" max="2566" width="14.7109375" customWidth="1"/>
    <col min="2567" max="2567" width="0" hidden="1" customWidth="1"/>
    <col min="2817" max="2817" width="26.140625" customWidth="1"/>
    <col min="2818" max="2818" width="14.85546875" customWidth="1"/>
    <col min="2819" max="2819" width="12.7109375" bestFit="1" customWidth="1"/>
    <col min="2820" max="2820" width="10.7109375" customWidth="1"/>
    <col min="2821" max="2821" width="12.140625" customWidth="1"/>
    <col min="2822" max="2822" width="14.7109375" customWidth="1"/>
    <col min="2823" max="2823" width="0" hidden="1" customWidth="1"/>
    <col min="3073" max="3073" width="26.140625" customWidth="1"/>
    <col min="3074" max="3074" width="14.85546875" customWidth="1"/>
    <col min="3075" max="3075" width="12.7109375" bestFit="1" customWidth="1"/>
    <col min="3076" max="3076" width="10.7109375" customWidth="1"/>
    <col min="3077" max="3077" width="12.140625" customWidth="1"/>
    <col min="3078" max="3078" width="14.7109375" customWidth="1"/>
    <col min="3079" max="3079" width="0" hidden="1" customWidth="1"/>
    <col min="3329" max="3329" width="26.140625" customWidth="1"/>
    <col min="3330" max="3330" width="14.85546875" customWidth="1"/>
    <col min="3331" max="3331" width="12.7109375" bestFit="1" customWidth="1"/>
    <col min="3332" max="3332" width="10.7109375" customWidth="1"/>
    <col min="3333" max="3333" width="12.140625" customWidth="1"/>
    <col min="3334" max="3334" width="14.7109375" customWidth="1"/>
    <col min="3335" max="3335" width="0" hidden="1" customWidth="1"/>
    <col min="3585" max="3585" width="26.140625" customWidth="1"/>
    <col min="3586" max="3586" width="14.85546875" customWidth="1"/>
    <col min="3587" max="3587" width="12.7109375" bestFit="1" customWidth="1"/>
    <col min="3588" max="3588" width="10.7109375" customWidth="1"/>
    <col min="3589" max="3589" width="12.140625" customWidth="1"/>
    <col min="3590" max="3590" width="14.7109375" customWidth="1"/>
    <col min="3591" max="3591" width="0" hidden="1" customWidth="1"/>
    <col min="3841" max="3841" width="26.140625" customWidth="1"/>
    <col min="3842" max="3842" width="14.85546875" customWidth="1"/>
    <col min="3843" max="3843" width="12.7109375" bestFit="1" customWidth="1"/>
    <col min="3844" max="3844" width="10.7109375" customWidth="1"/>
    <col min="3845" max="3845" width="12.140625" customWidth="1"/>
    <col min="3846" max="3846" width="14.7109375" customWidth="1"/>
    <col min="3847" max="3847" width="0" hidden="1" customWidth="1"/>
    <col min="4097" max="4097" width="26.140625" customWidth="1"/>
    <col min="4098" max="4098" width="14.85546875" customWidth="1"/>
    <col min="4099" max="4099" width="12.7109375" bestFit="1" customWidth="1"/>
    <col min="4100" max="4100" width="10.7109375" customWidth="1"/>
    <col min="4101" max="4101" width="12.140625" customWidth="1"/>
    <col min="4102" max="4102" width="14.7109375" customWidth="1"/>
    <col min="4103" max="4103" width="0" hidden="1" customWidth="1"/>
    <col min="4353" max="4353" width="26.140625" customWidth="1"/>
    <col min="4354" max="4354" width="14.85546875" customWidth="1"/>
    <col min="4355" max="4355" width="12.7109375" bestFit="1" customWidth="1"/>
    <col min="4356" max="4356" width="10.7109375" customWidth="1"/>
    <col min="4357" max="4357" width="12.140625" customWidth="1"/>
    <col min="4358" max="4358" width="14.7109375" customWidth="1"/>
    <col min="4359" max="4359" width="0" hidden="1" customWidth="1"/>
    <col min="4609" max="4609" width="26.140625" customWidth="1"/>
    <col min="4610" max="4610" width="14.85546875" customWidth="1"/>
    <col min="4611" max="4611" width="12.7109375" bestFit="1" customWidth="1"/>
    <col min="4612" max="4612" width="10.7109375" customWidth="1"/>
    <col min="4613" max="4613" width="12.140625" customWidth="1"/>
    <col min="4614" max="4614" width="14.7109375" customWidth="1"/>
    <col min="4615" max="4615" width="0" hidden="1" customWidth="1"/>
    <col min="4865" max="4865" width="26.140625" customWidth="1"/>
    <col min="4866" max="4866" width="14.85546875" customWidth="1"/>
    <col min="4867" max="4867" width="12.7109375" bestFit="1" customWidth="1"/>
    <col min="4868" max="4868" width="10.7109375" customWidth="1"/>
    <col min="4869" max="4869" width="12.140625" customWidth="1"/>
    <col min="4870" max="4870" width="14.7109375" customWidth="1"/>
    <col min="4871" max="4871" width="0" hidden="1" customWidth="1"/>
    <col min="5121" max="5121" width="26.140625" customWidth="1"/>
    <col min="5122" max="5122" width="14.85546875" customWidth="1"/>
    <col min="5123" max="5123" width="12.7109375" bestFit="1" customWidth="1"/>
    <col min="5124" max="5124" width="10.7109375" customWidth="1"/>
    <col min="5125" max="5125" width="12.140625" customWidth="1"/>
    <col min="5126" max="5126" width="14.7109375" customWidth="1"/>
    <col min="5127" max="5127" width="0" hidden="1" customWidth="1"/>
    <col min="5377" max="5377" width="26.140625" customWidth="1"/>
    <col min="5378" max="5378" width="14.85546875" customWidth="1"/>
    <col min="5379" max="5379" width="12.7109375" bestFit="1" customWidth="1"/>
    <col min="5380" max="5380" width="10.7109375" customWidth="1"/>
    <col min="5381" max="5381" width="12.140625" customWidth="1"/>
    <col min="5382" max="5382" width="14.7109375" customWidth="1"/>
    <col min="5383" max="5383" width="0" hidden="1" customWidth="1"/>
    <col min="5633" max="5633" width="26.140625" customWidth="1"/>
    <col min="5634" max="5634" width="14.85546875" customWidth="1"/>
    <col min="5635" max="5635" width="12.7109375" bestFit="1" customWidth="1"/>
    <col min="5636" max="5636" width="10.7109375" customWidth="1"/>
    <col min="5637" max="5637" width="12.140625" customWidth="1"/>
    <col min="5638" max="5638" width="14.7109375" customWidth="1"/>
    <col min="5639" max="5639" width="0" hidden="1" customWidth="1"/>
    <col min="5889" max="5889" width="26.140625" customWidth="1"/>
    <col min="5890" max="5890" width="14.85546875" customWidth="1"/>
    <col min="5891" max="5891" width="12.7109375" bestFit="1" customWidth="1"/>
    <col min="5892" max="5892" width="10.7109375" customWidth="1"/>
    <col min="5893" max="5893" width="12.140625" customWidth="1"/>
    <col min="5894" max="5894" width="14.7109375" customWidth="1"/>
    <col min="5895" max="5895" width="0" hidden="1" customWidth="1"/>
    <col min="6145" max="6145" width="26.140625" customWidth="1"/>
    <col min="6146" max="6146" width="14.85546875" customWidth="1"/>
    <col min="6147" max="6147" width="12.7109375" bestFit="1" customWidth="1"/>
    <col min="6148" max="6148" width="10.7109375" customWidth="1"/>
    <col min="6149" max="6149" width="12.140625" customWidth="1"/>
    <col min="6150" max="6150" width="14.7109375" customWidth="1"/>
    <col min="6151" max="6151" width="0" hidden="1" customWidth="1"/>
    <col min="6401" max="6401" width="26.140625" customWidth="1"/>
    <col min="6402" max="6402" width="14.85546875" customWidth="1"/>
    <col min="6403" max="6403" width="12.7109375" bestFit="1" customWidth="1"/>
    <col min="6404" max="6404" width="10.7109375" customWidth="1"/>
    <col min="6405" max="6405" width="12.140625" customWidth="1"/>
    <col min="6406" max="6406" width="14.7109375" customWidth="1"/>
    <col min="6407" max="6407" width="0" hidden="1" customWidth="1"/>
    <col min="6657" max="6657" width="26.140625" customWidth="1"/>
    <col min="6658" max="6658" width="14.85546875" customWidth="1"/>
    <col min="6659" max="6659" width="12.7109375" bestFit="1" customWidth="1"/>
    <col min="6660" max="6660" width="10.7109375" customWidth="1"/>
    <col min="6661" max="6661" width="12.140625" customWidth="1"/>
    <col min="6662" max="6662" width="14.7109375" customWidth="1"/>
    <col min="6663" max="6663" width="0" hidden="1" customWidth="1"/>
    <col min="6913" max="6913" width="26.140625" customWidth="1"/>
    <col min="6914" max="6914" width="14.85546875" customWidth="1"/>
    <col min="6915" max="6915" width="12.7109375" bestFit="1" customWidth="1"/>
    <col min="6916" max="6916" width="10.7109375" customWidth="1"/>
    <col min="6917" max="6917" width="12.140625" customWidth="1"/>
    <col min="6918" max="6918" width="14.7109375" customWidth="1"/>
    <col min="6919" max="6919" width="0" hidden="1" customWidth="1"/>
    <col min="7169" max="7169" width="26.140625" customWidth="1"/>
    <col min="7170" max="7170" width="14.85546875" customWidth="1"/>
    <col min="7171" max="7171" width="12.7109375" bestFit="1" customWidth="1"/>
    <col min="7172" max="7172" width="10.7109375" customWidth="1"/>
    <col min="7173" max="7173" width="12.140625" customWidth="1"/>
    <col min="7174" max="7174" width="14.7109375" customWidth="1"/>
    <col min="7175" max="7175" width="0" hidden="1" customWidth="1"/>
    <col min="7425" max="7425" width="26.140625" customWidth="1"/>
    <col min="7426" max="7426" width="14.85546875" customWidth="1"/>
    <col min="7427" max="7427" width="12.7109375" bestFit="1" customWidth="1"/>
    <col min="7428" max="7428" width="10.7109375" customWidth="1"/>
    <col min="7429" max="7429" width="12.140625" customWidth="1"/>
    <col min="7430" max="7430" width="14.7109375" customWidth="1"/>
    <col min="7431" max="7431" width="0" hidden="1" customWidth="1"/>
    <col min="7681" max="7681" width="26.140625" customWidth="1"/>
    <col min="7682" max="7682" width="14.85546875" customWidth="1"/>
    <col min="7683" max="7683" width="12.7109375" bestFit="1" customWidth="1"/>
    <col min="7684" max="7684" width="10.7109375" customWidth="1"/>
    <col min="7685" max="7685" width="12.140625" customWidth="1"/>
    <col min="7686" max="7686" width="14.7109375" customWidth="1"/>
    <col min="7687" max="7687" width="0" hidden="1" customWidth="1"/>
    <col min="7937" max="7937" width="26.140625" customWidth="1"/>
    <col min="7938" max="7938" width="14.85546875" customWidth="1"/>
    <col min="7939" max="7939" width="12.7109375" bestFit="1" customWidth="1"/>
    <col min="7940" max="7940" width="10.7109375" customWidth="1"/>
    <col min="7941" max="7941" width="12.140625" customWidth="1"/>
    <col min="7942" max="7942" width="14.7109375" customWidth="1"/>
    <col min="7943" max="7943" width="0" hidden="1" customWidth="1"/>
    <col min="8193" max="8193" width="26.140625" customWidth="1"/>
    <col min="8194" max="8194" width="14.85546875" customWidth="1"/>
    <col min="8195" max="8195" width="12.7109375" bestFit="1" customWidth="1"/>
    <col min="8196" max="8196" width="10.7109375" customWidth="1"/>
    <col min="8197" max="8197" width="12.140625" customWidth="1"/>
    <col min="8198" max="8198" width="14.7109375" customWidth="1"/>
    <col min="8199" max="8199" width="0" hidden="1" customWidth="1"/>
    <col min="8449" max="8449" width="26.140625" customWidth="1"/>
    <col min="8450" max="8450" width="14.85546875" customWidth="1"/>
    <col min="8451" max="8451" width="12.7109375" bestFit="1" customWidth="1"/>
    <col min="8452" max="8452" width="10.7109375" customWidth="1"/>
    <col min="8453" max="8453" width="12.140625" customWidth="1"/>
    <col min="8454" max="8454" width="14.7109375" customWidth="1"/>
    <col min="8455" max="8455" width="0" hidden="1" customWidth="1"/>
    <col min="8705" max="8705" width="26.140625" customWidth="1"/>
    <col min="8706" max="8706" width="14.85546875" customWidth="1"/>
    <col min="8707" max="8707" width="12.7109375" bestFit="1" customWidth="1"/>
    <col min="8708" max="8708" width="10.7109375" customWidth="1"/>
    <col min="8709" max="8709" width="12.140625" customWidth="1"/>
    <col min="8710" max="8710" width="14.7109375" customWidth="1"/>
    <col min="8711" max="8711" width="0" hidden="1" customWidth="1"/>
    <col min="8961" max="8961" width="26.140625" customWidth="1"/>
    <col min="8962" max="8962" width="14.85546875" customWidth="1"/>
    <col min="8963" max="8963" width="12.7109375" bestFit="1" customWidth="1"/>
    <col min="8964" max="8964" width="10.7109375" customWidth="1"/>
    <col min="8965" max="8965" width="12.140625" customWidth="1"/>
    <col min="8966" max="8966" width="14.7109375" customWidth="1"/>
    <col min="8967" max="8967" width="0" hidden="1" customWidth="1"/>
    <col min="9217" max="9217" width="26.140625" customWidth="1"/>
    <col min="9218" max="9218" width="14.85546875" customWidth="1"/>
    <col min="9219" max="9219" width="12.7109375" bestFit="1" customWidth="1"/>
    <col min="9220" max="9220" width="10.7109375" customWidth="1"/>
    <col min="9221" max="9221" width="12.140625" customWidth="1"/>
    <col min="9222" max="9222" width="14.7109375" customWidth="1"/>
    <col min="9223" max="9223" width="0" hidden="1" customWidth="1"/>
    <col min="9473" max="9473" width="26.140625" customWidth="1"/>
    <col min="9474" max="9474" width="14.85546875" customWidth="1"/>
    <col min="9475" max="9475" width="12.7109375" bestFit="1" customWidth="1"/>
    <col min="9476" max="9476" width="10.7109375" customWidth="1"/>
    <col min="9477" max="9477" width="12.140625" customWidth="1"/>
    <col min="9478" max="9478" width="14.7109375" customWidth="1"/>
    <col min="9479" max="9479" width="0" hidden="1" customWidth="1"/>
    <col min="9729" max="9729" width="26.140625" customWidth="1"/>
    <col min="9730" max="9730" width="14.85546875" customWidth="1"/>
    <col min="9731" max="9731" width="12.7109375" bestFit="1" customWidth="1"/>
    <col min="9732" max="9732" width="10.7109375" customWidth="1"/>
    <col min="9733" max="9733" width="12.140625" customWidth="1"/>
    <col min="9734" max="9734" width="14.7109375" customWidth="1"/>
    <col min="9735" max="9735" width="0" hidden="1" customWidth="1"/>
    <col min="9985" max="9985" width="26.140625" customWidth="1"/>
    <col min="9986" max="9986" width="14.85546875" customWidth="1"/>
    <col min="9987" max="9987" width="12.7109375" bestFit="1" customWidth="1"/>
    <col min="9988" max="9988" width="10.7109375" customWidth="1"/>
    <col min="9989" max="9989" width="12.140625" customWidth="1"/>
    <col min="9990" max="9990" width="14.7109375" customWidth="1"/>
    <col min="9991" max="9991" width="0" hidden="1" customWidth="1"/>
    <col min="10241" max="10241" width="26.140625" customWidth="1"/>
    <col min="10242" max="10242" width="14.85546875" customWidth="1"/>
    <col min="10243" max="10243" width="12.7109375" bestFit="1" customWidth="1"/>
    <col min="10244" max="10244" width="10.7109375" customWidth="1"/>
    <col min="10245" max="10245" width="12.140625" customWidth="1"/>
    <col min="10246" max="10246" width="14.7109375" customWidth="1"/>
    <col min="10247" max="10247" width="0" hidden="1" customWidth="1"/>
    <col min="10497" max="10497" width="26.140625" customWidth="1"/>
    <col min="10498" max="10498" width="14.85546875" customWidth="1"/>
    <col min="10499" max="10499" width="12.7109375" bestFit="1" customWidth="1"/>
    <col min="10500" max="10500" width="10.7109375" customWidth="1"/>
    <col min="10501" max="10501" width="12.140625" customWidth="1"/>
    <col min="10502" max="10502" width="14.7109375" customWidth="1"/>
    <col min="10503" max="10503" width="0" hidden="1" customWidth="1"/>
    <col min="10753" max="10753" width="26.140625" customWidth="1"/>
    <col min="10754" max="10754" width="14.85546875" customWidth="1"/>
    <col min="10755" max="10755" width="12.7109375" bestFit="1" customWidth="1"/>
    <col min="10756" max="10756" width="10.7109375" customWidth="1"/>
    <col min="10757" max="10757" width="12.140625" customWidth="1"/>
    <col min="10758" max="10758" width="14.7109375" customWidth="1"/>
    <col min="10759" max="10759" width="0" hidden="1" customWidth="1"/>
    <col min="11009" max="11009" width="26.140625" customWidth="1"/>
    <col min="11010" max="11010" width="14.85546875" customWidth="1"/>
    <col min="11011" max="11011" width="12.7109375" bestFit="1" customWidth="1"/>
    <col min="11012" max="11012" width="10.7109375" customWidth="1"/>
    <col min="11013" max="11013" width="12.140625" customWidth="1"/>
    <col min="11014" max="11014" width="14.7109375" customWidth="1"/>
    <col min="11015" max="11015" width="0" hidden="1" customWidth="1"/>
    <col min="11265" max="11265" width="26.140625" customWidth="1"/>
    <col min="11266" max="11266" width="14.85546875" customWidth="1"/>
    <col min="11267" max="11267" width="12.7109375" bestFit="1" customWidth="1"/>
    <col min="11268" max="11268" width="10.7109375" customWidth="1"/>
    <col min="11269" max="11269" width="12.140625" customWidth="1"/>
    <col min="11270" max="11270" width="14.7109375" customWidth="1"/>
    <col min="11271" max="11271" width="0" hidden="1" customWidth="1"/>
    <col min="11521" max="11521" width="26.140625" customWidth="1"/>
    <col min="11522" max="11522" width="14.85546875" customWidth="1"/>
    <col min="11523" max="11523" width="12.7109375" bestFit="1" customWidth="1"/>
    <col min="11524" max="11524" width="10.7109375" customWidth="1"/>
    <col min="11525" max="11525" width="12.140625" customWidth="1"/>
    <col min="11526" max="11526" width="14.7109375" customWidth="1"/>
    <col min="11527" max="11527" width="0" hidden="1" customWidth="1"/>
    <col min="11777" max="11777" width="26.140625" customWidth="1"/>
    <col min="11778" max="11778" width="14.85546875" customWidth="1"/>
    <col min="11779" max="11779" width="12.7109375" bestFit="1" customWidth="1"/>
    <col min="11780" max="11780" width="10.7109375" customWidth="1"/>
    <col min="11781" max="11781" width="12.140625" customWidth="1"/>
    <col min="11782" max="11782" width="14.7109375" customWidth="1"/>
    <col min="11783" max="11783" width="0" hidden="1" customWidth="1"/>
    <col min="12033" max="12033" width="26.140625" customWidth="1"/>
    <col min="12034" max="12034" width="14.85546875" customWidth="1"/>
    <col min="12035" max="12035" width="12.7109375" bestFit="1" customWidth="1"/>
    <col min="12036" max="12036" width="10.7109375" customWidth="1"/>
    <col min="12037" max="12037" width="12.140625" customWidth="1"/>
    <col min="12038" max="12038" width="14.7109375" customWidth="1"/>
    <col min="12039" max="12039" width="0" hidden="1" customWidth="1"/>
    <col min="12289" max="12289" width="26.140625" customWidth="1"/>
    <col min="12290" max="12290" width="14.85546875" customWidth="1"/>
    <col min="12291" max="12291" width="12.7109375" bestFit="1" customWidth="1"/>
    <col min="12292" max="12292" width="10.7109375" customWidth="1"/>
    <col min="12293" max="12293" width="12.140625" customWidth="1"/>
    <col min="12294" max="12294" width="14.7109375" customWidth="1"/>
    <col min="12295" max="12295" width="0" hidden="1" customWidth="1"/>
    <col min="12545" max="12545" width="26.140625" customWidth="1"/>
    <col min="12546" max="12546" width="14.85546875" customWidth="1"/>
    <col min="12547" max="12547" width="12.7109375" bestFit="1" customWidth="1"/>
    <col min="12548" max="12548" width="10.7109375" customWidth="1"/>
    <col min="12549" max="12549" width="12.140625" customWidth="1"/>
    <col min="12550" max="12550" width="14.7109375" customWidth="1"/>
    <col min="12551" max="12551" width="0" hidden="1" customWidth="1"/>
    <col min="12801" max="12801" width="26.140625" customWidth="1"/>
    <col min="12802" max="12802" width="14.85546875" customWidth="1"/>
    <col min="12803" max="12803" width="12.7109375" bestFit="1" customWidth="1"/>
    <col min="12804" max="12804" width="10.7109375" customWidth="1"/>
    <col min="12805" max="12805" width="12.140625" customWidth="1"/>
    <col min="12806" max="12806" width="14.7109375" customWidth="1"/>
    <col min="12807" max="12807" width="0" hidden="1" customWidth="1"/>
    <col min="13057" max="13057" width="26.140625" customWidth="1"/>
    <col min="13058" max="13058" width="14.85546875" customWidth="1"/>
    <col min="13059" max="13059" width="12.7109375" bestFit="1" customWidth="1"/>
    <col min="13060" max="13060" width="10.7109375" customWidth="1"/>
    <col min="13061" max="13061" width="12.140625" customWidth="1"/>
    <col min="13062" max="13062" width="14.7109375" customWidth="1"/>
    <col min="13063" max="13063" width="0" hidden="1" customWidth="1"/>
    <col min="13313" max="13313" width="26.140625" customWidth="1"/>
    <col min="13314" max="13314" width="14.85546875" customWidth="1"/>
    <col min="13315" max="13315" width="12.7109375" bestFit="1" customWidth="1"/>
    <col min="13316" max="13316" width="10.7109375" customWidth="1"/>
    <col min="13317" max="13317" width="12.140625" customWidth="1"/>
    <col min="13318" max="13318" width="14.7109375" customWidth="1"/>
    <col min="13319" max="13319" width="0" hidden="1" customWidth="1"/>
    <col min="13569" max="13569" width="26.140625" customWidth="1"/>
    <col min="13570" max="13570" width="14.85546875" customWidth="1"/>
    <col min="13571" max="13571" width="12.7109375" bestFit="1" customWidth="1"/>
    <col min="13572" max="13572" width="10.7109375" customWidth="1"/>
    <col min="13573" max="13573" width="12.140625" customWidth="1"/>
    <col min="13574" max="13574" width="14.7109375" customWidth="1"/>
    <col min="13575" max="13575" width="0" hidden="1" customWidth="1"/>
    <col min="13825" max="13825" width="26.140625" customWidth="1"/>
    <col min="13826" max="13826" width="14.85546875" customWidth="1"/>
    <col min="13827" max="13827" width="12.7109375" bestFit="1" customWidth="1"/>
    <col min="13828" max="13828" width="10.7109375" customWidth="1"/>
    <col min="13829" max="13829" width="12.140625" customWidth="1"/>
    <col min="13830" max="13830" width="14.7109375" customWidth="1"/>
    <col min="13831" max="13831" width="0" hidden="1" customWidth="1"/>
    <col min="14081" max="14081" width="26.140625" customWidth="1"/>
    <col min="14082" max="14082" width="14.85546875" customWidth="1"/>
    <col min="14083" max="14083" width="12.7109375" bestFit="1" customWidth="1"/>
    <col min="14084" max="14084" width="10.7109375" customWidth="1"/>
    <col min="14085" max="14085" width="12.140625" customWidth="1"/>
    <col min="14086" max="14086" width="14.7109375" customWidth="1"/>
    <col min="14087" max="14087" width="0" hidden="1" customWidth="1"/>
    <col min="14337" max="14337" width="26.140625" customWidth="1"/>
    <col min="14338" max="14338" width="14.85546875" customWidth="1"/>
    <col min="14339" max="14339" width="12.7109375" bestFit="1" customWidth="1"/>
    <col min="14340" max="14340" width="10.7109375" customWidth="1"/>
    <col min="14341" max="14341" width="12.140625" customWidth="1"/>
    <col min="14342" max="14342" width="14.7109375" customWidth="1"/>
    <col min="14343" max="14343" width="0" hidden="1" customWidth="1"/>
    <col min="14593" max="14593" width="26.140625" customWidth="1"/>
    <col min="14594" max="14594" width="14.85546875" customWidth="1"/>
    <col min="14595" max="14595" width="12.7109375" bestFit="1" customWidth="1"/>
    <col min="14596" max="14596" width="10.7109375" customWidth="1"/>
    <col min="14597" max="14597" width="12.140625" customWidth="1"/>
    <col min="14598" max="14598" width="14.7109375" customWidth="1"/>
    <col min="14599" max="14599" width="0" hidden="1" customWidth="1"/>
    <col min="14849" max="14849" width="26.140625" customWidth="1"/>
    <col min="14850" max="14850" width="14.85546875" customWidth="1"/>
    <col min="14851" max="14851" width="12.7109375" bestFit="1" customWidth="1"/>
    <col min="14852" max="14852" width="10.7109375" customWidth="1"/>
    <col min="14853" max="14853" width="12.140625" customWidth="1"/>
    <col min="14854" max="14854" width="14.7109375" customWidth="1"/>
    <col min="14855" max="14855" width="0" hidden="1" customWidth="1"/>
    <col min="15105" max="15105" width="26.140625" customWidth="1"/>
    <col min="15106" max="15106" width="14.85546875" customWidth="1"/>
    <col min="15107" max="15107" width="12.7109375" bestFit="1" customWidth="1"/>
    <col min="15108" max="15108" width="10.7109375" customWidth="1"/>
    <col min="15109" max="15109" width="12.140625" customWidth="1"/>
    <col min="15110" max="15110" width="14.7109375" customWidth="1"/>
    <col min="15111" max="15111" width="0" hidden="1" customWidth="1"/>
    <col min="15361" max="15361" width="26.140625" customWidth="1"/>
    <col min="15362" max="15362" width="14.85546875" customWidth="1"/>
    <col min="15363" max="15363" width="12.7109375" bestFit="1" customWidth="1"/>
    <col min="15364" max="15364" width="10.7109375" customWidth="1"/>
    <col min="15365" max="15365" width="12.140625" customWidth="1"/>
    <col min="15366" max="15366" width="14.7109375" customWidth="1"/>
    <col min="15367" max="15367" width="0" hidden="1" customWidth="1"/>
    <col min="15617" max="15617" width="26.140625" customWidth="1"/>
    <col min="15618" max="15618" width="14.85546875" customWidth="1"/>
    <col min="15619" max="15619" width="12.7109375" bestFit="1" customWidth="1"/>
    <col min="15620" max="15620" width="10.7109375" customWidth="1"/>
    <col min="15621" max="15621" width="12.140625" customWidth="1"/>
    <col min="15622" max="15622" width="14.7109375" customWidth="1"/>
    <col min="15623" max="15623" width="0" hidden="1" customWidth="1"/>
    <col min="15873" max="15873" width="26.140625" customWidth="1"/>
    <col min="15874" max="15874" width="14.85546875" customWidth="1"/>
    <col min="15875" max="15875" width="12.7109375" bestFit="1" customWidth="1"/>
    <col min="15876" max="15876" width="10.7109375" customWidth="1"/>
    <col min="15877" max="15877" width="12.140625" customWidth="1"/>
    <col min="15878" max="15878" width="14.7109375" customWidth="1"/>
    <col min="15879" max="15879" width="0" hidden="1" customWidth="1"/>
    <col min="16129" max="16129" width="26.140625" customWidth="1"/>
    <col min="16130" max="16130" width="14.85546875" customWidth="1"/>
    <col min="16131" max="16131" width="12.7109375" bestFit="1" customWidth="1"/>
    <col min="16132" max="16132" width="10.7109375" customWidth="1"/>
    <col min="16133" max="16133" width="12.140625" customWidth="1"/>
    <col min="16134" max="16134" width="14.7109375" customWidth="1"/>
    <col min="16135" max="16135" width="0" hidden="1" customWidth="1"/>
  </cols>
  <sheetData>
    <row r="2" spans="1:7">
      <c r="B2" s="1"/>
      <c r="C2" s="2"/>
      <c r="D2" s="1"/>
    </row>
    <row r="3" spans="1:7">
      <c r="B3" s="1"/>
      <c r="C3" s="2"/>
      <c r="D3" s="1"/>
    </row>
    <row r="4" spans="1:7">
      <c r="B4" s="1"/>
      <c r="C4" s="2"/>
      <c r="D4" s="1"/>
    </row>
    <row r="5" spans="1:7">
      <c r="B5" s="1"/>
      <c r="C5" s="2"/>
      <c r="D5" s="1"/>
    </row>
    <row r="6" spans="1:7">
      <c r="B6" s="1"/>
      <c r="C6" s="3"/>
      <c r="D6" s="4"/>
    </row>
    <row r="7" spans="1:7">
      <c r="B7" s="5"/>
      <c r="C7" s="2"/>
      <c r="D7" s="5"/>
    </row>
    <row r="9" spans="1:7">
      <c r="A9" s="6"/>
      <c r="B9" s="7"/>
      <c r="C9" s="8"/>
      <c r="D9" s="9"/>
      <c r="E9" s="9"/>
      <c r="F9" s="9"/>
      <c r="G9" s="10"/>
    </row>
    <row r="10" spans="1:7">
      <c r="A10" s="6"/>
      <c r="B10" s="7"/>
      <c r="C10" s="107"/>
      <c r="D10" s="101"/>
      <c r="E10" s="109"/>
      <c r="F10" s="14"/>
      <c r="G10" s="10"/>
    </row>
    <row r="11" spans="1:7">
      <c r="A11" s="6"/>
      <c r="B11" s="7"/>
      <c r="C11" s="11"/>
      <c r="D11" s="12"/>
      <c r="E11" s="13"/>
      <c r="F11" s="14"/>
      <c r="G11" s="15"/>
    </row>
    <row r="12" spans="1:7">
      <c r="A12" s="6"/>
      <c r="B12" s="7"/>
      <c r="C12" s="11"/>
      <c r="D12" s="12"/>
      <c r="E12" s="13"/>
      <c r="F12" s="14"/>
      <c r="G12" s="15"/>
    </row>
    <row r="13" spans="1:7">
      <c r="A13" s="6"/>
      <c r="B13" s="7"/>
      <c r="C13" s="11"/>
      <c r="D13" s="12"/>
      <c r="E13" s="13"/>
      <c r="F13" s="14"/>
      <c r="G13" s="15"/>
    </row>
    <row r="14" spans="1:7">
      <c r="A14" s="6"/>
      <c r="B14" s="7"/>
      <c r="C14" s="11"/>
      <c r="D14" s="12"/>
      <c r="E14" s="13"/>
      <c r="F14" s="14"/>
      <c r="G14" s="15"/>
    </row>
    <row r="15" spans="1:7">
      <c r="A15" s="6"/>
      <c r="B15" s="7"/>
      <c r="C15" s="11"/>
      <c r="D15" s="12"/>
      <c r="E15" s="13"/>
      <c r="F15" s="14"/>
      <c r="G15" s="15"/>
    </row>
    <row r="16" spans="1:7">
      <c r="A16" s="6"/>
      <c r="B16" s="7"/>
      <c r="C16" s="11"/>
      <c r="D16" s="12"/>
      <c r="E16" s="13"/>
      <c r="F16" s="14"/>
      <c r="G16" s="15"/>
    </row>
    <row r="17" spans="1:8">
      <c r="A17" s="6"/>
      <c r="B17" s="7"/>
      <c r="C17" s="11"/>
      <c r="D17" s="12"/>
      <c r="E17" s="13"/>
      <c r="F17" s="14"/>
      <c r="G17" s="15"/>
    </row>
    <row r="18" spans="1:8">
      <c r="A18" s="6"/>
      <c r="B18" s="7"/>
      <c r="C18" s="11"/>
      <c r="D18" s="12"/>
      <c r="E18" s="13"/>
      <c r="F18" s="14"/>
      <c r="G18" s="15"/>
    </row>
    <row r="19" spans="1:8">
      <c r="A19" s="6"/>
      <c r="B19" s="7"/>
      <c r="C19" s="11"/>
      <c r="D19" s="12"/>
      <c r="E19" s="13"/>
      <c r="F19" s="14"/>
      <c r="G19" s="15"/>
      <c r="H19" s="17"/>
    </row>
    <row r="20" spans="1:8">
      <c r="A20" s="6"/>
      <c r="B20" s="7"/>
      <c r="C20" s="11"/>
      <c r="D20" s="12"/>
      <c r="E20" s="13"/>
      <c r="F20" s="14"/>
      <c r="G20" s="15"/>
      <c r="H20" s="17"/>
    </row>
    <row r="21" spans="1:8">
      <c r="A21" s="18"/>
      <c r="B21" s="18"/>
      <c r="C21" s="19"/>
      <c r="D21" s="20"/>
      <c r="E21" s="21"/>
      <c r="F21" s="22"/>
      <c r="G21" s="15"/>
    </row>
    <row r="22" spans="1:8">
      <c r="A22" s="23"/>
      <c r="B22" s="1"/>
      <c r="C22" s="8"/>
      <c r="D22" s="24"/>
      <c r="E22" s="13"/>
      <c r="F22" s="25"/>
      <c r="G22" s="15"/>
    </row>
    <row r="23" spans="1:8" s="27" customFormat="1">
      <c r="A23" s="23"/>
      <c r="B23" s="23"/>
      <c r="C23" s="26"/>
      <c r="E23" s="28"/>
      <c r="F23" s="29"/>
      <c r="G23" s="30"/>
    </row>
    <row r="26" spans="1:8">
      <c r="D26" s="16"/>
      <c r="E26" s="16"/>
      <c r="F26" s="31"/>
    </row>
  </sheetData>
  <pageMargins left="0.43307086614173229" right="0.31496062992125984" top="0.74803149606299213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26"/>
  <sheetViews>
    <sheetView workbookViewId="0">
      <selection sqref="A1:XFD1048576"/>
    </sheetView>
  </sheetViews>
  <sheetFormatPr baseColWidth="10" defaultRowHeight="15"/>
  <cols>
    <col min="1" max="1" width="26.85546875" customWidth="1"/>
    <col min="2" max="2" width="11.85546875" customWidth="1"/>
    <col min="4" max="4" width="12.42578125" style="39" customWidth="1"/>
    <col min="5" max="5" width="17.42578125" style="39" customWidth="1"/>
    <col min="257" max="257" width="26.85546875" customWidth="1"/>
    <col min="258" max="258" width="11.85546875" customWidth="1"/>
    <col min="260" max="260" width="12.42578125" customWidth="1"/>
    <col min="261" max="261" width="17.42578125" customWidth="1"/>
    <col min="513" max="513" width="26.85546875" customWidth="1"/>
    <col min="514" max="514" width="11.85546875" customWidth="1"/>
    <col min="516" max="516" width="12.42578125" customWidth="1"/>
    <col min="517" max="517" width="17.42578125" customWidth="1"/>
    <col min="769" max="769" width="26.85546875" customWidth="1"/>
    <col min="770" max="770" width="11.85546875" customWidth="1"/>
    <col min="772" max="772" width="12.42578125" customWidth="1"/>
    <col min="773" max="773" width="17.42578125" customWidth="1"/>
    <col min="1025" max="1025" width="26.85546875" customWidth="1"/>
    <col min="1026" max="1026" width="11.85546875" customWidth="1"/>
    <col min="1028" max="1028" width="12.42578125" customWidth="1"/>
    <col min="1029" max="1029" width="17.42578125" customWidth="1"/>
    <col min="1281" max="1281" width="26.85546875" customWidth="1"/>
    <col min="1282" max="1282" width="11.85546875" customWidth="1"/>
    <col min="1284" max="1284" width="12.42578125" customWidth="1"/>
    <col min="1285" max="1285" width="17.42578125" customWidth="1"/>
    <col min="1537" max="1537" width="26.85546875" customWidth="1"/>
    <col min="1538" max="1538" width="11.85546875" customWidth="1"/>
    <col min="1540" max="1540" width="12.42578125" customWidth="1"/>
    <col min="1541" max="1541" width="17.42578125" customWidth="1"/>
    <col min="1793" max="1793" width="26.85546875" customWidth="1"/>
    <col min="1794" max="1794" width="11.85546875" customWidth="1"/>
    <col min="1796" max="1796" width="12.42578125" customWidth="1"/>
    <col min="1797" max="1797" width="17.42578125" customWidth="1"/>
    <col min="2049" max="2049" width="26.85546875" customWidth="1"/>
    <col min="2050" max="2050" width="11.85546875" customWidth="1"/>
    <col min="2052" max="2052" width="12.42578125" customWidth="1"/>
    <col min="2053" max="2053" width="17.42578125" customWidth="1"/>
    <col min="2305" max="2305" width="26.85546875" customWidth="1"/>
    <col min="2306" max="2306" width="11.85546875" customWidth="1"/>
    <col min="2308" max="2308" width="12.42578125" customWidth="1"/>
    <col min="2309" max="2309" width="17.42578125" customWidth="1"/>
    <col min="2561" max="2561" width="26.85546875" customWidth="1"/>
    <col min="2562" max="2562" width="11.85546875" customWidth="1"/>
    <col min="2564" max="2564" width="12.42578125" customWidth="1"/>
    <col min="2565" max="2565" width="17.42578125" customWidth="1"/>
    <col min="2817" max="2817" width="26.85546875" customWidth="1"/>
    <col min="2818" max="2818" width="11.85546875" customWidth="1"/>
    <col min="2820" max="2820" width="12.42578125" customWidth="1"/>
    <col min="2821" max="2821" width="17.42578125" customWidth="1"/>
    <col min="3073" max="3073" width="26.85546875" customWidth="1"/>
    <col min="3074" max="3074" width="11.85546875" customWidth="1"/>
    <col min="3076" max="3076" width="12.42578125" customWidth="1"/>
    <col min="3077" max="3077" width="17.42578125" customWidth="1"/>
    <col min="3329" max="3329" width="26.85546875" customWidth="1"/>
    <col min="3330" max="3330" width="11.85546875" customWidth="1"/>
    <col min="3332" max="3332" width="12.42578125" customWidth="1"/>
    <col min="3333" max="3333" width="17.42578125" customWidth="1"/>
    <col min="3585" max="3585" width="26.85546875" customWidth="1"/>
    <col min="3586" max="3586" width="11.85546875" customWidth="1"/>
    <col min="3588" max="3588" width="12.42578125" customWidth="1"/>
    <col min="3589" max="3589" width="17.42578125" customWidth="1"/>
    <col min="3841" max="3841" width="26.85546875" customWidth="1"/>
    <col min="3842" max="3842" width="11.85546875" customWidth="1"/>
    <col min="3844" max="3844" width="12.42578125" customWidth="1"/>
    <col min="3845" max="3845" width="17.42578125" customWidth="1"/>
    <col min="4097" max="4097" width="26.85546875" customWidth="1"/>
    <col min="4098" max="4098" width="11.85546875" customWidth="1"/>
    <col min="4100" max="4100" width="12.42578125" customWidth="1"/>
    <col min="4101" max="4101" width="17.42578125" customWidth="1"/>
    <col min="4353" max="4353" width="26.85546875" customWidth="1"/>
    <col min="4354" max="4354" width="11.85546875" customWidth="1"/>
    <col min="4356" max="4356" width="12.42578125" customWidth="1"/>
    <col min="4357" max="4357" width="17.42578125" customWidth="1"/>
    <col min="4609" max="4609" width="26.85546875" customWidth="1"/>
    <col min="4610" max="4610" width="11.85546875" customWidth="1"/>
    <col min="4612" max="4612" width="12.42578125" customWidth="1"/>
    <col min="4613" max="4613" width="17.42578125" customWidth="1"/>
    <col min="4865" max="4865" width="26.85546875" customWidth="1"/>
    <col min="4866" max="4866" width="11.85546875" customWidth="1"/>
    <col min="4868" max="4868" width="12.42578125" customWidth="1"/>
    <col min="4869" max="4869" width="17.42578125" customWidth="1"/>
    <col min="5121" max="5121" width="26.85546875" customWidth="1"/>
    <col min="5122" max="5122" width="11.85546875" customWidth="1"/>
    <col min="5124" max="5124" width="12.42578125" customWidth="1"/>
    <col min="5125" max="5125" width="17.42578125" customWidth="1"/>
    <col min="5377" max="5377" width="26.85546875" customWidth="1"/>
    <col min="5378" max="5378" width="11.85546875" customWidth="1"/>
    <col min="5380" max="5380" width="12.42578125" customWidth="1"/>
    <col min="5381" max="5381" width="17.42578125" customWidth="1"/>
    <col min="5633" max="5633" width="26.85546875" customWidth="1"/>
    <col min="5634" max="5634" width="11.85546875" customWidth="1"/>
    <col min="5636" max="5636" width="12.42578125" customWidth="1"/>
    <col min="5637" max="5637" width="17.42578125" customWidth="1"/>
    <col min="5889" max="5889" width="26.85546875" customWidth="1"/>
    <col min="5890" max="5890" width="11.85546875" customWidth="1"/>
    <col min="5892" max="5892" width="12.42578125" customWidth="1"/>
    <col min="5893" max="5893" width="17.42578125" customWidth="1"/>
    <col min="6145" max="6145" width="26.85546875" customWidth="1"/>
    <col min="6146" max="6146" width="11.85546875" customWidth="1"/>
    <col min="6148" max="6148" width="12.42578125" customWidth="1"/>
    <col min="6149" max="6149" width="17.42578125" customWidth="1"/>
    <col min="6401" max="6401" width="26.85546875" customWidth="1"/>
    <col min="6402" max="6402" width="11.85546875" customWidth="1"/>
    <col min="6404" max="6404" width="12.42578125" customWidth="1"/>
    <col min="6405" max="6405" width="17.42578125" customWidth="1"/>
    <col min="6657" max="6657" width="26.85546875" customWidth="1"/>
    <col min="6658" max="6658" width="11.85546875" customWidth="1"/>
    <col min="6660" max="6660" width="12.42578125" customWidth="1"/>
    <col min="6661" max="6661" width="17.42578125" customWidth="1"/>
    <col min="6913" max="6913" width="26.85546875" customWidth="1"/>
    <col min="6914" max="6914" width="11.85546875" customWidth="1"/>
    <col min="6916" max="6916" width="12.42578125" customWidth="1"/>
    <col min="6917" max="6917" width="17.42578125" customWidth="1"/>
    <col min="7169" max="7169" width="26.85546875" customWidth="1"/>
    <col min="7170" max="7170" width="11.85546875" customWidth="1"/>
    <col min="7172" max="7172" width="12.42578125" customWidth="1"/>
    <col min="7173" max="7173" width="17.42578125" customWidth="1"/>
    <col min="7425" max="7425" width="26.85546875" customWidth="1"/>
    <col min="7426" max="7426" width="11.85546875" customWidth="1"/>
    <col min="7428" max="7428" width="12.42578125" customWidth="1"/>
    <col min="7429" max="7429" width="17.42578125" customWidth="1"/>
    <col min="7681" max="7681" width="26.85546875" customWidth="1"/>
    <col min="7682" max="7682" width="11.85546875" customWidth="1"/>
    <col min="7684" max="7684" width="12.42578125" customWidth="1"/>
    <col min="7685" max="7685" width="17.42578125" customWidth="1"/>
    <col min="7937" max="7937" width="26.85546875" customWidth="1"/>
    <col min="7938" max="7938" width="11.85546875" customWidth="1"/>
    <col min="7940" max="7940" width="12.42578125" customWidth="1"/>
    <col min="7941" max="7941" width="17.42578125" customWidth="1"/>
    <col min="8193" max="8193" width="26.85546875" customWidth="1"/>
    <col min="8194" max="8194" width="11.85546875" customWidth="1"/>
    <col min="8196" max="8196" width="12.42578125" customWidth="1"/>
    <col min="8197" max="8197" width="17.42578125" customWidth="1"/>
    <col min="8449" max="8449" width="26.85546875" customWidth="1"/>
    <col min="8450" max="8450" width="11.85546875" customWidth="1"/>
    <col min="8452" max="8452" width="12.42578125" customWidth="1"/>
    <col min="8453" max="8453" width="17.42578125" customWidth="1"/>
    <col min="8705" max="8705" width="26.85546875" customWidth="1"/>
    <col min="8706" max="8706" width="11.85546875" customWidth="1"/>
    <col min="8708" max="8708" width="12.42578125" customWidth="1"/>
    <col min="8709" max="8709" width="17.42578125" customWidth="1"/>
    <col min="8961" max="8961" width="26.85546875" customWidth="1"/>
    <col min="8962" max="8962" width="11.85546875" customWidth="1"/>
    <col min="8964" max="8964" width="12.42578125" customWidth="1"/>
    <col min="8965" max="8965" width="17.42578125" customWidth="1"/>
    <col min="9217" max="9217" width="26.85546875" customWidth="1"/>
    <col min="9218" max="9218" width="11.85546875" customWidth="1"/>
    <col min="9220" max="9220" width="12.42578125" customWidth="1"/>
    <col min="9221" max="9221" width="17.42578125" customWidth="1"/>
    <col min="9473" max="9473" width="26.85546875" customWidth="1"/>
    <col min="9474" max="9474" width="11.85546875" customWidth="1"/>
    <col min="9476" max="9476" width="12.42578125" customWidth="1"/>
    <col min="9477" max="9477" width="17.42578125" customWidth="1"/>
    <col min="9729" max="9729" width="26.85546875" customWidth="1"/>
    <col min="9730" max="9730" width="11.85546875" customWidth="1"/>
    <col min="9732" max="9732" width="12.42578125" customWidth="1"/>
    <col min="9733" max="9733" width="17.42578125" customWidth="1"/>
    <col min="9985" max="9985" width="26.85546875" customWidth="1"/>
    <col min="9986" max="9986" width="11.85546875" customWidth="1"/>
    <col min="9988" max="9988" width="12.42578125" customWidth="1"/>
    <col min="9989" max="9989" width="17.42578125" customWidth="1"/>
    <col min="10241" max="10241" width="26.85546875" customWidth="1"/>
    <col min="10242" max="10242" width="11.85546875" customWidth="1"/>
    <col min="10244" max="10244" width="12.42578125" customWidth="1"/>
    <col min="10245" max="10245" width="17.42578125" customWidth="1"/>
    <col min="10497" max="10497" width="26.85546875" customWidth="1"/>
    <col min="10498" max="10498" width="11.85546875" customWidth="1"/>
    <col min="10500" max="10500" width="12.42578125" customWidth="1"/>
    <col min="10501" max="10501" width="17.42578125" customWidth="1"/>
    <col min="10753" max="10753" width="26.85546875" customWidth="1"/>
    <col min="10754" max="10754" width="11.85546875" customWidth="1"/>
    <col min="10756" max="10756" width="12.42578125" customWidth="1"/>
    <col min="10757" max="10757" width="17.42578125" customWidth="1"/>
    <col min="11009" max="11009" width="26.85546875" customWidth="1"/>
    <col min="11010" max="11010" width="11.85546875" customWidth="1"/>
    <col min="11012" max="11012" width="12.42578125" customWidth="1"/>
    <col min="11013" max="11013" width="17.42578125" customWidth="1"/>
    <col min="11265" max="11265" width="26.85546875" customWidth="1"/>
    <col min="11266" max="11266" width="11.85546875" customWidth="1"/>
    <col min="11268" max="11268" width="12.42578125" customWidth="1"/>
    <col min="11269" max="11269" width="17.42578125" customWidth="1"/>
    <col min="11521" max="11521" width="26.85546875" customWidth="1"/>
    <col min="11522" max="11522" width="11.85546875" customWidth="1"/>
    <col min="11524" max="11524" width="12.42578125" customWidth="1"/>
    <col min="11525" max="11525" width="17.42578125" customWidth="1"/>
    <col min="11777" max="11777" width="26.85546875" customWidth="1"/>
    <col min="11778" max="11778" width="11.85546875" customWidth="1"/>
    <col min="11780" max="11780" width="12.42578125" customWidth="1"/>
    <col min="11781" max="11781" width="17.42578125" customWidth="1"/>
    <col min="12033" max="12033" width="26.85546875" customWidth="1"/>
    <col min="12034" max="12034" width="11.85546875" customWidth="1"/>
    <col min="12036" max="12036" width="12.42578125" customWidth="1"/>
    <col min="12037" max="12037" width="17.42578125" customWidth="1"/>
    <col min="12289" max="12289" width="26.85546875" customWidth="1"/>
    <col min="12290" max="12290" width="11.85546875" customWidth="1"/>
    <col min="12292" max="12292" width="12.42578125" customWidth="1"/>
    <col min="12293" max="12293" width="17.42578125" customWidth="1"/>
    <col min="12545" max="12545" width="26.85546875" customWidth="1"/>
    <col min="12546" max="12546" width="11.85546875" customWidth="1"/>
    <col min="12548" max="12548" width="12.42578125" customWidth="1"/>
    <col min="12549" max="12549" width="17.42578125" customWidth="1"/>
    <col min="12801" max="12801" width="26.85546875" customWidth="1"/>
    <col min="12802" max="12802" width="11.85546875" customWidth="1"/>
    <col min="12804" max="12804" width="12.42578125" customWidth="1"/>
    <col min="12805" max="12805" width="17.42578125" customWidth="1"/>
    <col min="13057" max="13057" width="26.85546875" customWidth="1"/>
    <col min="13058" max="13058" width="11.85546875" customWidth="1"/>
    <col min="13060" max="13060" width="12.42578125" customWidth="1"/>
    <col min="13061" max="13061" width="17.42578125" customWidth="1"/>
    <col min="13313" max="13313" width="26.85546875" customWidth="1"/>
    <col min="13314" max="13314" width="11.85546875" customWidth="1"/>
    <col min="13316" max="13316" width="12.42578125" customWidth="1"/>
    <col min="13317" max="13317" width="17.42578125" customWidth="1"/>
    <col min="13569" max="13569" width="26.85546875" customWidth="1"/>
    <col min="13570" max="13570" width="11.85546875" customWidth="1"/>
    <col min="13572" max="13572" width="12.42578125" customWidth="1"/>
    <col min="13573" max="13573" width="17.42578125" customWidth="1"/>
    <col min="13825" max="13825" width="26.85546875" customWidth="1"/>
    <col min="13826" max="13826" width="11.85546875" customWidth="1"/>
    <col min="13828" max="13828" width="12.42578125" customWidth="1"/>
    <col min="13829" max="13829" width="17.42578125" customWidth="1"/>
    <col min="14081" max="14081" width="26.85546875" customWidth="1"/>
    <col min="14082" max="14082" width="11.85546875" customWidth="1"/>
    <col min="14084" max="14084" width="12.42578125" customWidth="1"/>
    <col min="14085" max="14085" width="17.42578125" customWidth="1"/>
    <col min="14337" max="14337" width="26.85546875" customWidth="1"/>
    <col min="14338" max="14338" width="11.85546875" customWidth="1"/>
    <col min="14340" max="14340" width="12.42578125" customWidth="1"/>
    <col min="14341" max="14341" width="17.42578125" customWidth="1"/>
    <col min="14593" max="14593" width="26.85546875" customWidth="1"/>
    <col min="14594" max="14594" width="11.85546875" customWidth="1"/>
    <col min="14596" max="14596" width="12.42578125" customWidth="1"/>
    <col min="14597" max="14597" width="17.42578125" customWidth="1"/>
    <col min="14849" max="14849" width="26.85546875" customWidth="1"/>
    <col min="14850" max="14850" width="11.85546875" customWidth="1"/>
    <col min="14852" max="14852" width="12.42578125" customWidth="1"/>
    <col min="14853" max="14853" width="17.42578125" customWidth="1"/>
    <col min="15105" max="15105" width="26.85546875" customWidth="1"/>
    <col min="15106" max="15106" width="11.85546875" customWidth="1"/>
    <col min="15108" max="15108" width="12.42578125" customWidth="1"/>
    <col min="15109" max="15109" width="17.42578125" customWidth="1"/>
    <col min="15361" max="15361" width="26.85546875" customWidth="1"/>
    <col min="15362" max="15362" width="11.85546875" customWidth="1"/>
    <col min="15364" max="15364" width="12.42578125" customWidth="1"/>
    <col min="15365" max="15365" width="17.42578125" customWidth="1"/>
    <col min="15617" max="15617" width="26.85546875" customWidth="1"/>
    <col min="15618" max="15618" width="11.85546875" customWidth="1"/>
    <col min="15620" max="15620" width="12.42578125" customWidth="1"/>
    <col min="15621" max="15621" width="17.42578125" customWidth="1"/>
    <col min="15873" max="15873" width="26.85546875" customWidth="1"/>
    <col min="15874" max="15874" width="11.85546875" customWidth="1"/>
    <col min="15876" max="15876" width="12.42578125" customWidth="1"/>
    <col min="15877" max="15877" width="17.42578125" customWidth="1"/>
    <col min="16129" max="16129" width="26.85546875" customWidth="1"/>
    <col min="16130" max="16130" width="11.85546875" customWidth="1"/>
    <col min="16132" max="16132" width="12.42578125" customWidth="1"/>
    <col min="16133" max="16133" width="17.42578125" customWidth="1"/>
  </cols>
  <sheetData>
    <row r="2" spans="1:5">
      <c r="B2" s="1"/>
    </row>
    <row r="4" spans="1:5">
      <c r="E4" s="41"/>
    </row>
    <row r="5" spans="1:5">
      <c r="B5" s="38"/>
    </row>
    <row r="6" spans="1:5">
      <c r="A6" s="1"/>
      <c r="B6" s="38"/>
      <c r="E6" s="42"/>
    </row>
    <row r="7" spans="1:5" ht="15.75" thickBot="1">
      <c r="A7" s="1"/>
      <c r="B7" s="38"/>
      <c r="E7" s="43"/>
    </row>
    <row r="8" spans="1:5" ht="15.75" thickTop="1">
      <c r="A8" s="44"/>
      <c r="B8" s="45"/>
      <c r="C8" s="46"/>
      <c r="D8" s="47"/>
      <c r="E8" s="48"/>
    </row>
    <row r="9" spans="1:5">
      <c r="A9" s="49"/>
      <c r="B9" s="50"/>
      <c r="C9" s="51"/>
      <c r="D9" s="52"/>
      <c r="E9" s="53"/>
    </row>
    <row r="10" spans="1:5">
      <c r="A10" s="54"/>
      <c r="B10" s="55"/>
      <c r="C10" s="56"/>
      <c r="D10" s="65"/>
      <c r="E10" s="102"/>
    </row>
    <row r="11" spans="1:5" hidden="1">
      <c r="A11" s="54"/>
      <c r="B11" s="55"/>
      <c r="C11" s="56"/>
      <c r="D11" s="65"/>
      <c r="E11" s="58"/>
    </row>
    <row r="12" spans="1:5" hidden="1">
      <c r="A12" s="54"/>
      <c r="B12" s="55"/>
      <c r="C12" s="56"/>
      <c r="D12" s="65"/>
      <c r="E12" s="58"/>
    </row>
    <row r="13" spans="1:5">
      <c r="A13" s="54"/>
      <c r="B13" s="55"/>
      <c r="C13" s="56"/>
      <c r="D13" s="65"/>
      <c r="E13" s="58"/>
    </row>
    <row r="14" spans="1:5" hidden="1">
      <c r="A14" s="54"/>
      <c r="B14" s="55"/>
      <c r="C14" s="56"/>
      <c r="D14" s="65"/>
      <c r="E14" s="58"/>
    </row>
    <row r="15" spans="1:5">
      <c r="A15" s="54"/>
      <c r="B15" s="55"/>
      <c r="C15" s="56"/>
      <c r="D15" s="65"/>
      <c r="E15" s="58"/>
    </row>
    <row r="16" spans="1:5">
      <c r="A16" s="54"/>
      <c r="B16" s="55"/>
      <c r="C16" s="56"/>
      <c r="D16" s="65"/>
      <c r="E16" s="58"/>
    </row>
    <row r="17" spans="1:5">
      <c r="A17" s="54"/>
      <c r="B17" s="55"/>
      <c r="C17" s="56"/>
      <c r="D17" s="65"/>
      <c r="E17" s="58"/>
    </row>
    <row r="18" spans="1:5" hidden="1">
      <c r="A18" s="54"/>
      <c r="B18" s="55"/>
      <c r="C18" s="56"/>
      <c r="D18" s="65"/>
      <c r="E18" s="58"/>
    </row>
    <row r="19" spans="1:5">
      <c r="A19" s="54"/>
      <c r="B19" s="55"/>
      <c r="C19" s="56"/>
      <c r="D19" s="65"/>
      <c r="E19" s="58"/>
    </row>
    <row r="20" spans="1:5" hidden="1">
      <c r="A20" s="54"/>
      <c r="B20" s="55"/>
      <c r="C20" s="56"/>
      <c r="D20" s="65"/>
      <c r="E20" s="58"/>
    </row>
    <row r="21" spans="1:5" hidden="1">
      <c r="A21" s="54"/>
      <c r="B21" s="103"/>
      <c r="C21" s="32"/>
      <c r="D21" s="29"/>
      <c r="E21" s="58"/>
    </row>
    <row r="22" spans="1:5">
      <c r="A22" s="54"/>
      <c r="B22" s="32"/>
      <c r="C22" s="32"/>
      <c r="D22" s="29"/>
      <c r="E22" s="58"/>
    </row>
    <row r="23" spans="1:5">
      <c r="A23" s="54"/>
      <c r="B23" s="55"/>
      <c r="C23" s="56"/>
      <c r="D23" s="57"/>
      <c r="E23" s="58"/>
    </row>
    <row r="24" spans="1:5">
      <c r="A24" s="54"/>
      <c r="B24" s="55"/>
      <c r="C24" s="56"/>
      <c r="D24" s="57"/>
      <c r="E24" s="58"/>
    </row>
    <row r="25" spans="1:5" hidden="1">
      <c r="A25" s="54"/>
      <c r="B25" s="55"/>
      <c r="C25" s="56"/>
      <c r="D25" s="57"/>
      <c r="E25" s="58"/>
    </row>
    <row r="26" spans="1:5">
      <c r="A26" s="54"/>
      <c r="B26" s="55"/>
      <c r="C26" s="56"/>
      <c r="D26" s="57"/>
      <c r="E26" s="58"/>
    </row>
    <row r="27" spans="1:5">
      <c r="A27" s="54"/>
      <c r="B27" s="55"/>
      <c r="C27" s="56"/>
      <c r="D27" s="57"/>
      <c r="E27" s="58"/>
    </row>
    <row r="28" spans="1:5" hidden="1">
      <c r="A28" s="54"/>
      <c r="B28" s="55"/>
      <c r="C28" s="56"/>
      <c r="D28" s="57"/>
      <c r="E28" s="58"/>
    </row>
    <row r="29" spans="1:5" ht="14.25" customHeight="1">
      <c r="A29" s="54"/>
      <c r="B29" s="55"/>
      <c r="C29" s="56"/>
      <c r="D29" s="57"/>
      <c r="E29" s="58"/>
    </row>
    <row r="30" spans="1:5">
      <c r="A30" s="54"/>
      <c r="B30" s="55"/>
      <c r="C30" s="56"/>
      <c r="D30" s="57"/>
      <c r="E30" s="58"/>
    </row>
    <row r="31" spans="1:5" hidden="1">
      <c r="A31" s="54"/>
      <c r="B31" s="55"/>
      <c r="C31" s="56"/>
      <c r="D31" s="57"/>
      <c r="E31" s="58"/>
    </row>
    <row r="32" spans="1:5">
      <c r="A32" s="54"/>
      <c r="B32" s="55"/>
      <c r="C32" s="56"/>
      <c r="D32" s="57"/>
      <c r="E32" s="58"/>
    </row>
    <row r="33" spans="1:5">
      <c r="A33" s="54"/>
      <c r="B33" s="103"/>
      <c r="C33" s="32"/>
      <c r="D33" s="104"/>
      <c r="E33" s="105"/>
    </row>
    <row r="34" spans="1:5">
      <c r="A34" s="54"/>
      <c r="B34" s="103"/>
      <c r="C34" s="32"/>
      <c r="D34" s="104"/>
      <c r="E34" s="105"/>
    </row>
    <row r="35" spans="1:5" hidden="1">
      <c r="A35" s="54"/>
      <c r="B35" s="103"/>
      <c r="C35" s="32"/>
      <c r="D35" s="104"/>
      <c r="E35" s="105"/>
    </row>
    <row r="36" spans="1:5" hidden="1">
      <c r="A36" s="54"/>
      <c r="B36" s="103"/>
      <c r="C36" s="32"/>
      <c r="D36" s="104"/>
      <c r="E36" s="105"/>
    </row>
    <row r="37" spans="1:5" hidden="1">
      <c r="A37" s="54"/>
      <c r="B37" s="103"/>
      <c r="C37" s="32"/>
      <c r="D37" s="104"/>
      <c r="E37" s="105"/>
    </row>
    <row r="38" spans="1:5">
      <c r="A38" s="54"/>
      <c r="B38" s="103"/>
      <c r="C38" s="32"/>
      <c r="D38" s="104"/>
      <c r="E38" s="105"/>
    </row>
    <row r="39" spans="1:5" hidden="1">
      <c r="A39" s="54"/>
      <c r="B39" s="103"/>
      <c r="C39" s="32"/>
      <c r="D39" s="104"/>
      <c r="E39" s="105"/>
    </row>
    <row r="40" spans="1:5">
      <c r="A40" s="54"/>
      <c r="B40" s="103"/>
      <c r="C40" s="32"/>
      <c r="D40" s="104"/>
      <c r="E40" s="105"/>
    </row>
    <row r="41" spans="1:5" hidden="1">
      <c r="A41" s="54"/>
      <c r="B41" s="55"/>
      <c r="C41" s="56"/>
      <c r="D41" s="57"/>
      <c r="E41" s="58"/>
    </row>
    <row r="42" spans="1:5">
      <c r="A42" s="54"/>
      <c r="B42" s="103"/>
      <c r="C42" s="32"/>
      <c r="D42" s="104"/>
      <c r="E42" s="105"/>
    </row>
    <row r="43" spans="1:5">
      <c r="A43" s="54"/>
      <c r="B43" s="103"/>
      <c r="C43" s="32"/>
      <c r="D43" s="104"/>
      <c r="E43" s="105"/>
    </row>
    <row r="44" spans="1:5" hidden="1">
      <c r="A44" s="54"/>
      <c r="B44" s="103"/>
      <c r="C44" s="32"/>
      <c r="D44" s="104"/>
      <c r="E44" s="105"/>
    </row>
    <row r="45" spans="1:5">
      <c r="A45" s="54"/>
      <c r="B45" s="103"/>
      <c r="C45" s="32"/>
      <c r="D45" s="104"/>
      <c r="E45" s="105"/>
    </row>
    <row r="46" spans="1:5" hidden="1">
      <c r="A46" s="54"/>
      <c r="B46" s="103"/>
      <c r="C46" s="32"/>
      <c r="D46" s="104"/>
      <c r="E46" s="105"/>
    </row>
    <row r="47" spans="1:5" hidden="1">
      <c r="A47" s="54"/>
      <c r="B47" s="103"/>
      <c r="C47" s="32"/>
      <c r="D47" s="104"/>
      <c r="E47" s="105"/>
    </row>
    <row r="48" spans="1:5">
      <c r="A48" s="54"/>
      <c r="B48" s="103"/>
      <c r="C48" s="32"/>
      <c r="D48" s="104"/>
      <c r="E48" s="105"/>
    </row>
    <row r="49" spans="1:5">
      <c r="A49" s="54"/>
      <c r="B49" s="103"/>
      <c r="C49" s="32"/>
      <c r="D49" s="104"/>
      <c r="E49" s="105"/>
    </row>
    <row r="50" spans="1:5">
      <c r="A50" s="54"/>
      <c r="B50" s="103"/>
      <c r="C50" s="32"/>
      <c r="D50" s="104"/>
      <c r="E50" s="105"/>
    </row>
    <row r="51" spans="1:5">
      <c r="A51" s="54"/>
      <c r="B51" s="103"/>
      <c r="C51" s="32"/>
      <c r="D51" s="104"/>
      <c r="E51" s="105"/>
    </row>
    <row r="52" spans="1:5" hidden="1">
      <c r="A52" s="54"/>
      <c r="B52" s="103"/>
      <c r="C52" s="32"/>
      <c r="D52" s="104"/>
      <c r="E52" s="105"/>
    </row>
    <row r="53" spans="1:5" hidden="1">
      <c r="A53" s="54"/>
      <c r="B53" s="103"/>
      <c r="C53" s="32"/>
      <c r="D53" s="104"/>
      <c r="E53" s="105"/>
    </row>
    <row r="54" spans="1:5">
      <c r="A54" s="67"/>
      <c r="B54" s="27"/>
      <c r="C54" s="27"/>
      <c r="D54" s="29"/>
      <c r="E54" s="58"/>
    </row>
    <row r="55" spans="1:5">
      <c r="A55" s="67"/>
      <c r="B55" s="27"/>
      <c r="C55" s="27"/>
      <c r="D55" s="69"/>
      <c r="E55" s="59"/>
    </row>
    <row r="56" spans="1:5" ht="15.75" thickBot="1">
      <c r="A56" s="70"/>
      <c r="B56" s="71"/>
      <c r="C56" s="71"/>
      <c r="D56" s="72"/>
      <c r="E56" s="73"/>
    </row>
    <row r="57" spans="1:5" ht="15.75" thickTop="1">
      <c r="A57" s="74"/>
      <c r="B57" s="46"/>
      <c r="C57" s="46"/>
      <c r="D57" s="47"/>
      <c r="E57" s="48"/>
    </row>
    <row r="58" spans="1:5">
      <c r="A58" s="49"/>
      <c r="B58" s="26"/>
      <c r="C58" s="27"/>
      <c r="D58" s="29"/>
      <c r="E58" s="58"/>
    </row>
    <row r="59" spans="1:5">
      <c r="A59" s="49"/>
      <c r="B59" s="50"/>
      <c r="C59" s="63"/>
      <c r="D59" s="52"/>
      <c r="E59" s="53"/>
    </row>
    <row r="60" spans="1:5" hidden="1">
      <c r="A60" s="67"/>
      <c r="B60" s="27"/>
      <c r="C60" s="27"/>
      <c r="D60" s="29"/>
      <c r="E60" s="58"/>
    </row>
    <row r="61" spans="1:5">
      <c r="A61" s="67"/>
      <c r="B61" s="27"/>
      <c r="C61" s="27"/>
      <c r="D61" s="29"/>
      <c r="E61" s="58"/>
    </row>
    <row r="62" spans="1:5" hidden="1">
      <c r="A62" s="67"/>
      <c r="B62" s="27"/>
      <c r="C62" s="27"/>
      <c r="D62" s="29"/>
      <c r="E62" s="58"/>
    </row>
    <row r="63" spans="1:5" hidden="1">
      <c r="A63" s="67"/>
      <c r="B63" s="27"/>
      <c r="C63" s="35"/>
      <c r="D63" s="29"/>
      <c r="E63" s="58"/>
    </row>
    <row r="64" spans="1:5" ht="13.5" hidden="1" customHeight="1">
      <c r="A64" s="54"/>
      <c r="B64" s="32"/>
      <c r="C64" s="32"/>
      <c r="D64" s="104"/>
      <c r="E64" s="58"/>
    </row>
    <row r="65" spans="1:5">
      <c r="A65" s="54"/>
      <c r="B65" s="27"/>
      <c r="C65" s="35"/>
      <c r="D65" s="104"/>
      <c r="E65" s="58"/>
    </row>
    <row r="66" spans="1:5" hidden="1">
      <c r="A66" s="67"/>
      <c r="B66" s="27"/>
      <c r="C66" s="35"/>
      <c r="D66" s="29"/>
      <c r="E66" s="58"/>
    </row>
    <row r="67" spans="1:5" hidden="1">
      <c r="A67" s="67"/>
      <c r="B67" s="27"/>
      <c r="C67" s="35"/>
      <c r="D67" s="29"/>
      <c r="E67" s="58"/>
    </row>
    <row r="68" spans="1:5" hidden="1">
      <c r="A68" s="67"/>
      <c r="B68" s="27"/>
      <c r="C68" s="35"/>
      <c r="D68" s="29"/>
      <c r="E68" s="58"/>
    </row>
    <row r="69" spans="1:5">
      <c r="A69" s="67"/>
      <c r="B69" s="27"/>
      <c r="C69" s="35"/>
      <c r="D69" s="29"/>
      <c r="E69" s="58"/>
    </row>
    <row r="70" spans="1:5">
      <c r="A70" s="67"/>
      <c r="B70" s="27"/>
      <c r="C70" s="35"/>
      <c r="D70" s="29"/>
      <c r="E70" s="58"/>
    </row>
    <row r="71" spans="1:5" hidden="1">
      <c r="A71" s="54"/>
      <c r="B71" s="27"/>
      <c r="C71" s="35"/>
      <c r="D71" s="29"/>
      <c r="E71" s="58"/>
    </row>
    <row r="72" spans="1:5" hidden="1">
      <c r="A72" s="67"/>
      <c r="B72" s="27"/>
      <c r="C72" s="35"/>
      <c r="D72" s="29"/>
      <c r="E72" s="58"/>
    </row>
    <row r="73" spans="1:5">
      <c r="A73" s="67"/>
      <c r="B73" s="27"/>
      <c r="C73" s="35"/>
      <c r="D73" s="29"/>
      <c r="E73" s="58"/>
    </row>
    <row r="74" spans="1:5" hidden="1">
      <c r="A74" s="67"/>
      <c r="B74" s="27"/>
      <c r="C74" s="35"/>
      <c r="D74" s="29"/>
      <c r="E74" s="58"/>
    </row>
    <row r="75" spans="1:5" ht="12.75" hidden="1" customHeight="1">
      <c r="A75" s="67"/>
      <c r="B75" s="27"/>
      <c r="C75" s="35"/>
      <c r="D75" s="29"/>
      <c r="E75" s="58"/>
    </row>
    <row r="76" spans="1:5" ht="12.75" customHeight="1">
      <c r="A76" s="67"/>
      <c r="B76" s="27"/>
      <c r="C76" s="35"/>
      <c r="D76" s="29"/>
      <c r="E76" s="58"/>
    </row>
    <row r="77" spans="1:5" ht="12.75" hidden="1" customHeight="1">
      <c r="A77" s="54"/>
      <c r="B77" s="27"/>
      <c r="C77" s="35"/>
      <c r="D77" s="29"/>
      <c r="E77" s="58"/>
    </row>
    <row r="78" spans="1:5">
      <c r="A78" s="67"/>
      <c r="B78" s="27"/>
      <c r="C78" s="35"/>
      <c r="D78" s="29"/>
      <c r="E78" s="58"/>
    </row>
    <row r="79" spans="1:5" hidden="1">
      <c r="A79" s="67"/>
      <c r="B79" s="27"/>
      <c r="C79" s="35"/>
      <c r="D79" s="29"/>
      <c r="E79" s="58"/>
    </row>
    <row r="80" spans="1:5" hidden="1">
      <c r="A80" s="67"/>
      <c r="B80" s="27"/>
      <c r="C80" s="35"/>
      <c r="D80" s="29"/>
      <c r="E80" s="58"/>
    </row>
    <row r="81" spans="1:5" hidden="1">
      <c r="A81" s="67"/>
      <c r="B81" s="27"/>
      <c r="C81" s="37"/>
      <c r="D81" s="29"/>
      <c r="E81" s="58"/>
    </row>
    <row r="82" spans="1:5" hidden="1">
      <c r="A82" s="67"/>
      <c r="B82" s="27"/>
      <c r="C82" s="37"/>
      <c r="D82" s="29"/>
      <c r="E82" s="58"/>
    </row>
    <row r="83" spans="1:5">
      <c r="A83" s="67"/>
      <c r="B83" s="106"/>
      <c r="C83" s="37"/>
      <c r="D83" s="29"/>
      <c r="E83" s="58"/>
    </row>
    <row r="84" spans="1:5" hidden="1">
      <c r="A84" s="67"/>
      <c r="B84" s="106"/>
      <c r="C84" s="37"/>
      <c r="D84" s="29"/>
      <c r="E84" s="58"/>
    </row>
    <row r="85" spans="1:5">
      <c r="A85" s="67"/>
      <c r="B85" s="27"/>
      <c r="C85" s="37"/>
      <c r="D85" s="29"/>
      <c r="E85" s="58"/>
    </row>
    <row r="86" spans="1:5" ht="14.25" customHeight="1">
      <c r="A86" s="67"/>
      <c r="B86" s="27"/>
      <c r="C86" s="27"/>
      <c r="D86" s="29"/>
      <c r="E86" s="58"/>
    </row>
    <row r="87" spans="1:5" ht="14.25" customHeight="1">
      <c r="A87" s="67"/>
      <c r="B87" s="27"/>
      <c r="C87" s="27"/>
      <c r="D87" s="69"/>
      <c r="E87" s="59"/>
    </row>
    <row r="88" spans="1:5" ht="15.75" thickBot="1">
      <c r="A88" s="70"/>
      <c r="B88" s="71"/>
      <c r="C88" s="71"/>
      <c r="D88" s="72"/>
      <c r="E88" s="73"/>
    </row>
    <row r="89" spans="1:5" ht="15.75" thickTop="1">
      <c r="A89" s="74"/>
      <c r="B89" s="46"/>
      <c r="C89" s="46"/>
      <c r="D89" s="47"/>
      <c r="E89" s="48"/>
    </row>
    <row r="90" spans="1:5">
      <c r="A90" s="67"/>
      <c r="B90" s="27"/>
      <c r="C90" s="23"/>
      <c r="D90" s="69"/>
      <c r="E90" s="59"/>
    </row>
    <row r="91" spans="1:5" ht="15.75" thickBot="1">
      <c r="A91" s="70"/>
      <c r="B91" s="71"/>
      <c r="C91" s="71"/>
      <c r="D91" s="72"/>
      <c r="E91" s="73"/>
    </row>
    <row r="92" spans="1:5" ht="15.75" thickTop="1"/>
    <row r="100" spans="4:5">
      <c r="D100"/>
      <c r="E100"/>
    </row>
    <row r="101" spans="4:5">
      <c r="D101"/>
      <c r="E101"/>
    </row>
    <row r="102" spans="4:5">
      <c r="D102"/>
      <c r="E102"/>
    </row>
    <row r="103" spans="4:5">
      <c r="D103"/>
      <c r="E103"/>
    </row>
    <row r="104" spans="4:5">
      <c r="D104"/>
      <c r="E104"/>
    </row>
    <row r="105" spans="4:5">
      <c r="D105"/>
      <c r="E105"/>
    </row>
    <row r="106" spans="4:5">
      <c r="D106"/>
      <c r="E106"/>
    </row>
    <row r="107" spans="4:5">
      <c r="D107"/>
      <c r="E107"/>
    </row>
    <row r="108" spans="4:5">
      <c r="D108"/>
      <c r="E108"/>
    </row>
    <row r="109" spans="4:5">
      <c r="D109"/>
      <c r="E109"/>
    </row>
    <row r="110" spans="4:5">
      <c r="D110"/>
      <c r="E110"/>
    </row>
    <row r="111" spans="4:5">
      <c r="D111"/>
      <c r="E111"/>
    </row>
    <row r="112" spans="4:5">
      <c r="D112"/>
      <c r="E112"/>
    </row>
    <row r="113" spans="4:5">
      <c r="D113"/>
      <c r="E113"/>
    </row>
    <row r="114" spans="4:5">
      <c r="D114"/>
      <c r="E114"/>
    </row>
    <row r="115" spans="4:5">
      <c r="D115"/>
      <c r="E115"/>
    </row>
    <row r="116" spans="4:5">
      <c r="D116"/>
      <c r="E116"/>
    </row>
    <row r="117" spans="4:5">
      <c r="D117"/>
      <c r="E117"/>
    </row>
    <row r="118" spans="4:5">
      <c r="D118"/>
      <c r="E118"/>
    </row>
    <row r="119" spans="4:5">
      <c r="D119"/>
      <c r="E119"/>
    </row>
    <row r="120" spans="4:5">
      <c r="D120"/>
      <c r="E120"/>
    </row>
    <row r="121" spans="4:5">
      <c r="D121"/>
      <c r="E121"/>
    </row>
    <row r="122" spans="4:5">
      <c r="D122"/>
      <c r="E122"/>
    </row>
    <row r="123" spans="4:5">
      <c r="D123"/>
      <c r="E123"/>
    </row>
    <row r="124" spans="4:5">
      <c r="D124"/>
      <c r="E124"/>
    </row>
    <row r="125" spans="4:5">
      <c r="D125"/>
      <c r="E125"/>
    </row>
    <row r="126" spans="4:5">
      <c r="D126"/>
      <c r="E1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Z53"/>
  <sheetViews>
    <sheetView workbookViewId="0">
      <selection sqref="A1:XFD1048576"/>
    </sheetView>
  </sheetViews>
  <sheetFormatPr baseColWidth="10" defaultRowHeight="15"/>
  <cols>
    <col min="1" max="1" width="9.140625" style="110" customWidth="1"/>
    <col min="2" max="2" width="34" customWidth="1"/>
    <col min="3" max="3" width="12.28515625" customWidth="1"/>
    <col min="4" max="4" width="11.42578125" style="33"/>
    <col min="5" max="5" width="20.42578125" style="33" bestFit="1" customWidth="1"/>
    <col min="7" max="52" width="11.42578125" style="27"/>
    <col min="257" max="257" width="9.140625" customWidth="1"/>
    <col min="258" max="258" width="34" customWidth="1"/>
    <col min="259" max="259" width="12.28515625" customWidth="1"/>
    <col min="261" max="261" width="20.42578125" bestFit="1" customWidth="1"/>
    <col min="513" max="513" width="9.140625" customWidth="1"/>
    <col min="514" max="514" width="34" customWidth="1"/>
    <col min="515" max="515" width="12.28515625" customWidth="1"/>
    <col min="517" max="517" width="20.42578125" bestFit="1" customWidth="1"/>
    <col min="769" max="769" width="9.140625" customWidth="1"/>
    <col min="770" max="770" width="34" customWidth="1"/>
    <col min="771" max="771" width="12.28515625" customWidth="1"/>
    <col min="773" max="773" width="20.42578125" bestFit="1" customWidth="1"/>
    <col min="1025" max="1025" width="9.140625" customWidth="1"/>
    <col min="1026" max="1026" width="34" customWidth="1"/>
    <col min="1027" max="1027" width="12.28515625" customWidth="1"/>
    <col min="1029" max="1029" width="20.42578125" bestFit="1" customWidth="1"/>
    <col min="1281" max="1281" width="9.140625" customWidth="1"/>
    <col min="1282" max="1282" width="34" customWidth="1"/>
    <col min="1283" max="1283" width="12.28515625" customWidth="1"/>
    <col min="1285" max="1285" width="20.42578125" bestFit="1" customWidth="1"/>
    <col min="1537" max="1537" width="9.140625" customWidth="1"/>
    <col min="1538" max="1538" width="34" customWidth="1"/>
    <col min="1539" max="1539" width="12.28515625" customWidth="1"/>
    <col min="1541" max="1541" width="20.42578125" bestFit="1" customWidth="1"/>
    <col min="1793" max="1793" width="9.140625" customWidth="1"/>
    <col min="1794" max="1794" width="34" customWidth="1"/>
    <col min="1795" max="1795" width="12.28515625" customWidth="1"/>
    <col min="1797" max="1797" width="20.42578125" bestFit="1" customWidth="1"/>
    <col min="2049" max="2049" width="9.140625" customWidth="1"/>
    <col min="2050" max="2050" width="34" customWidth="1"/>
    <col min="2051" max="2051" width="12.28515625" customWidth="1"/>
    <col min="2053" max="2053" width="20.42578125" bestFit="1" customWidth="1"/>
    <col min="2305" max="2305" width="9.140625" customWidth="1"/>
    <col min="2306" max="2306" width="34" customWidth="1"/>
    <col min="2307" max="2307" width="12.28515625" customWidth="1"/>
    <col min="2309" max="2309" width="20.42578125" bestFit="1" customWidth="1"/>
    <col min="2561" max="2561" width="9.140625" customWidth="1"/>
    <col min="2562" max="2562" width="34" customWidth="1"/>
    <col min="2563" max="2563" width="12.28515625" customWidth="1"/>
    <col min="2565" max="2565" width="20.42578125" bestFit="1" customWidth="1"/>
    <col min="2817" max="2817" width="9.140625" customWidth="1"/>
    <col min="2818" max="2818" width="34" customWidth="1"/>
    <col min="2819" max="2819" width="12.28515625" customWidth="1"/>
    <col min="2821" max="2821" width="20.42578125" bestFit="1" customWidth="1"/>
    <col min="3073" max="3073" width="9.140625" customWidth="1"/>
    <col min="3074" max="3074" width="34" customWidth="1"/>
    <col min="3075" max="3075" width="12.28515625" customWidth="1"/>
    <col min="3077" max="3077" width="20.42578125" bestFit="1" customWidth="1"/>
    <col min="3329" max="3329" width="9.140625" customWidth="1"/>
    <col min="3330" max="3330" width="34" customWidth="1"/>
    <col min="3331" max="3331" width="12.28515625" customWidth="1"/>
    <col min="3333" max="3333" width="20.42578125" bestFit="1" customWidth="1"/>
    <col min="3585" max="3585" width="9.140625" customWidth="1"/>
    <col min="3586" max="3586" width="34" customWidth="1"/>
    <col min="3587" max="3587" width="12.28515625" customWidth="1"/>
    <col min="3589" max="3589" width="20.42578125" bestFit="1" customWidth="1"/>
    <col min="3841" max="3841" width="9.140625" customWidth="1"/>
    <col min="3842" max="3842" width="34" customWidth="1"/>
    <col min="3843" max="3843" width="12.28515625" customWidth="1"/>
    <col min="3845" max="3845" width="20.42578125" bestFit="1" customWidth="1"/>
    <col min="4097" max="4097" width="9.140625" customWidth="1"/>
    <col min="4098" max="4098" width="34" customWidth="1"/>
    <col min="4099" max="4099" width="12.28515625" customWidth="1"/>
    <col min="4101" max="4101" width="20.42578125" bestFit="1" customWidth="1"/>
    <col min="4353" max="4353" width="9.140625" customWidth="1"/>
    <col min="4354" max="4354" width="34" customWidth="1"/>
    <col min="4355" max="4355" width="12.28515625" customWidth="1"/>
    <col min="4357" max="4357" width="20.42578125" bestFit="1" customWidth="1"/>
    <col min="4609" max="4609" width="9.140625" customWidth="1"/>
    <col min="4610" max="4610" width="34" customWidth="1"/>
    <col min="4611" max="4611" width="12.28515625" customWidth="1"/>
    <col min="4613" max="4613" width="20.42578125" bestFit="1" customWidth="1"/>
    <col min="4865" max="4865" width="9.140625" customWidth="1"/>
    <col min="4866" max="4866" width="34" customWidth="1"/>
    <col min="4867" max="4867" width="12.28515625" customWidth="1"/>
    <col min="4869" max="4869" width="20.42578125" bestFit="1" customWidth="1"/>
    <col min="5121" max="5121" width="9.140625" customWidth="1"/>
    <col min="5122" max="5122" width="34" customWidth="1"/>
    <col min="5123" max="5123" width="12.28515625" customWidth="1"/>
    <col min="5125" max="5125" width="20.42578125" bestFit="1" customWidth="1"/>
    <col min="5377" max="5377" width="9.140625" customWidth="1"/>
    <col min="5378" max="5378" width="34" customWidth="1"/>
    <col min="5379" max="5379" width="12.28515625" customWidth="1"/>
    <col min="5381" max="5381" width="20.42578125" bestFit="1" customWidth="1"/>
    <col min="5633" max="5633" width="9.140625" customWidth="1"/>
    <col min="5634" max="5634" width="34" customWidth="1"/>
    <col min="5635" max="5635" width="12.28515625" customWidth="1"/>
    <col min="5637" max="5637" width="20.42578125" bestFit="1" customWidth="1"/>
    <col min="5889" max="5889" width="9.140625" customWidth="1"/>
    <col min="5890" max="5890" width="34" customWidth="1"/>
    <col min="5891" max="5891" width="12.28515625" customWidth="1"/>
    <col min="5893" max="5893" width="20.42578125" bestFit="1" customWidth="1"/>
    <col min="6145" max="6145" width="9.140625" customWidth="1"/>
    <col min="6146" max="6146" width="34" customWidth="1"/>
    <col min="6147" max="6147" width="12.28515625" customWidth="1"/>
    <col min="6149" max="6149" width="20.42578125" bestFit="1" customWidth="1"/>
    <col min="6401" max="6401" width="9.140625" customWidth="1"/>
    <col min="6402" max="6402" width="34" customWidth="1"/>
    <col min="6403" max="6403" width="12.28515625" customWidth="1"/>
    <col min="6405" max="6405" width="20.42578125" bestFit="1" customWidth="1"/>
    <col min="6657" max="6657" width="9.140625" customWidth="1"/>
    <col min="6658" max="6658" width="34" customWidth="1"/>
    <col min="6659" max="6659" width="12.28515625" customWidth="1"/>
    <col min="6661" max="6661" width="20.42578125" bestFit="1" customWidth="1"/>
    <col min="6913" max="6913" width="9.140625" customWidth="1"/>
    <col min="6914" max="6914" width="34" customWidth="1"/>
    <col min="6915" max="6915" width="12.28515625" customWidth="1"/>
    <col min="6917" max="6917" width="20.42578125" bestFit="1" customWidth="1"/>
    <col min="7169" max="7169" width="9.140625" customWidth="1"/>
    <col min="7170" max="7170" width="34" customWidth="1"/>
    <col min="7171" max="7171" width="12.28515625" customWidth="1"/>
    <col min="7173" max="7173" width="20.42578125" bestFit="1" customWidth="1"/>
    <col min="7425" max="7425" width="9.140625" customWidth="1"/>
    <col min="7426" max="7426" width="34" customWidth="1"/>
    <col min="7427" max="7427" width="12.28515625" customWidth="1"/>
    <col min="7429" max="7429" width="20.42578125" bestFit="1" customWidth="1"/>
    <col min="7681" max="7681" width="9.140625" customWidth="1"/>
    <col min="7682" max="7682" width="34" customWidth="1"/>
    <col min="7683" max="7683" width="12.28515625" customWidth="1"/>
    <col min="7685" max="7685" width="20.42578125" bestFit="1" customWidth="1"/>
    <col min="7937" max="7937" width="9.140625" customWidth="1"/>
    <col min="7938" max="7938" width="34" customWidth="1"/>
    <col min="7939" max="7939" width="12.28515625" customWidth="1"/>
    <col min="7941" max="7941" width="20.42578125" bestFit="1" customWidth="1"/>
    <col min="8193" max="8193" width="9.140625" customWidth="1"/>
    <col min="8194" max="8194" width="34" customWidth="1"/>
    <col min="8195" max="8195" width="12.28515625" customWidth="1"/>
    <col min="8197" max="8197" width="20.42578125" bestFit="1" customWidth="1"/>
    <col min="8449" max="8449" width="9.140625" customWidth="1"/>
    <col min="8450" max="8450" width="34" customWidth="1"/>
    <col min="8451" max="8451" width="12.28515625" customWidth="1"/>
    <col min="8453" max="8453" width="20.42578125" bestFit="1" customWidth="1"/>
    <col min="8705" max="8705" width="9.140625" customWidth="1"/>
    <col min="8706" max="8706" width="34" customWidth="1"/>
    <col min="8707" max="8707" width="12.28515625" customWidth="1"/>
    <col min="8709" max="8709" width="20.42578125" bestFit="1" customWidth="1"/>
    <col min="8961" max="8961" width="9.140625" customWidth="1"/>
    <col min="8962" max="8962" width="34" customWidth="1"/>
    <col min="8963" max="8963" width="12.28515625" customWidth="1"/>
    <col min="8965" max="8965" width="20.42578125" bestFit="1" customWidth="1"/>
    <col min="9217" max="9217" width="9.140625" customWidth="1"/>
    <col min="9218" max="9218" width="34" customWidth="1"/>
    <col min="9219" max="9219" width="12.28515625" customWidth="1"/>
    <col min="9221" max="9221" width="20.42578125" bestFit="1" customWidth="1"/>
    <col min="9473" max="9473" width="9.140625" customWidth="1"/>
    <col min="9474" max="9474" width="34" customWidth="1"/>
    <col min="9475" max="9475" width="12.28515625" customWidth="1"/>
    <col min="9477" max="9477" width="20.42578125" bestFit="1" customWidth="1"/>
    <col min="9729" max="9729" width="9.140625" customWidth="1"/>
    <col min="9730" max="9730" width="34" customWidth="1"/>
    <col min="9731" max="9731" width="12.28515625" customWidth="1"/>
    <col min="9733" max="9733" width="20.42578125" bestFit="1" customWidth="1"/>
    <col min="9985" max="9985" width="9.140625" customWidth="1"/>
    <col min="9986" max="9986" width="34" customWidth="1"/>
    <col min="9987" max="9987" width="12.28515625" customWidth="1"/>
    <col min="9989" max="9989" width="20.42578125" bestFit="1" customWidth="1"/>
    <col min="10241" max="10241" width="9.140625" customWidth="1"/>
    <col min="10242" max="10242" width="34" customWidth="1"/>
    <col min="10243" max="10243" width="12.28515625" customWidth="1"/>
    <col min="10245" max="10245" width="20.42578125" bestFit="1" customWidth="1"/>
    <col min="10497" max="10497" width="9.140625" customWidth="1"/>
    <col min="10498" max="10498" width="34" customWidth="1"/>
    <col min="10499" max="10499" width="12.28515625" customWidth="1"/>
    <col min="10501" max="10501" width="20.42578125" bestFit="1" customWidth="1"/>
    <col min="10753" max="10753" width="9.140625" customWidth="1"/>
    <col min="10754" max="10754" width="34" customWidth="1"/>
    <col min="10755" max="10755" width="12.28515625" customWidth="1"/>
    <col min="10757" max="10757" width="20.42578125" bestFit="1" customWidth="1"/>
    <col min="11009" max="11009" width="9.140625" customWidth="1"/>
    <col min="11010" max="11010" width="34" customWidth="1"/>
    <col min="11011" max="11011" width="12.28515625" customWidth="1"/>
    <col min="11013" max="11013" width="20.42578125" bestFit="1" customWidth="1"/>
    <col min="11265" max="11265" width="9.140625" customWidth="1"/>
    <col min="11266" max="11266" width="34" customWidth="1"/>
    <col min="11267" max="11267" width="12.28515625" customWidth="1"/>
    <col min="11269" max="11269" width="20.42578125" bestFit="1" customWidth="1"/>
    <col min="11521" max="11521" width="9.140625" customWidth="1"/>
    <col min="11522" max="11522" width="34" customWidth="1"/>
    <col min="11523" max="11523" width="12.28515625" customWidth="1"/>
    <col min="11525" max="11525" width="20.42578125" bestFit="1" customWidth="1"/>
    <col min="11777" max="11777" width="9.140625" customWidth="1"/>
    <col min="11778" max="11778" width="34" customWidth="1"/>
    <col min="11779" max="11779" width="12.28515625" customWidth="1"/>
    <col min="11781" max="11781" width="20.42578125" bestFit="1" customWidth="1"/>
    <col min="12033" max="12033" width="9.140625" customWidth="1"/>
    <col min="12034" max="12034" width="34" customWidth="1"/>
    <col min="12035" max="12035" width="12.28515625" customWidth="1"/>
    <col min="12037" max="12037" width="20.42578125" bestFit="1" customWidth="1"/>
    <col min="12289" max="12289" width="9.140625" customWidth="1"/>
    <col min="12290" max="12290" width="34" customWidth="1"/>
    <col min="12291" max="12291" width="12.28515625" customWidth="1"/>
    <col min="12293" max="12293" width="20.42578125" bestFit="1" customWidth="1"/>
    <col min="12545" max="12545" width="9.140625" customWidth="1"/>
    <col min="12546" max="12546" width="34" customWidth="1"/>
    <col min="12547" max="12547" width="12.28515625" customWidth="1"/>
    <col min="12549" max="12549" width="20.42578125" bestFit="1" customWidth="1"/>
    <col min="12801" max="12801" width="9.140625" customWidth="1"/>
    <col min="12802" max="12802" width="34" customWidth="1"/>
    <col min="12803" max="12803" width="12.28515625" customWidth="1"/>
    <col min="12805" max="12805" width="20.42578125" bestFit="1" customWidth="1"/>
    <col min="13057" max="13057" width="9.140625" customWidth="1"/>
    <col min="13058" max="13058" width="34" customWidth="1"/>
    <col min="13059" max="13059" width="12.28515625" customWidth="1"/>
    <col min="13061" max="13061" width="20.42578125" bestFit="1" customWidth="1"/>
    <col min="13313" max="13313" width="9.140625" customWidth="1"/>
    <col min="13314" max="13314" width="34" customWidth="1"/>
    <col min="13315" max="13315" width="12.28515625" customWidth="1"/>
    <col min="13317" max="13317" width="20.42578125" bestFit="1" customWidth="1"/>
    <col min="13569" max="13569" width="9.140625" customWidth="1"/>
    <col min="13570" max="13570" width="34" customWidth="1"/>
    <col min="13571" max="13571" width="12.28515625" customWidth="1"/>
    <col min="13573" max="13573" width="20.42578125" bestFit="1" customWidth="1"/>
    <col min="13825" max="13825" width="9.140625" customWidth="1"/>
    <col min="13826" max="13826" width="34" customWidth="1"/>
    <col min="13827" max="13827" width="12.28515625" customWidth="1"/>
    <col min="13829" max="13829" width="20.42578125" bestFit="1" customWidth="1"/>
    <col min="14081" max="14081" width="9.140625" customWidth="1"/>
    <col min="14082" max="14082" width="34" customWidth="1"/>
    <col min="14083" max="14083" width="12.28515625" customWidth="1"/>
    <col min="14085" max="14085" width="20.42578125" bestFit="1" customWidth="1"/>
    <col min="14337" max="14337" width="9.140625" customWidth="1"/>
    <col min="14338" max="14338" width="34" customWidth="1"/>
    <col min="14339" max="14339" width="12.28515625" customWidth="1"/>
    <col min="14341" max="14341" width="20.42578125" bestFit="1" customWidth="1"/>
    <col min="14593" max="14593" width="9.140625" customWidth="1"/>
    <col min="14594" max="14594" width="34" customWidth="1"/>
    <col min="14595" max="14595" width="12.28515625" customWidth="1"/>
    <col min="14597" max="14597" width="20.42578125" bestFit="1" customWidth="1"/>
    <col min="14849" max="14849" width="9.140625" customWidth="1"/>
    <col min="14850" max="14850" width="34" customWidth="1"/>
    <col min="14851" max="14851" width="12.28515625" customWidth="1"/>
    <col min="14853" max="14853" width="20.42578125" bestFit="1" customWidth="1"/>
    <col min="15105" max="15105" width="9.140625" customWidth="1"/>
    <col min="15106" max="15106" width="34" customWidth="1"/>
    <col min="15107" max="15107" width="12.28515625" customWidth="1"/>
    <col min="15109" max="15109" width="20.42578125" bestFit="1" customWidth="1"/>
    <col min="15361" max="15361" width="9.140625" customWidth="1"/>
    <col min="15362" max="15362" width="34" customWidth="1"/>
    <col min="15363" max="15363" width="12.28515625" customWidth="1"/>
    <col min="15365" max="15365" width="20.42578125" bestFit="1" customWidth="1"/>
    <col min="15617" max="15617" width="9.140625" customWidth="1"/>
    <col min="15618" max="15618" width="34" customWidth="1"/>
    <col min="15619" max="15619" width="12.28515625" customWidth="1"/>
    <col min="15621" max="15621" width="20.42578125" bestFit="1" customWidth="1"/>
    <col min="15873" max="15873" width="9.140625" customWidth="1"/>
    <col min="15874" max="15874" width="34" customWidth="1"/>
    <col min="15875" max="15875" width="12.28515625" customWidth="1"/>
    <col min="15877" max="15877" width="20.42578125" bestFit="1" customWidth="1"/>
    <col min="16129" max="16129" width="9.140625" customWidth="1"/>
    <col min="16130" max="16130" width="34" customWidth="1"/>
    <col min="16131" max="16131" width="12.28515625" customWidth="1"/>
    <col min="16133" max="16133" width="20.42578125" bestFit="1" customWidth="1"/>
  </cols>
  <sheetData>
    <row r="1" spans="1:52" ht="39" customHeight="1" thickBot="1"/>
    <row r="2" spans="1:52" s="116" customFormat="1" ht="32.25" customHeight="1" thickBot="1">
      <c r="A2" s="111"/>
      <c r="B2" s="112"/>
      <c r="C2" s="113"/>
      <c r="D2" s="114"/>
      <c r="E2" s="115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</row>
    <row r="3" spans="1:52" s="173" customFormat="1" ht="20.25" customHeight="1">
      <c r="A3" s="167"/>
      <c r="B3" s="168"/>
      <c r="C3" s="168"/>
      <c r="D3" s="169"/>
      <c r="E3" s="170"/>
      <c r="F3" s="171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</row>
    <row r="4" spans="1:52">
      <c r="A4" s="174"/>
      <c r="B4" s="101"/>
      <c r="C4" s="101"/>
      <c r="D4" s="118"/>
      <c r="E4" s="118"/>
      <c r="F4" s="175"/>
    </row>
    <row r="5" spans="1:52">
      <c r="A5" s="174"/>
      <c r="B5" s="101"/>
      <c r="C5" s="101"/>
      <c r="D5" s="118"/>
      <c r="E5" s="118"/>
      <c r="F5" s="175"/>
    </row>
    <row r="6" spans="1:52">
      <c r="A6" s="174"/>
      <c r="B6" s="101"/>
      <c r="C6" s="101"/>
      <c r="D6" s="118"/>
      <c r="E6" s="118"/>
      <c r="F6" s="175"/>
    </row>
    <row r="7" spans="1:52">
      <c r="A7" s="174"/>
      <c r="B7" s="101"/>
      <c r="C7" s="101"/>
      <c r="D7" s="118"/>
      <c r="E7" s="118"/>
      <c r="F7" s="175"/>
    </row>
    <row r="8" spans="1:52">
      <c r="A8" s="174"/>
      <c r="B8" s="101"/>
      <c r="C8" s="101"/>
      <c r="D8" s="118"/>
      <c r="E8" s="118"/>
      <c r="F8" s="175"/>
    </row>
    <row r="9" spans="1:52">
      <c r="A9" s="176"/>
      <c r="B9" s="119"/>
      <c r="C9" s="119"/>
      <c r="D9" s="118"/>
      <c r="E9" s="118"/>
      <c r="F9" s="177"/>
    </row>
    <row r="10" spans="1:52">
      <c r="A10" s="176"/>
      <c r="B10" s="12"/>
      <c r="C10" s="12"/>
      <c r="D10" s="118"/>
      <c r="E10" s="118"/>
      <c r="F10" s="175"/>
    </row>
    <row r="11" spans="1:52">
      <c r="A11" s="176"/>
      <c r="B11" s="12"/>
      <c r="C11" s="12"/>
      <c r="D11" s="120"/>
      <c r="E11" s="118"/>
      <c r="F11" s="175"/>
    </row>
    <row r="12" spans="1:52">
      <c r="A12" s="174"/>
      <c r="B12" s="101"/>
      <c r="C12" s="121"/>
      <c r="D12" s="118"/>
      <c r="E12" s="118"/>
      <c r="F12" s="175"/>
    </row>
    <row r="13" spans="1:52">
      <c r="A13" s="174"/>
      <c r="B13" s="101"/>
      <c r="C13" s="121"/>
      <c r="D13" s="118"/>
      <c r="E13" s="118"/>
      <c r="F13" s="175"/>
    </row>
    <row r="14" spans="1:52">
      <c r="A14" s="174"/>
      <c r="B14" s="119"/>
      <c r="C14" s="119"/>
      <c r="D14" s="118"/>
      <c r="E14" s="118"/>
      <c r="F14" s="175"/>
    </row>
    <row r="15" spans="1:52">
      <c r="A15" s="174"/>
      <c r="B15" s="119"/>
      <c r="C15" s="119"/>
      <c r="D15" s="118"/>
      <c r="E15" s="118"/>
      <c r="F15" s="175"/>
    </row>
    <row r="16" spans="1:52">
      <c r="A16" s="174"/>
      <c r="B16" s="119"/>
      <c r="C16" s="119"/>
      <c r="D16" s="118"/>
      <c r="E16" s="118"/>
      <c r="F16" s="175"/>
    </row>
    <row r="17" spans="1:6">
      <c r="A17" s="174"/>
      <c r="B17" s="119"/>
      <c r="C17" s="117"/>
      <c r="D17" s="118"/>
      <c r="E17" s="118"/>
      <c r="F17" s="175"/>
    </row>
    <row r="18" spans="1:6">
      <c r="A18" s="174"/>
      <c r="B18" s="119"/>
      <c r="C18" s="119"/>
      <c r="D18" s="118"/>
      <c r="E18" s="118"/>
      <c r="F18" s="175"/>
    </row>
    <row r="19" spans="1:6">
      <c r="A19" s="174"/>
      <c r="B19" s="119"/>
      <c r="C19" s="119"/>
      <c r="D19" s="120"/>
      <c r="E19" s="118"/>
      <c r="F19" s="175"/>
    </row>
    <row r="20" spans="1:6">
      <c r="A20" s="174"/>
      <c r="B20" s="119"/>
      <c r="C20" s="119"/>
      <c r="D20" s="120"/>
      <c r="E20" s="118"/>
      <c r="F20" s="175"/>
    </row>
    <row r="21" spans="1:6">
      <c r="A21" s="176"/>
      <c r="B21" s="119"/>
      <c r="C21" s="119"/>
      <c r="D21" s="118"/>
      <c r="E21" s="118"/>
      <c r="F21" s="175"/>
    </row>
    <row r="22" spans="1:6">
      <c r="A22" s="174"/>
      <c r="B22" s="119"/>
      <c r="C22" s="119"/>
      <c r="D22" s="118"/>
      <c r="E22" s="118"/>
      <c r="F22" s="175"/>
    </row>
    <row r="23" spans="1:6">
      <c r="A23" s="176"/>
      <c r="B23" s="119"/>
      <c r="C23" s="119"/>
      <c r="D23" s="118"/>
      <c r="E23" s="118"/>
      <c r="F23" s="175"/>
    </row>
    <row r="24" spans="1:6">
      <c r="A24" s="174"/>
      <c r="B24" s="12"/>
      <c r="C24" s="12"/>
      <c r="D24" s="118"/>
      <c r="E24" s="118"/>
      <c r="F24" s="175"/>
    </row>
    <row r="25" spans="1:6">
      <c r="A25" s="176"/>
      <c r="B25" s="119"/>
      <c r="C25" s="119"/>
      <c r="D25" s="118"/>
      <c r="E25" s="118"/>
      <c r="F25" s="177"/>
    </row>
    <row r="26" spans="1:6">
      <c r="A26" s="174"/>
      <c r="B26" s="119"/>
      <c r="C26" s="12"/>
      <c r="D26" s="118"/>
      <c r="E26" s="118"/>
      <c r="F26" s="177"/>
    </row>
    <row r="27" spans="1:6">
      <c r="A27" s="176"/>
      <c r="B27" s="119"/>
      <c r="C27" s="119"/>
      <c r="D27" s="118"/>
      <c r="E27" s="118"/>
      <c r="F27" s="177"/>
    </row>
    <row r="28" spans="1:6">
      <c r="A28" s="176"/>
      <c r="B28" s="119"/>
      <c r="C28" s="119"/>
      <c r="D28" s="118"/>
      <c r="E28" s="118"/>
      <c r="F28" s="177"/>
    </row>
    <row r="29" spans="1:6">
      <c r="A29" s="176"/>
      <c r="B29" s="119"/>
      <c r="C29" s="119"/>
      <c r="D29" s="118"/>
      <c r="E29" s="118"/>
      <c r="F29" s="177"/>
    </row>
    <row r="30" spans="1:6">
      <c r="A30" s="174"/>
      <c r="B30" s="119"/>
      <c r="C30" s="119"/>
      <c r="D30" s="118"/>
      <c r="E30" s="118"/>
      <c r="F30" s="175"/>
    </row>
    <row r="31" spans="1:6">
      <c r="A31" s="174"/>
      <c r="B31" s="119"/>
      <c r="C31" s="119"/>
      <c r="D31" s="118"/>
      <c r="E31" s="118"/>
      <c r="F31" s="175"/>
    </row>
    <row r="32" spans="1:6">
      <c r="A32" s="174"/>
      <c r="B32" s="119"/>
      <c r="C32" s="119"/>
      <c r="D32" s="118"/>
      <c r="E32" s="118"/>
      <c r="F32" s="175"/>
    </row>
    <row r="33" spans="1:6" ht="12" customHeight="1">
      <c r="A33" s="174"/>
      <c r="B33" s="119"/>
      <c r="C33" s="117"/>
      <c r="D33" s="118"/>
      <c r="E33" s="118"/>
      <c r="F33" s="175"/>
    </row>
    <row r="34" spans="1:6">
      <c r="A34" s="176"/>
      <c r="B34" s="12"/>
      <c r="C34" s="12"/>
      <c r="D34" s="118"/>
      <c r="E34" s="118"/>
      <c r="F34" s="175"/>
    </row>
    <row r="35" spans="1:6">
      <c r="A35" s="176"/>
      <c r="B35" s="12"/>
      <c r="C35" s="12"/>
      <c r="D35" s="118"/>
      <c r="E35" s="118"/>
      <c r="F35" s="175"/>
    </row>
    <row r="36" spans="1:6">
      <c r="A36" s="176"/>
      <c r="B36" s="12"/>
      <c r="C36" s="12"/>
      <c r="D36" s="118"/>
      <c r="E36" s="118"/>
      <c r="F36" s="175"/>
    </row>
    <row r="37" spans="1:6">
      <c r="A37" s="176"/>
      <c r="B37" s="122"/>
      <c r="C37" s="122"/>
      <c r="D37" s="118"/>
      <c r="E37" s="118"/>
      <c r="F37" s="175"/>
    </row>
    <row r="38" spans="1:6">
      <c r="A38" s="174"/>
      <c r="B38" s="119"/>
      <c r="C38" s="122"/>
      <c r="D38" s="118"/>
      <c r="E38" s="118"/>
      <c r="F38" s="175"/>
    </row>
    <row r="39" spans="1:6">
      <c r="A39" s="174"/>
      <c r="B39" s="119"/>
      <c r="C39" s="122"/>
      <c r="D39" s="118"/>
      <c r="E39" s="118"/>
      <c r="F39" s="175"/>
    </row>
    <row r="40" spans="1:6">
      <c r="A40" s="174"/>
      <c r="B40" s="119"/>
      <c r="C40" s="122"/>
      <c r="D40" s="118"/>
      <c r="E40" s="118"/>
      <c r="F40" s="175"/>
    </row>
    <row r="41" spans="1:6">
      <c r="A41" s="176"/>
      <c r="B41" s="119"/>
      <c r="C41" s="123"/>
      <c r="D41" s="118"/>
      <c r="E41" s="118"/>
      <c r="F41" s="175"/>
    </row>
    <row r="42" spans="1:6">
      <c r="A42" s="176"/>
      <c r="B42" s="119"/>
      <c r="C42" s="123"/>
      <c r="D42" s="118"/>
      <c r="E42" s="118"/>
      <c r="F42" s="175"/>
    </row>
    <row r="43" spans="1:6">
      <c r="A43" s="176"/>
      <c r="B43" s="119"/>
      <c r="C43" s="123"/>
      <c r="D43" s="118"/>
      <c r="E43" s="118"/>
      <c r="F43" s="175"/>
    </row>
    <row r="44" spans="1:6">
      <c r="A44" s="176"/>
      <c r="B44" s="119"/>
      <c r="C44" s="123"/>
      <c r="D44" s="118"/>
      <c r="E44" s="118"/>
      <c r="F44" s="175"/>
    </row>
    <row r="45" spans="1:6">
      <c r="A45" s="176"/>
      <c r="B45" s="119"/>
      <c r="C45" s="123"/>
      <c r="D45" s="118"/>
      <c r="E45" s="118"/>
      <c r="F45" s="175"/>
    </row>
    <row r="46" spans="1:6">
      <c r="A46" s="176"/>
      <c r="B46" s="119"/>
      <c r="C46" s="119"/>
      <c r="D46" s="118"/>
      <c r="E46" s="118"/>
      <c r="F46" s="177"/>
    </row>
    <row r="47" spans="1:6">
      <c r="A47" s="176"/>
      <c r="B47" s="119"/>
      <c r="C47" s="119"/>
      <c r="D47" s="118"/>
      <c r="E47" s="118"/>
      <c r="F47" s="177"/>
    </row>
    <row r="48" spans="1:6">
      <c r="A48" s="176"/>
      <c r="B48" s="119"/>
      <c r="C48" s="119"/>
      <c r="D48" s="118"/>
      <c r="E48" s="118"/>
      <c r="F48" s="177"/>
    </row>
    <row r="49" spans="1:52">
      <c r="A49" s="174"/>
      <c r="B49" s="12"/>
      <c r="C49" s="12"/>
      <c r="D49" s="118"/>
      <c r="E49" s="118"/>
      <c r="F49" s="175"/>
    </row>
    <row r="50" spans="1:52">
      <c r="A50" s="176"/>
      <c r="B50" s="12"/>
      <c r="C50" s="12"/>
      <c r="D50" s="124"/>
      <c r="E50" s="118"/>
      <c r="F50" s="175"/>
    </row>
    <row r="51" spans="1:52">
      <c r="A51" s="178"/>
      <c r="B51" s="179"/>
      <c r="C51" s="179"/>
      <c r="D51" s="180"/>
      <c r="E51" s="181"/>
      <c r="F51" s="182"/>
    </row>
    <row r="52" spans="1:52" s="12" customFormat="1" ht="15.75" thickBot="1">
      <c r="A52" s="183"/>
      <c r="B52" s="184"/>
      <c r="C52" s="185"/>
      <c r="D52" s="186"/>
      <c r="E52" s="186"/>
      <c r="F52" s="18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</row>
    <row r="53" spans="1:52" ht="24" thickBot="1">
      <c r="E53" s="18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28"/>
  <sheetViews>
    <sheetView workbookViewId="0">
      <selection activeCell="E55" sqref="E55"/>
    </sheetView>
  </sheetViews>
  <sheetFormatPr baseColWidth="10" defaultRowHeight="15"/>
  <cols>
    <col min="1" max="1" width="25.7109375" customWidth="1"/>
    <col min="2" max="2" width="12.85546875" style="38" customWidth="1"/>
    <col min="3" max="3" width="8.42578125" customWidth="1"/>
    <col min="5" max="5" width="12.5703125" customWidth="1"/>
    <col min="257" max="257" width="25.7109375" customWidth="1"/>
    <col min="258" max="258" width="12.85546875" customWidth="1"/>
    <col min="259" max="259" width="8.42578125" customWidth="1"/>
    <col min="261" max="261" width="12.5703125" customWidth="1"/>
    <col min="513" max="513" width="25.7109375" customWidth="1"/>
    <col min="514" max="514" width="12.85546875" customWidth="1"/>
    <col min="515" max="515" width="8.42578125" customWidth="1"/>
    <col min="517" max="517" width="12.5703125" customWidth="1"/>
    <col min="769" max="769" width="25.7109375" customWidth="1"/>
    <col min="770" max="770" width="12.85546875" customWidth="1"/>
    <col min="771" max="771" width="8.42578125" customWidth="1"/>
    <col min="773" max="773" width="12.5703125" customWidth="1"/>
    <col min="1025" max="1025" width="25.7109375" customWidth="1"/>
    <col min="1026" max="1026" width="12.85546875" customWidth="1"/>
    <col min="1027" max="1027" width="8.42578125" customWidth="1"/>
    <col min="1029" max="1029" width="12.5703125" customWidth="1"/>
    <col min="1281" max="1281" width="25.7109375" customWidth="1"/>
    <col min="1282" max="1282" width="12.85546875" customWidth="1"/>
    <col min="1283" max="1283" width="8.42578125" customWidth="1"/>
    <col min="1285" max="1285" width="12.5703125" customWidth="1"/>
    <col min="1537" max="1537" width="25.7109375" customWidth="1"/>
    <col min="1538" max="1538" width="12.85546875" customWidth="1"/>
    <col min="1539" max="1539" width="8.42578125" customWidth="1"/>
    <col min="1541" max="1541" width="12.5703125" customWidth="1"/>
    <col min="1793" max="1793" width="25.7109375" customWidth="1"/>
    <col min="1794" max="1794" width="12.85546875" customWidth="1"/>
    <col min="1795" max="1795" width="8.42578125" customWidth="1"/>
    <col min="1797" max="1797" width="12.5703125" customWidth="1"/>
    <col min="2049" max="2049" width="25.7109375" customWidth="1"/>
    <col min="2050" max="2050" width="12.85546875" customWidth="1"/>
    <col min="2051" max="2051" width="8.42578125" customWidth="1"/>
    <col min="2053" max="2053" width="12.5703125" customWidth="1"/>
    <col min="2305" max="2305" width="25.7109375" customWidth="1"/>
    <col min="2306" max="2306" width="12.85546875" customWidth="1"/>
    <col min="2307" max="2307" width="8.42578125" customWidth="1"/>
    <col min="2309" max="2309" width="12.5703125" customWidth="1"/>
    <col min="2561" max="2561" width="25.7109375" customWidth="1"/>
    <col min="2562" max="2562" width="12.85546875" customWidth="1"/>
    <col min="2563" max="2563" width="8.42578125" customWidth="1"/>
    <col min="2565" max="2565" width="12.5703125" customWidth="1"/>
    <col min="2817" max="2817" width="25.7109375" customWidth="1"/>
    <col min="2818" max="2818" width="12.85546875" customWidth="1"/>
    <col min="2819" max="2819" width="8.42578125" customWidth="1"/>
    <col min="2821" max="2821" width="12.5703125" customWidth="1"/>
    <col min="3073" max="3073" width="25.7109375" customWidth="1"/>
    <col min="3074" max="3074" width="12.85546875" customWidth="1"/>
    <col min="3075" max="3075" width="8.42578125" customWidth="1"/>
    <col min="3077" max="3077" width="12.5703125" customWidth="1"/>
    <col min="3329" max="3329" width="25.7109375" customWidth="1"/>
    <col min="3330" max="3330" width="12.85546875" customWidth="1"/>
    <col min="3331" max="3331" width="8.42578125" customWidth="1"/>
    <col min="3333" max="3333" width="12.5703125" customWidth="1"/>
    <col min="3585" max="3585" width="25.7109375" customWidth="1"/>
    <col min="3586" max="3586" width="12.85546875" customWidth="1"/>
    <col min="3587" max="3587" width="8.42578125" customWidth="1"/>
    <col min="3589" max="3589" width="12.5703125" customWidth="1"/>
    <col min="3841" max="3841" width="25.7109375" customWidth="1"/>
    <col min="3842" max="3842" width="12.85546875" customWidth="1"/>
    <col min="3843" max="3843" width="8.42578125" customWidth="1"/>
    <col min="3845" max="3845" width="12.5703125" customWidth="1"/>
    <col min="4097" max="4097" width="25.7109375" customWidth="1"/>
    <col min="4098" max="4098" width="12.85546875" customWidth="1"/>
    <col min="4099" max="4099" width="8.42578125" customWidth="1"/>
    <col min="4101" max="4101" width="12.5703125" customWidth="1"/>
    <col min="4353" max="4353" width="25.7109375" customWidth="1"/>
    <col min="4354" max="4354" width="12.85546875" customWidth="1"/>
    <col min="4355" max="4355" width="8.42578125" customWidth="1"/>
    <col min="4357" max="4357" width="12.5703125" customWidth="1"/>
    <col min="4609" max="4609" width="25.7109375" customWidth="1"/>
    <col min="4610" max="4610" width="12.85546875" customWidth="1"/>
    <col min="4611" max="4611" width="8.42578125" customWidth="1"/>
    <col min="4613" max="4613" width="12.5703125" customWidth="1"/>
    <col min="4865" max="4865" width="25.7109375" customWidth="1"/>
    <col min="4866" max="4866" width="12.85546875" customWidth="1"/>
    <col min="4867" max="4867" width="8.42578125" customWidth="1"/>
    <col min="4869" max="4869" width="12.5703125" customWidth="1"/>
    <col min="5121" max="5121" width="25.7109375" customWidth="1"/>
    <col min="5122" max="5122" width="12.85546875" customWidth="1"/>
    <col min="5123" max="5123" width="8.42578125" customWidth="1"/>
    <col min="5125" max="5125" width="12.5703125" customWidth="1"/>
    <col min="5377" max="5377" width="25.7109375" customWidth="1"/>
    <col min="5378" max="5378" width="12.85546875" customWidth="1"/>
    <col min="5379" max="5379" width="8.42578125" customWidth="1"/>
    <col min="5381" max="5381" width="12.5703125" customWidth="1"/>
    <col min="5633" max="5633" width="25.7109375" customWidth="1"/>
    <col min="5634" max="5634" width="12.85546875" customWidth="1"/>
    <col min="5635" max="5635" width="8.42578125" customWidth="1"/>
    <col min="5637" max="5637" width="12.5703125" customWidth="1"/>
    <col min="5889" max="5889" width="25.7109375" customWidth="1"/>
    <col min="5890" max="5890" width="12.85546875" customWidth="1"/>
    <col min="5891" max="5891" width="8.42578125" customWidth="1"/>
    <col min="5893" max="5893" width="12.5703125" customWidth="1"/>
    <col min="6145" max="6145" width="25.7109375" customWidth="1"/>
    <col min="6146" max="6146" width="12.85546875" customWidth="1"/>
    <col min="6147" max="6147" width="8.42578125" customWidth="1"/>
    <col min="6149" max="6149" width="12.5703125" customWidth="1"/>
    <col min="6401" max="6401" width="25.7109375" customWidth="1"/>
    <col min="6402" max="6402" width="12.85546875" customWidth="1"/>
    <col min="6403" max="6403" width="8.42578125" customWidth="1"/>
    <col min="6405" max="6405" width="12.5703125" customWidth="1"/>
    <col min="6657" max="6657" width="25.7109375" customWidth="1"/>
    <col min="6658" max="6658" width="12.85546875" customWidth="1"/>
    <col min="6659" max="6659" width="8.42578125" customWidth="1"/>
    <col min="6661" max="6661" width="12.5703125" customWidth="1"/>
    <col min="6913" max="6913" width="25.7109375" customWidth="1"/>
    <col min="6914" max="6914" width="12.85546875" customWidth="1"/>
    <col min="6915" max="6915" width="8.42578125" customWidth="1"/>
    <col min="6917" max="6917" width="12.5703125" customWidth="1"/>
    <col min="7169" max="7169" width="25.7109375" customWidth="1"/>
    <col min="7170" max="7170" width="12.85546875" customWidth="1"/>
    <col min="7171" max="7171" width="8.42578125" customWidth="1"/>
    <col min="7173" max="7173" width="12.5703125" customWidth="1"/>
    <col min="7425" max="7425" width="25.7109375" customWidth="1"/>
    <col min="7426" max="7426" width="12.85546875" customWidth="1"/>
    <col min="7427" max="7427" width="8.42578125" customWidth="1"/>
    <col min="7429" max="7429" width="12.5703125" customWidth="1"/>
    <col min="7681" max="7681" width="25.7109375" customWidth="1"/>
    <col min="7682" max="7682" width="12.85546875" customWidth="1"/>
    <col min="7683" max="7683" width="8.42578125" customWidth="1"/>
    <col min="7685" max="7685" width="12.5703125" customWidth="1"/>
    <col min="7937" max="7937" width="25.7109375" customWidth="1"/>
    <col min="7938" max="7938" width="12.85546875" customWidth="1"/>
    <col min="7939" max="7939" width="8.42578125" customWidth="1"/>
    <col min="7941" max="7941" width="12.5703125" customWidth="1"/>
    <col min="8193" max="8193" width="25.7109375" customWidth="1"/>
    <col min="8194" max="8194" width="12.85546875" customWidth="1"/>
    <col min="8195" max="8195" width="8.42578125" customWidth="1"/>
    <col min="8197" max="8197" width="12.5703125" customWidth="1"/>
    <col min="8449" max="8449" width="25.7109375" customWidth="1"/>
    <col min="8450" max="8450" width="12.85546875" customWidth="1"/>
    <col min="8451" max="8451" width="8.42578125" customWidth="1"/>
    <col min="8453" max="8453" width="12.5703125" customWidth="1"/>
    <col min="8705" max="8705" width="25.7109375" customWidth="1"/>
    <col min="8706" max="8706" width="12.85546875" customWidth="1"/>
    <col min="8707" max="8707" width="8.42578125" customWidth="1"/>
    <col min="8709" max="8709" width="12.5703125" customWidth="1"/>
    <col min="8961" max="8961" width="25.7109375" customWidth="1"/>
    <col min="8962" max="8962" width="12.85546875" customWidth="1"/>
    <col min="8963" max="8963" width="8.42578125" customWidth="1"/>
    <col min="8965" max="8965" width="12.5703125" customWidth="1"/>
    <col min="9217" max="9217" width="25.7109375" customWidth="1"/>
    <col min="9218" max="9218" width="12.85546875" customWidth="1"/>
    <col min="9219" max="9219" width="8.42578125" customWidth="1"/>
    <col min="9221" max="9221" width="12.5703125" customWidth="1"/>
    <col min="9473" max="9473" width="25.7109375" customWidth="1"/>
    <col min="9474" max="9474" width="12.85546875" customWidth="1"/>
    <col min="9475" max="9475" width="8.42578125" customWidth="1"/>
    <col min="9477" max="9477" width="12.5703125" customWidth="1"/>
    <col min="9729" max="9729" width="25.7109375" customWidth="1"/>
    <col min="9730" max="9730" width="12.85546875" customWidth="1"/>
    <col min="9731" max="9731" width="8.42578125" customWidth="1"/>
    <col min="9733" max="9733" width="12.5703125" customWidth="1"/>
    <col min="9985" max="9985" width="25.7109375" customWidth="1"/>
    <col min="9986" max="9986" width="12.85546875" customWidth="1"/>
    <col min="9987" max="9987" width="8.42578125" customWidth="1"/>
    <col min="9989" max="9989" width="12.5703125" customWidth="1"/>
    <col min="10241" max="10241" width="25.7109375" customWidth="1"/>
    <col min="10242" max="10242" width="12.85546875" customWidth="1"/>
    <col min="10243" max="10243" width="8.42578125" customWidth="1"/>
    <col min="10245" max="10245" width="12.5703125" customWidth="1"/>
    <col min="10497" max="10497" width="25.7109375" customWidth="1"/>
    <col min="10498" max="10498" width="12.85546875" customWidth="1"/>
    <col min="10499" max="10499" width="8.42578125" customWidth="1"/>
    <col min="10501" max="10501" width="12.5703125" customWidth="1"/>
    <col min="10753" max="10753" width="25.7109375" customWidth="1"/>
    <col min="10754" max="10754" width="12.85546875" customWidth="1"/>
    <col min="10755" max="10755" width="8.42578125" customWidth="1"/>
    <col min="10757" max="10757" width="12.5703125" customWidth="1"/>
    <col min="11009" max="11009" width="25.7109375" customWidth="1"/>
    <col min="11010" max="11010" width="12.85546875" customWidth="1"/>
    <col min="11011" max="11011" width="8.42578125" customWidth="1"/>
    <col min="11013" max="11013" width="12.5703125" customWidth="1"/>
    <col min="11265" max="11265" width="25.7109375" customWidth="1"/>
    <col min="11266" max="11266" width="12.85546875" customWidth="1"/>
    <col min="11267" max="11267" width="8.42578125" customWidth="1"/>
    <col min="11269" max="11269" width="12.5703125" customWidth="1"/>
    <col min="11521" max="11521" width="25.7109375" customWidth="1"/>
    <col min="11522" max="11522" width="12.85546875" customWidth="1"/>
    <col min="11523" max="11523" width="8.42578125" customWidth="1"/>
    <col min="11525" max="11525" width="12.5703125" customWidth="1"/>
    <col min="11777" max="11777" width="25.7109375" customWidth="1"/>
    <col min="11778" max="11778" width="12.85546875" customWidth="1"/>
    <col min="11779" max="11779" width="8.42578125" customWidth="1"/>
    <col min="11781" max="11781" width="12.5703125" customWidth="1"/>
    <col min="12033" max="12033" width="25.7109375" customWidth="1"/>
    <col min="12034" max="12034" width="12.85546875" customWidth="1"/>
    <col min="12035" max="12035" width="8.42578125" customWidth="1"/>
    <col min="12037" max="12037" width="12.5703125" customWidth="1"/>
    <col min="12289" max="12289" width="25.7109375" customWidth="1"/>
    <col min="12290" max="12290" width="12.85546875" customWidth="1"/>
    <col min="12291" max="12291" width="8.42578125" customWidth="1"/>
    <col min="12293" max="12293" width="12.5703125" customWidth="1"/>
    <col min="12545" max="12545" width="25.7109375" customWidth="1"/>
    <col min="12546" max="12546" width="12.85546875" customWidth="1"/>
    <col min="12547" max="12547" width="8.42578125" customWidth="1"/>
    <col min="12549" max="12549" width="12.5703125" customWidth="1"/>
    <col min="12801" max="12801" width="25.7109375" customWidth="1"/>
    <col min="12802" max="12802" width="12.85546875" customWidth="1"/>
    <col min="12803" max="12803" width="8.42578125" customWidth="1"/>
    <col min="12805" max="12805" width="12.5703125" customWidth="1"/>
    <col min="13057" max="13057" width="25.7109375" customWidth="1"/>
    <col min="13058" max="13058" width="12.85546875" customWidth="1"/>
    <col min="13059" max="13059" width="8.42578125" customWidth="1"/>
    <col min="13061" max="13061" width="12.5703125" customWidth="1"/>
    <col min="13313" max="13313" width="25.7109375" customWidth="1"/>
    <col min="13314" max="13314" width="12.85546875" customWidth="1"/>
    <col min="13315" max="13315" width="8.42578125" customWidth="1"/>
    <col min="13317" max="13317" width="12.5703125" customWidth="1"/>
    <col min="13569" max="13569" width="25.7109375" customWidth="1"/>
    <col min="13570" max="13570" width="12.85546875" customWidth="1"/>
    <col min="13571" max="13571" width="8.42578125" customWidth="1"/>
    <col min="13573" max="13573" width="12.5703125" customWidth="1"/>
    <col min="13825" max="13825" width="25.7109375" customWidth="1"/>
    <col min="13826" max="13826" width="12.85546875" customWidth="1"/>
    <col min="13827" max="13827" width="8.42578125" customWidth="1"/>
    <col min="13829" max="13829" width="12.5703125" customWidth="1"/>
    <col min="14081" max="14081" width="25.7109375" customWidth="1"/>
    <col min="14082" max="14082" width="12.85546875" customWidth="1"/>
    <col min="14083" max="14083" width="8.42578125" customWidth="1"/>
    <col min="14085" max="14085" width="12.5703125" customWidth="1"/>
    <col min="14337" max="14337" width="25.7109375" customWidth="1"/>
    <col min="14338" max="14338" width="12.85546875" customWidth="1"/>
    <col min="14339" max="14339" width="8.42578125" customWidth="1"/>
    <col min="14341" max="14341" width="12.5703125" customWidth="1"/>
    <col min="14593" max="14593" width="25.7109375" customWidth="1"/>
    <col min="14594" max="14594" width="12.85546875" customWidth="1"/>
    <col min="14595" max="14595" width="8.42578125" customWidth="1"/>
    <col min="14597" max="14597" width="12.5703125" customWidth="1"/>
    <col min="14849" max="14849" width="25.7109375" customWidth="1"/>
    <col min="14850" max="14850" width="12.85546875" customWidth="1"/>
    <col min="14851" max="14851" width="8.42578125" customWidth="1"/>
    <col min="14853" max="14853" width="12.5703125" customWidth="1"/>
    <col min="15105" max="15105" width="25.7109375" customWidth="1"/>
    <col min="15106" max="15106" width="12.85546875" customWidth="1"/>
    <col min="15107" max="15107" width="8.42578125" customWidth="1"/>
    <col min="15109" max="15109" width="12.5703125" customWidth="1"/>
    <col min="15361" max="15361" width="25.7109375" customWidth="1"/>
    <col min="15362" max="15362" width="12.85546875" customWidth="1"/>
    <col min="15363" max="15363" width="8.42578125" customWidth="1"/>
    <col min="15365" max="15365" width="12.5703125" customWidth="1"/>
    <col min="15617" max="15617" width="25.7109375" customWidth="1"/>
    <col min="15618" max="15618" width="12.85546875" customWidth="1"/>
    <col min="15619" max="15619" width="8.42578125" customWidth="1"/>
    <col min="15621" max="15621" width="12.5703125" customWidth="1"/>
    <col min="15873" max="15873" width="25.7109375" customWidth="1"/>
    <col min="15874" max="15874" width="12.85546875" customWidth="1"/>
    <col min="15875" max="15875" width="8.42578125" customWidth="1"/>
    <col min="15877" max="15877" width="12.5703125" customWidth="1"/>
    <col min="16129" max="16129" width="25.7109375" customWidth="1"/>
    <col min="16130" max="16130" width="12.85546875" customWidth="1"/>
    <col min="16131" max="16131" width="8.42578125" customWidth="1"/>
    <col min="16133" max="16133" width="12.5703125" customWidth="1"/>
  </cols>
  <sheetData>
    <row r="1" spans="1:5">
      <c r="A1" s="1"/>
      <c r="E1" s="41"/>
    </row>
    <row r="2" spans="1:5">
      <c r="A2" s="1"/>
      <c r="E2" s="42"/>
    </row>
    <row r="3" spans="1:5">
      <c r="A3" s="1"/>
      <c r="D3" s="39"/>
      <c r="E3" s="75"/>
    </row>
    <row r="4" spans="1:5">
      <c r="A4" s="1"/>
      <c r="D4" s="39"/>
      <c r="E4" s="33"/>
    </row>
    <row r="5" spans="1:5" ht="16.5" customHeight="1">
      <c r="A5" s="1"/>
      <c r="B5" s="76"/>
      <c r="C5" s="77"/>
      <c r="D5" s="78"/>
      <c r="E5" s="79"/>
    </row>
    <row r="6" spans="1:5">
      <c r="A6" s="80"/>
      <c r="B6" s="81"/>
      <c r="C6" s="82"/>
      <c r="D6" s="39"/>
      <c r="E6" s="33"/>
    </row>
    <row r="7" spans="1:5" hidden="1">
      <c r="A7" s="16"/>
      <c r="B7" s="81"/>
      <c r="C7" s="82"/>
      <c r="D7" s="39"/>
      <c r="E7" s="33"/>
    </row>
    <row r="8" spans="1:5" hidden="1">
      <c r="A8" s="16"/>
      <c r="B8" s="81"/>
      <c r="C8" s="82"/>
      <c r="D8" s="39"/>
      <c r="E8" s="33"/>
    </row>
    <row r="9" spans="1:5" hidden="1">
      <c r="A9" s="16"/>
      <c r="B9" s="81"/>
      <c r="C9" s="82"/>
      <c r="D9" s="39"/>
      <c r="E9" s="33"/>
    </row>
    <row r="10" spans="1:5" hidden="1">
      <c r="A10" s="16"/>
      <c r="B10" s="81"/>
      <c r="C10" s="82"/>
      <c r="D10" s="39"/>
      <c r="E10" s="33"/>
    </row>
    <row r="11" spans="1:5">
      <c r="A11" s="16"/>
      <c r="B11" s="81"/>
      <c r="C11" s="82"/>
      <c r="D11" s="39"/>
      <c r="E11" s="33"/>
    </row>
    <row r="12" spans="1:5" hidden="1">
      <c r="A12" s="16"/>
      <c r="B12" s="81"/>
      <c r="C12" s="82"/>
      <c r="D12" s="39"/>
      <c r="E12" s="33"/>
    </row>
    <row r="13" spans="1:5" hidden="1">
      <c r="A13" s="16"/>
      <c r="B13" s="81"/>
      <c r="C13" s="82"/>
      <c r="D13" s="39"/>
      <c r="E13" s="33"/>
    </row>
    <row r="14" spans="1:5" hidden="1">
      <c r="A14" s="16"/>
      <c r="B14" s="81"/>
      <c r="C14" s="82"/>
      <c r="D14" s="39"/>
      <c r="E14" s="33"/>
    </row>
    <row r="15" spans="1:5">
      <c r="A15" s="16"/>
      <c r="B15" s="81"/>
      <c r="C15" s="82"/>
      <c r="D15" s="39"/>
      <c r="E15" s="33"/>
    </row>
    <row r="16" spans="1:5" hidden="1">
      <c r="A16" s="16"/>
      <c r="B16" s="81"/>
      <c r="C16" s="82"/>
      <c r="D16" s="39"/>
      <c r="E16" s="33"/>
    </row>
    <row r="17" spans="1:5" hidden="1">
      <c r="A17" s="16"/>
      <c r="B17" s="81"/>
      <c r="C17" s="82"/>
      <c r="D17" s="39"/>
      <c r="E17" s="33"/>
    </row>
    <row r="18" spans="1:5" hidden="1">
      <c r="A18" s="16"/>
      <c r="B18" s="81"/>
      <c r="C18" s="82"/>
      <c r="D18" s="39"/>
      <c r="E18" s="33"/>
    </row>
    <row r="19" spans="1:5">
      <c r="A19" s="16"/>
      <c r="B19" s="81"/>
      <c r="C19" s="82"/>
      <c r="D19" s="39"/>
      <c r="E19" s="33"/>
    </row>
    <row r="20" spans="1:5" hidden="1">
      <c r="A20" s="16"/>
      <c r="B20" s="81"/>
      <c r="C20" s="82"/>
      <c r="D20" s="39"/>
      <c r="E20" s="33"/>
    </row>
    <row r="21" spans="1:5">
      <c r="A21" s="16"/>
      <c r="B21" s="81"/>
      <c r="C21" s="82"/>
      <c r="D21" s="39"/>
      <c r="E21" s="33"/>
    </row>
    <row r="22" spans="1:5" hidden="1">
      <c r="A22" s="16"/>
      <c r="B22" s="81"/>
      <c r="C22" s="82"/>
      <c r="D22" s="39"/>
      <c r="E22" s="33"/>
    </row>
    <row r="23" spans="1:5" hidden="1">
      <c r="A23" s="16"/>
      <c r="B23" s="81"/>
      <c r="C23" s="82"/>
      <c r="D23" s="39"/>
      <c r="E23" s="33"/>
    </row>
    <row r="24" spans="1:5" hidden="1">
      <c r="A24" s="16"/>
      <c r="B24" s="81"/>
      <c r="C24" s="82"/>
      <c r="D24" s="39"/>
      <c r="E24" s="33"/>
    </row>
    <row r="25" spans="1:5" hidden="1">
      <c r="A25" s="16"/>
      <c r="B25" s="81"/>
      <c r="C25" s="82"/>
      <c r="D25" s="39"/>
      <c r="E25" s="33"/>
    </row>
    <row r="26" spans="1:5">
      <c r="A26" s="16"/>
      <c r="B26" s="81"/>
      <c r="C26" s="82"/>
      <c r="D26" s="39"/>
      <c r="E26" s="33"/>
    </row>
    <row r="27" spans="1:5" hidden="1">
      <c r="A27" s="16"/>
      <c r="B27" s="81"/>
      <c r="C27" s="82"/>
      <c r="D27" s="39"/>
      <c r="E27" s="33"/>
    </row>
    <row r="28" spans="1:5" hidden="1">
      <c r="A28" s="16"/>
      <c r="B28" s="81"/>
      <c r="C28" s="82"/>
      <c r="D28" s="39"/>
      <c r="E28" s="33"/>
    </row>
    <row r="29" spans="1:5">
      <c r="A29" s="16"/>
      <c r="B29" s="81"/>
      <c r="C29" s="82"/>
      <c r="D29" s="39"/>
      <c r="E29" s="33"/>
    </row>
    <row r="30" spans="1:5">
      <c r="A30" s="16"/>
      <c r="B30" s="81"/>
      <c r="C30" s="82"/>
      <c r="D30" s="39"/>
      <c r="E30" s="33"/>
    </row>
    <row r="31" spans="1:5">
      <c r="A31" s="16"/>
      <c r="B31" s="81"/>
      <c r="C31" s="82"/>
      <c r="D31" s="39"/>
      <c r="E31" s="33"/>
    </row>
    <row r="32" spans="1:5" hidden="1">
      <c r="A32" s="16"/>
      <c r="B32" s="81"/>
      <c r="C32" s="82"/>
      <c r="D32" s="39"/>
      <c r="E32" s="33"/>
    </row>
    <row r="33" spans="1:5">
      <c r="A33" s="16"/>
      <c r="B33" s="81"/>
      <c r="C33" s="82"/>
      <c r="D33" s="39"/>
      <c r="E33" s="33"/>
    </row>
    <row r="34" spans="1:5" hidden="1">
      <c r="A34" s="16"/>
      <c r="B34" s="81"/>
      <c r="C34" s="82"/>
      <c r="D34" s="39"/>
      <c r="E34" s="33"/>
    </row>
    <row r="35" spans="1:5">
      <c r="A35" s="16"/>
      <c r="B35" s="81"/>
      <c r="C35" s="82"/>
      <c r="D35" s="39"/>
      <c r="E35" s="33"/>
    </row>
    <row r="36" spans="1:5" hidden="1">
      <c r="A36" s="16"/>
      <c r="B36" s="81"/>
      <c r="C36" s="82"/>
      <c r="D36" s="39"/>
      <c r="E36" s="33"/>
    </row>
    <row r="37" spans="1:5">
      <c r="A37" s="16"/>
      <c r="B37" s="81"/>
      <c r="C37" s="82"/>
      <c r="D37" s="39"/>
      <c r="E37" s="33"/>
    </row>
    <row r="38" spans="1:5" hidden="1">
      <c r="A38" s="16"/>
      <c r="B38" s="81"/>
      <c r="C38" s="82"/>
      <c r="D38" s="39"/>
      <c r="E38" s="33"/>
    </row>
    <row r="39" spans="1:5" hidden="1">
      <c r="A39" s="16"/>
      <c r="B39" s="81"/>
      <c r="C39" s="82"/>
      <c r="D39" s="39"/>
      <c r="E39" s="33"/>
    </row>
    <row r="40" spans="1:5" hidden="1">
      <c r="A40" s="16"/>
      <c r="B40" s="81"/>
      <c r="C40" s="82"/>
      <c r="D40" s="39"/>
      <c r="E40" s="33"/>
    </row>
    <row r="41" spans="1:5">
      <c r="A41" s="16"/>
      <c r="B41" s="81"/>
      <c r="C41" s="82"/>
      <c r="D41" s="39"/>
      <c r="E41" s="33"/>
    </row>
    <row r="42" spans="1:5" hidden="1">
      <c r="A42" s="16"/>
      <c r="B42" s="81"/>
      <c r="C42" s="82"/>
      <c r="D42" s="39"/>
      <c r="E42" s="33"/>
    </row>
    <row r="43" spans="1:5" hidden="1">
      <c r="A43" s="16"/>
      <c r="B43" s="81"/>
      <c r="C43" s="82"/>
      <c r="D43" s="39"/>
      <c r="E43" s="33"/>
    </row>
    <row r="44" spans="1:5">
      <c r="A44" s="16"/>
      <c r="B44" s="81"/>
      <c r="C44" s="82"/>
      <c r="D44" s="39"/>
      <c r="E44" s="33"/>
    </row>
    <row r="45" spans="1:5" hidden="1">
      <c r="A45" s="16"/>
      <c r="B45" s="81"/>
      <c r="C45" s="82"/>
      <c r="D45" s="39"/>
      <c r="E45" s="33"/>
    </row>
    <row r="46" spans="1:5" hidden="1">
      <c r="A46" s="16"/>
      <c r="B46" s="81"/>
      <c r="C46" s="82"/>
      <c r="D46" s="39"/>
      <c r="E46" s="33"/>
    </row>
    <row r="47" spans="1:5" hidden="1">
      <c r="A47" s="16"/>
      <c r="B47" s="81"/>
      <c r="C47" s="82"/>
      <c r="D47" s="39"/>
      <c r="E47" s="33"/>
    </row>
    <row r="48" spans="1:5">
      <c r="A48" s="16"/>
      <c r="B48" s="81"/>
      <c r="C48" s="82"/>
      <c r="D48" s="39"/>
      <c r="E48" s="33"/>
    </row>
    <row r="49" spans="1:5" hidden="1">
      <c r="A49" s="16"/>
      <c r="B49" s="81"/>
      <c r="C49" s="82"/>
      <c r="D49" s="39"/>
      <c r="E49" s="33"/>
    </row>
    <row r="50" spans="1:5">
      <c r="A50" s="16"/>
      <c r="B50" s="81"/>
      <c r="C50" s="82"/>
      <c r="D50" s="39"/>
      <c r="E50" s="33"/>
    </row>
    <row r="51" spans="1:5">
      <c r="A51" s="16"/>
      <c r="B51" s="81"/>
      <c r="C51" s="82"/>
      <c r="D51" s="39"/>
      <c r="E51" s="33"/>
    </row>
    <row r="52" spans="1:5" hidden="1">
      <c r="A52" s="16"/>
      <c r="B52" s="81"/>
      <c r="C52" s="82"/>
      <c r="D52" s="39"/>
      <c r="E52" s="33"/>
    </row>
    <row r="53" spans="1:5" hidden="1">
      <c r="A53" s="16"/>
      <c r="B53" s="81"/>
      <c r="C53" s="82"/>
      <c r="D53" s="39"/>
      <c r="E53" s="33"/>
    </row>
    <row r="54" spans="1:5" hidden="1">
      <c r="A54" s="16"/>
      <c r="B54" s="81"/>
      <c r="C54" s="82"/>
      <c r="D54" s="39"/>
      <c r="E54" s="33"/>
    </row>
    <row r="55" spans="1:5">
      <c r="A55" s="16"/>
      <c r="B55" s="81"/>
      <c r="C55" s="82"/>
      <c r="D55" s="39"/>
      <c r="E55" s="33"/>
    </row>
    <row r="56" spans="1:5" hidden="1">
      <c r="A56" s="16"/>
      <c r="B56" s="81"/>
      <c r="C56" s="82"/>
      <c r="D56" s="39"/>
      <c r="E56" s="33"/>
    </row>
    <row r="57" spans="1:5">
      <c r="A57" s="16"/>
      <c r="B57" s="81"/>
      <c r="C57" s="82"/>
      <c r="D57" s="39"/>
      <c r="E57" s="33"/>
    </row>
    <row r="58" spans="1:5">
      <c r="A58" s="16"/>
      <c r="B58" s="81"/>
      <c r="C58" s="82"/>
      <c r="D58" s="39"/>
      <c r="E58" s="33"/>
    </row>
    <row r="59" spans="1:5">
      <c r="A59" s="16"/>
      <c r="B59" s="81"/>
      <c r="C59" s="82"/>
      <c r="D59" s="39"/>
      <c r="E59" s="33"/>
    </row>
    <row r="60" spans="1:5" hidden="1">
      <c r="A60" s="16"/>
      <c r="B60" s="81"/>
      <c r="C60" s="82"/>
      <c r="D60" s="39"/>
      <c r="E60" s="33"/>
    </row>
    <row r="61" spans="1:5" hidden="1">
      <c r="A61" s="16"/>
      <c r="B61" s="81"/>
      <c r="C61" s="82"/>
      <c r="D61" s="39"/>
      <c r="E61" s="33"/>
    </row>
    <row r="62" spans="1:5">
      <c r="A62" s="16"/>
      <c r="B62" s="81"/>
      <c r="C62" s="82"/>
      <c r="D62" s="39"/>
      <c r="E62" s="33"/>
    </row>
    <row r="63" spans="1:5">
      <c r="A63" s="16"/>
      <c r="B63" s="81"/>
      <c r="C63" s="82"/>
      <c r="D63" s="39"/>
      <c r="E63" s="33"/>
    </row>
    <row r="64" spans="1:5" hidden="1">
      <c r="A64" s="16"/>
      <c r="B64" s="81"/>
      <c r="C64" s="82"/>
      <c r="D64" s="39"/>
      <c r="E64" s="33"/>
    </row>
    <row r="65" spans="1:5" hidden="1">
      <c r="A65" s="16"/>
      <c r="B65" s="81"/>
      <c r="C65" s="82"/>
      <c r="D65" s="39"/>
      <c r="E65" s="33"/>
    </row>
    <row r="66" spans="1:5" hidden="1">
      <c r="A66" s="16"/>
      <c r="B66" s="81"/>
      <c r="C66" s="82"/>
      <c r="D66" s="39"/>
      <c r="E66" s="33"/>
    </row>
    <row r="67" spans="1:5">
      <c r="A67" s="16"/>
      <c r="B67" s="81"/>
      <c r="C67" s="82"/>
      <c r="D67" s="39"/>
      <c r="E67" s="33"/>
    </row>
    <row r="68" spans="1:5" hidden="1">
      <c r="A68" s="16"/>
      <c r="B68" s="81"/>
      <c r="C68" s="82"/>
      <c r="D68" s="39"/>
      <c r="E68" s="33"/>
    </row>
    <row r="69" spans="1:5" hidden="1">
      <c r="A69" s="16"/>
      <c r="B69" s="81"/>
      <c r="C69" s="82"/>
      <c r="D69" s="39"/>
      <c r="E69" s="33"/>
    </row>
    <row r="70" spans="1:5">
      <c r="A70" s="16"/>
      <c r="B70" s="81"/>
      <c r="C70" s="82"/>
      <c r="D70" s="39"/>
      <c r="E70" s="33"/>
    </row>
    <row r="71" spans="1:5" hidden="1">
      <c r="A71" s="16"/>
      <c r="B71" s="81"/>
      <c r="C71" s="82"/>
      <c r="D71" s="39"/>
      <c r="E71" s="33"/>
    </row>
    <row r="72" spans="1:5" hidden="1">
      <c r="A72" s="16"/>
      <c r="B72" s="81"/>
      <c r="C72" s="82"/>
      <c r="D72" s="39"/>
      <c r="E72" s="33"/>
    </row>
    <row r="73" spans="1:5" hidden="1">
      <c r="A73" s="16"/>
      <c r="B73" s="81"/>
      <c r="C73" s="82"/>
      <c r="D73" s="39"/>
      <c r="E73" s="33"/>
    </row>
    <row r="74" spans="1:5" hidden="1">
      <c r="A74" s="16"/>
      <c r="B74" s="81"/>
      <c r="C74" s="82"/>
      <c r="D74" s="39"/>
      <c r="E74" s="33"/>
    </row>
    <row r="75" spans="1:5">
      <c r="A75" s="16"/>
      <c r="B75" s="81"/>
      <c r="C75" s="82"/>
      <c r="D75" s="39"/>
      <c r="E75" s="33"/>
    </row>
    <row r="76" spans="1:5">
      <c r="A76" s="16"/>
      <c r="B76" s="83"/>
      <c r="C76" s="84"/>
      <c r="D76" s="39"/>
      <c r="E76" s="33"/>
    </row>
    <row r="77" spans="1:5" hidden="1">
      <c r="A77" s="16"/>
      <c r="B77" s="83"/>
      <c r="C77" s="84"/>
      <c r="D77" s="39"/>
      <c r="E77" s="33"/>
    </row>
    <row r="78" spans="1:5" hidden="1">
      <c r="A78" s="16"/>
      <c r="B78" s="83"/>
      <c r="C78" s="84"/>
      <c r="D78" s="39"/>
      <c r="E78" s="33"/>
    </row>
    <row r="79" spans="1:5">
      <c r="A79" s="16"/>
      <c r="B79" s="26"/>
      <c r="C79" s="27"/>
      <c r="D79" s="39"/>
      <c r="E79" s="33"/>
    </row>
    <row r="80" spans="1:5">
      <c r="A80" s="1"/>
      <c r="B80" s="26"/>
      <c r="C80" s="27"/>
      <c r="D80" s="39"/>
      <c r="E80" s="33"/>
    </row>
    <row r="81" spans="1:5" hidden="1">
      <c r="A81" s="16"/>
      <c r="B81" s="81"/>
      <c r="C81" s="81"/>
      <c r="D81" s="39"/>
      <c r="E81" s="33"/>
    </row>
    <row r="82" spans="1:5" hidden="1">
      <c r="A82" s="16"/>
      <c r="B82" s="81"/>
      <c r="C82" s="81"/>
      <c r="D82" s="39"/>
      <c r="E82" s="33"/>
    </row>
    <row r="83" spans="1:5">
      <c r="A83" s="16"/>
      <c r="B83" s="81"/>
      <c r="C83" s="81"/>
      <c r="D83" s="39"/>
      <c r="E83" s="33"/>
    </row>
    <row r="84" spans="1:5" hidden="1">
      <c r="A84" s="16"/>
      <c r="B84" s="81"/>
      <c r="C84" s="81"/>
      <c r="D84" s="39"/>
      <c r="E84" s="33"/>
    </row>
    <row r="85" spans="1:5">
      <c r="A85" s="16"/>
      <c r="B85" s="26"/>
      <c r="C85" s="27"/>
      <c r="D85" s="39"/>
      <c r="E85" s="33"/>
    </row>
    <row r="86" spans="1:5">
      <c r="A86" s="1"/>
      <c r="B86" s="26"/>
      <c r="C86" s="27"/>
      <c r="D86" s="39"/>
      <c r="E86" s="33"/>
    </row>
    <row r="87" spans="1:5" hidden="1">
      <c r="A87" s="16"/>
      <c r="B87" s="81"/>
      <c r="C87" s="82"/>
      <c r="D87" s="39"/>
      <c r="E87" s="33"/>
    </row>
    <row r="88" spans="1:5" hidden="1">
      <c r="A88" s="16"/>
      <c r="B88" s="81"/>
      <c r="C88" s="82"/>
      <c r="D88" s="39"/>
      <c r="E88" s="33"/>
    </row>
    <row r="89" spans="1:5">
      <c r="A89" s="16"/>
      <c r="B89" s="81"/>
      <c r="C89" s="82"/>
      <c r="D89" s="39"/>
      <c r="E89" s="33"/>
    </row>
    <row r="90" spans="1:5">
      <c r="A90" s="16"/>
      <c r="B90" s="81"/>
      <c r="C90" s="82"/>
      <c r="D90" s="39"/>
      <c r="E90" s="33"/>
    </row>
    <row r="91" spans="1:5" hidden="1">
      <c r="A91" s="16"/>
      <c r="B91" s="81"/>
      <c r="C91" s="82"/>
      <c r="D91" s="39"/>
      <c r="E91" s="33"/>
    </row>
    <row r="92" spans="1:5" hidden="1">
      <c r="A92" s="16"/>
      <c r="B92" s="81"/>
      <c r="C92" s="82"/>
      <c r="D92" s="39"/>
      <c r="E92" s="33"/>
    </row>
    <row r="93" spans="1:5">
      <c r="A93" s="16"/>
      <c r="B93" s="81"/>
      <c r="C93" s="82"/>
      <c r="D93" s="39"/>
      <c r="E93" s="33"/>
    </row>
    <row r="94" spans="1:5" hidden="1">
      <c r="A94" s="16"/>
      <c r="B94" s="81"/>
      <c r="C94" s="82"/>
      <c r="D94" s="39"/>
      <c r="E94" s="33"/>
    </row>
    <row r="95" spans="1:5" ht="14.25" hidden="1" customHeight="1">
      <c r="A95" s="16"/>
      <c r="B95" s="81"/>
      <c r="C95" s="82"/>
      <c r="D95" s="39"/>
      <c r="E95" s="33"/>
    </row>
    <row r="96" spans="1:5">
      <c r="A96" s="16"/>
      <c r="B96" s="81"/>
      <c r="C96" s="82"/>
      <c r="D96" s="39"/>
      <c r="E96" s="33"/>
    </row>
    <row r="97" spans="1:5" hidden="1">
      <c r="A97" s="16"/>
      <c r="B97" s="81"/>
      <c r="C97" s="82"/>
      <c r="D97" s="39"/>
      <c r="E97" s="33"/>
    </row>
    <row r="98" spans="1:5">
      <c r="A98" s="16"/>
      <c r="B98" s="81"/>
      <c r="C98" s="82"/>
      <c r="D98" s="39"/>
      <c r="E98" s="33"/>
    </row>
    <row r="99" spans="1:5" hidden="1">
      <c r="A99" s="16"/>
      <c r="B99" s="81"/>
      <c r="C99" s="82"/>
      <c r="D99" s="39"/>
      <c r="E99" s="33"/>
    </row>
    <row r="100" spans="1:5" hidden="1">
      <c r="A100" s="16"/>
      <c r="B100" s="81"/>
      <c r="C100" s="82"/>
      <c r="D100" s="39"/>
      <c r="E100" s="33"/>
    </row>
    <row r="101" spans="1:5" hidden="1">
      <c r="A101" s="16"/>
      <c r="B101" s="81"/>
      <c r="C101" s="82"/>
      <c r="D101" s="39"/>
      <c r="E101" s="33"/>
    </row>
    <row r="102" spans="1:5">
      <c r="A102" s="16"/>
      <c r="B102" s="81"/>
      <c r="C102" s="82"/>
      <c r="D102" s="39"/>
      <c r="E102" s="33"/>
    </row>
    <row r="103" spans="1:5">
      <c r="A103" s="16"/>
      <c r="B103" s="83"/>
      <c r="C103" s="84"/>
      <c r="D103" s="39"/>
      <c r="E103" s="33"/>
    </row>
    <row r="104" spans="1:5">
      <c r="A104" s="16"/>
      <c r="B104" s="26"/>
      <c r="C104" s="27"/>
      <c r="D104" s="39"/>
      <c r="E104" s="33"/>
    </row>
    <row r="105" spans="1:5" hidden="1">
      <c r="A105" s="16"/>
      <c r="B105" s="81"/>
      <c r="C105" s="82"/>
      <c r="D105" s="39"/>
      <c r="E105" s="33"/>
    </row>
    <row r="106" spans="1:5" hidden="1">
      <c r="A106" s="16"/>
      <c r="B106" s="81"/>
      <c r="C106" s="82"/>
      <c r="D106" s="39"/>
      <c r="E106" s="33"/>
    </row>
    <row r="107" spans="1:5" hidden="1">
      <c r="A107" s="16"/>
      <c r="B107" s="81"/>
      <c r="C107" s="82"/>
      <c r="D107" s="39"/>
      <c r="E107" s="33"/>
    </row>
    <row r="108" spans="1:5" hidden="1">
      <c r="A108" s="16"/>
      <c r="B108" s="81"/>
      <c r="C108" s="82"/>
      <c r="D108" s="39"/>
      <c r="E108" s="33"/>
    </row>
    <row r="109" spans="1:5" hidden="1">
      <c r="A109" s="16"/>
      <c r="B109" s="81"/>
      <c r="C109" s="82"/>
      <c r="D109" s="39"/>
      <c r="E109" s="33"/>
    </row>
    <row r="110" spans="1:5" hidden="1">
      <c r="A110" s="16"/>
      <c r="B110" s="83"/>
      <c r="C110" s="84"/>
      <c r="D110" s="39"/>
      <c r="E110" s="33"/>
    </row>
    <row r="111" spans="1:5" hidden="1">
      <c r="A111" s="16"/>
      <c r="B111" s="26"/>
      <c r="C111" s="27"/>
      <c r="D111" s="39"/>
      <c r="E111" s="33"/>
    </row>
    <row r="112" spans="1:5" hidden="1">
      <c r="A112" s="16"/>
      <c r="B112" s="81"/>
      <c r="C112" s="82"/>
      <c r="D112" s="39"/>
      <c r="E112" s="33"/>
    </row>
    <row r="113" spans="1:5" hidden="1">
      <c r="A113" s="16"/>
      <c r="B113" s="81"/>
      <c r="C113" s="82"/>
      <c r="D113" s="39"/>
      <c r="E113" s="33"/>
    </row>
    <row r="114" spans="1:5" hidden="1">
      <c r="A114" s="16"/>
      <c r="B114" s="81"/>
      <c r="C114" s="82"/>
      <c r="D114" s="39"/>
      <c r="E114" s="33"/>
    </row>
    <row r="115" spans="1:5">
      <c r="A115" s="16"/>
      <c r="B115" s="81"/>
      <c r="C115" s="82"/>
      <c r="D115" s="39"/>
      <c r="E115" s="33"/>
    </row>
    <row r="116" spans="1:5">
      <c r="A116" s="16"/>
      <c r="B116" s="81"/>
      <c r="C116" s="82"/>
      <c r="D116" s="39"/>
      <c r="E116" s="33"/>
    </row>
    <row r="117" spans="1:5">
      <c r="A117" s="16"/>
      <c r="B117" s="81"/>
      <c r="C117" s="82"/>
      <c r="D117" s="39"/>
      <c r="E117" s="33"/>
    </row>
    <row r="118" spans="1:5">
      <c r="A118" s="16"/>
      <c r="B118" s="83"/>
      <c r="C118" s="84"/>
      <c r="D118" s="39"/>
      <c r="E118" s="33"/>
    </row>
    <row r="119" spans="1:5" hidden="1">
      <c r="A119" s="16"/>
      <c r="B119" s="83"/>
      <c r="C119" s="84"/>
      <c r="D119" s="39"/>
      <c r="E119" s="33"/>
    </row>
    <row r="120" spans="1:5" hidden="1">
      <c r="A120" s="16"/>
      <c r="B120" s="83"/>
      <c r="C120" s="84"/>
      <c r="D120" s="39"/>
      <c r="E120" s="33"/>
    </row>
    <row r="121" spans="1:5" hidden="1">
      <c r="A121" s="16"/>
      <c r="B121" s="83"/>
      <c r="C121" s="84"/>
      <c r="D121" s="39"/>
      <c r="E121" s="33"/>
    </row>
    <row r="122" spans="1:5">
      <c r="A122" s="16"/>
      <c r="B122" s="83"/>
      <c r="C122" s="84"/>
      <c r="D122" s="39"/>
      <c r="E122" s="33"/>
    </row>
    <row r="123" spans="1:5" hidden="1">
      <c r="A123" s="16"/>
      <c r="B123" s="83"/>
      <c r="C123" s="84"/>
      <c r="D123" s="39"/>
      <c r="E123" s="33"/>
    </row>
    <row r="124" spans="1:5">
      <c r="A124" s="16"/>
      <c r="B124" s="26"/>
      <c r="C124" s="27"/>
      <c r="D124" s="39"/>
      <c r="E124" s="33"/>
    </row>
    <row r="125" spans="1:5">
      <c r="B125" s="81"/>
      <c r="C125" s="82"/>
      <c r="D125" s="39"/>
      <c r="E125" s="33"/>
    </row>
    <row r="126" spans="1:5">
      <c r="A126" s="16"/>
      <c r="B126" s="26"/>
      <c r="C126" s="27"/>
      <c r="D126" s="39"/>
      <c r="E126" s="33"/>
    </row>
    <row r="127" spans="1:5">
      <c r="B127" s="26"/>
      <c r="C127" s="27"/>
      <c r="D127" s="39"/>
      <c r="E127" s="33"/>
    </row>
    <row r="128" spans="1:5">
      <c r="A128" s="85"/>
      <c r="B128" s="2"/>
      <c r="C128" s="1"/>
      <c r="D128" s="40"/>
      <c r="E128" s="86"/>
    </row>
  </sheetData>
  <pageMargins left="0.7" right="0.7" top="0.3" bottom="0.34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E129"/>
  <sheetViews>
    <sheetView workbookViewId="0">
      <selection activeCell="B29" sqref="B29"/>
    </sheetView>
  </sheetViews>
  <sheetFormatPr baseColWidth="10" defaultRowHeight="15"/>
  <cols>
    <col min="1" max="1" width="27.28515625" customWidth="1"/>
    <col min="2" max="2" width="11.85546875" customWidth="1"/>
    <col min="4" max="4" width="12.42578125" style="39" customWidth="1"/>
    <col min="5" max="5" width="17.42578125" style="39" customWidth="1"/>
    <col min="257" max="257" width="25.140625" customWidth="1"/>
    <col min="258" max="258" width="11.85546875" customWidth="1"/>
    <col min="260" max="260" width="12.42578125" customWidth="1"/>
    <col min="261" max="261" width="17.42578125" customWidth="1"/>
    <col min="513" max="513" width="25.140625" customWidth="1"/>
    <col min="514" max="514" width="11.85546875" customWidth="1"/>
    <col min="516" max="516" width="12.42578125" customWidth="1"/>
    <col min="517" max="517" width="17.42578125" customWidth="1"/>
    <col min="769" max="769" width="25.140625" customWidth="1"/>
    <col min="770" max="770" width="11.85546875" customWidth="1"/>
    <col min="772" max="772" width="12.42578125" customWidth="1"/>
    <col min="773" max="773" width="17.42578125" customWidth="1"/>
    <col min="1025" max="1025" width="25.140625" customWidth="1"/>
    <col min="1026" max="1026" width="11.85546875" customWidth="1"/>
    <col min="1028" max="1028" width="12.42578125" customWidth="1"/>
    <col min="1029" max="1029" width="17.42578125" customWidth="1"/>
    <col min="1281" max="1281" width="25.140625" customWidth="1"/>
    <col min="1282" max="1282" width="11.85546875" customWidth="1"/>
    <col min="1284" max="1284" width="12.42578125" customWidth="1"/>
    <col min="1285" max="1285" width="17.42578125" customWidth="1"/>
    <col min="1537" max="1537" width="25.140625" customWidth="1"/>
    <col min="1538" max="1538" width="11.85546875" customWidth="1"/>
    <col min="1540" max="1540" width="12.42578125" customWidth="1"/>
    <col min="1541" max="1541" width="17.42578125" customWidth="1"/>
    <col min="1793" max="1793" width="25.140625" customWidth="1"/>
    <col min="1794" max="1794" width="11.85546875" customWidth="1"/>
    <col min="1796" max="1796" width="12.42578125" customWidth="1"/>
    <col min="1797" max="1797" width="17.42578125" customWidth="1"/>
    <col min="2049" max="2049" width="25.140625" customWidth="1"/>
    <col min="2050" max="2050" width="11.85546875" customWidth="1"/>
    <col min="2052" max="2052" width="12.42578125" customWidth="1"/>
    <col min="2053" max="2053" width="17.42578125" customWidth="1"/>
    <col min="2305" max="2305" width="25.140625" customWidth="1"/>
    <col min="2306" max="2306" width="11.85546875" customWidth="1"/>
    <col min="2308" max="2308" width="12.42578125" customWidth="1"/>
    <col min="2309" max="2309" width="17.42578125" customWidth="1"/>
    <col min="2561" max="2561" width="25.140625" customWidth="1"/>
    <col min="2562" max="2562" width="11.85546875" customWidth="1"/>
    <col min="2564" max="2564" width="12.42578125" customWidth="1"/>
    <col min="2565" max="2565" width="17.42578125" customWidth="1"/>
    <col min="2817" max="2817" width="25.140625" customWidth="1"/>
    <col min="2818" max="2818" width="11.85546875" customWidth="1"/>
    <col min="2820" max="2820" width="12.42578125" customWidth="1"/>
    <col min="2821" max="2821" width="17.42578125" customWidth="1"/>
    <col min="3073" max="3073" width="25.140625" customWidth="1"/>
    <col min="3074" max="3074" width="11.85546875" customWidth="1"/>
    <col min="3076" max="3076" width="12.42578125" customWidth="1"/>
    <col min="3077" max="3077" width="17.42578125" customWidth="1"/>
    <col min="3329" max="3329" width="25.140625" customWidth="1"/>
    <col min="3330" max="3330" width="11.85546875" customWidth="1"/>
    <col min="3332" max="3332" width="12.42578125" customWidth="1"/>
    <col min="3333" max="3333" width="17.42578125" customWidth="1"/>
    <col min="3585" max="3585" width="25.140625" customWidth="1"/>
    <col min="3586" max="3586" width="11.85546875" customWidth="1"/>
    <col min="3588" max="3588" width="12.42578125" customWidth="1"/>
    <col min="3589" max="3589" width="17.42578125" customWidth="1"/>
    <col min="3841" max="3841" width="25.140625" customWidth="1"/>
    <col min="3842" max="3842" width="11.85546875" customWidth="1"/>
    <col min="3844" max="3844" width="12.42578125" customWidth="1"/>
    <col min="3845" max="3845" width="17.42578125" customWidth="1"/>
    <col min="4097" max="4097" width="25.140625" customWidth="1"/>
    <col min="4098" max="4098" width="11.85546875" customWidth="1"/>
    <col min="4100" max="4100" width="12.42578125" customWidth="1"/>
    <col min="4101" max="4101" width="17.42578125" customWidth="1"/>
    <col min="4353" max="4353" width="25.140625" customWidth="1"/>
    <col min="4354" max="4354" width="11.85546875" customWidth="1"/>
    <col min="4356" max="4356" width="12.42578125" customWidth="1"/>
    <col min="4357" max="4357" width="17.42578125" customWidth="1"/>
    <col min="4609" max="4609" width="25.140625" customWidth="1"/>
    <col min="4610" max="4610" width="11.85546875" customWidth="1"/>
    <col min="4612" max="4612" width="12.42578125" customWidth="1"/>
    <col min="4613" max="4613" width="17.42578125" customWidth="1"/>
    <col min="4865" max="4865" width="25.140625" customWidth="1"/>
    <col min="4866" max="4866" width="11.85546875" customWidth="1"/>
    <col min="4868" max="4868" width="12.42578125" customWidth="1"/>
    <col min="4869" max="4869" width="17.42578125" customWidth="1"/>
    <col min="5121" max="5121" width="25.140625" customWidth="1"/>
    <col min="5122" max="5122" width="11.85546875" customWidth="1"/>
    <col min="5124" max="5124" width="12.42578125" customWidth="1"/>
    <col min="5125" max="5125" width="17.42578125" customWidth="1"/>
    <col min="5377" max="5377" width="25.140625" customWidth="1"/>
    <col min="5378" max="5378" width="11.85546875" customWidth="1"/>
    <col min="5380" max="5380" width="12.42578125" customWidth="1"/>
    <col min="5381" max="5381" width="17.42578125" customWidth="1"/>
    <col min="5633" max="5633" width="25.140625" customWidth="1"/>
    <col min="5634" max="5634" width="11.85546875" customWidth="1"/>
    <col min="5636" max="5636" width="12.42578125" customWidth="1"/>
    <col min="5637" max="5637" width="17.42578125" customWidth="1"/>
    <col min="5889" max="5889" width="25.140625" customWidth="1"/>
    <col min="5890" max="5890" width="11.85546875" customWidth="1"/>
    <col min="5892" max="5892" width="12.42578125" customWidth="1"/>
    <col min="5893" max="5893" width="17.42578125" customWidth="1"/>
    <col min="6145" max="6145" width="25.140625" customWidth="1"/>
    <col min="6146" max="6146" width="11.85546875" customWidth="1"/>
    <col min="6148" max="6148" width="12.42578125" customWidth="1"/>
    <col min="6149" max="6149" width="17.42578125" customWidth="1"/>
    <col min="6401" max="6401" width="25.140625" customWidth="1"/>
    <col min="6402" max="6402" width="11.85546875" customWidth="1"/>
    <col min="6404" max="6404" width="12.42578125" customWidth="1"/>
    <col min="6405" max="6405" width="17.42578125" customWidth="1"/>
    <col min="6657" max="6657" width="25.140625" customWidth="1"/>
    <col min="6658" max="6658" width="11.85546875" customWidth="1"/>
    <col min="6660" max="6660" width="12.42578125" customWidth="1"/>
    <col min="6661" max="6661" width="17.42578125" customWidth="1"/>
    <col min="6913" max="6913" width="25.140625" customWidth="1"/>
    <col min="6914" max="6914" width="11.85546875" customWidth="1"/>
    <col min="6916" max="6916" width="12.42578125" customWidth="1"/>
    <col min="6917" max="6917" width="17.42578125" customWidth="1"/>
    <col min="7169" max="7169" width="25.140625" customWidth="1"/>
    <col min="7170" max="7170" width="11.85546875" customWidth="1"/>
    <col min="7172" max="7172" width="12.42578125" customWidth="1"/>
    <col min="7173" max="7173" width="17.42578125" customWidth="1"/>
    <col min="7425" max="7425" width="25.140625" customWidth="1"/>
    <col min="7426" max="7426" width="11.85546875" customWidth="1"/>
    <col min="7428" max="7428" width="12.42578125" customWidth="1"/>
    <col min="7429" max="7429" width="17.42578125" customWidth="1"/>
    <col min="7681" max="7681" width="25.140625" customWidth="1"/>
    <col min="7682" max="7682" width="11.85546875" customWidth="1"/>
    <col min="7684" max="7684" width="12.42578125" customWidth="1"/>
    <col min="7685" max="7685" width="17.42578125" customWidth="1"/>
    <col min="7937" max="7937" width="25.140625" customWidth="1"/>
    <col min="7938" max="7938" width="11.85546875" customWidth="1"/>
    <col min="7940" max="7940" width="12.42578125" customWidth="1"/>
    <col min="7941" max="7941" width="17.42578125" customWidth="1"/>
    <col min="8193" max="8193" width="25.140625" customWidth="1"/>
    <col min="8194" max="8194" width="11.85546875" customWidth="1"/>
    <col min="8196" max="8196" width="12.42578125" customWidth="1"/>
    <col min="8197" max="8197" width="17.42578125" customWidth="1"/>
    <col min="8449" max="8449" width="25.140625" customWidth="1"/>
    <col min="8450" max="8450" width="11.85546875" customWidth="1"/>
    <col min="8452" max="8452" width="12.42578125" customWidth="1"/>
    <col min="8453" max="8453" width="17.42578125" customWidth="1"/>
    <col min="8705" max="8705" width="25.140625" customWidth="1"/>
    <col min="8706" max="8706" width="11.85546875" customWidth="1"/>
    <col min="8708" max="8708" width="12.42578125" customWidth="1"/>
    <col min="8709" max="8709" width="17.42578125" customWidth="1"/>
    <col min="8961" max="8961" width="25.140625" customWidth="1"/>
    <col min="8962" max="8962" width="11.85546875" customWidth="1"/>
    <col min="8964" max="8964" width="12.42578125" customWidth="1"/>
    <col min="8965" max="8965" width="17.42578125" customWidth="1"/>
    <col min="9217" max="9217" width="25.140625" customWidth="1"/>
    <col min="9218" max="9218" width="11.85546875" customWidth="1"/>
    <col min="9220" max="9220" width="12.42578125" customWidth="1"/>
    <col min="9221" max="9221" width="17.42578125" customWidth="1"/>
    <col min="9473" max="9473" width="25.140625" customWidth="1"/>
    <col min="9474" max="9474" width="11.85546875" customWidth="1"/>
    <col min="9476" max="9476" width="12.42578125" customWidth="1"/>
    <col min="9477" max="9477" width="17.42578125" customWidth="1"/>
    <col min="9729" max="9729" width="25.140625" customWidth="1"/>
    <col min="9730" max="9730" width="11.85546875" customWidth="1"/>
    <col min="9732" max="9732" width="12.42578125" customWidth="1"/>
    <col min="9733" max="9733" width="17.42578125" customWidth="1"/>
    <col min="9985" max="9985" width="25.140625" customWidth="1"/>
    <col min="9986" max="9986" width="11.85546875" customWidth="1"/>
    <col min="9988" max="9988" width="12.42578125" customWidth="1"/>
    <col min="9989" max="9989" width="17.42578125" customWidth="1"/>
    <col min="10241" max="10241" width="25.140625" customWidth="1"/>
    <col min="10242" max="10242" width="11.85546875" customWidth="1"/>
    <col min="10244" max="10244" width="12.42578125" customWidth="1"/>
    <col min="10245" max="10245" width="17.42578125" customWidth="1"/>
    <col min="10497" max="10497" width="25.140625" customWidth="1"/>
    <col min="10498" max="10498" width="11.85546875" customWidth="1"/>
    <col min="10500" max="10500" width="12.42578125" customWidth="1"/>
    <col min="10501" max="10501" width="17.42578125" customWidth="1"/>
    <col min="10753" max="10753" width="25.140625" customWidth="1"/>
    <col min="10754" max="10754" width="11.85546875" customWidth="1"/>
    <col min="10756" max="10756" width="12.42578125" customWidth="1"/>
    <col min="10757" max="10757" width="17.42578125" customWidth="1"/>
    <col min="11009" max="11009" width="25.140625" customWidth="1"/>
    <col min="11010" max="11010" width="11.85546875" customWidth="1"/>
    <col min="11012" max="11012" width="12.42578125" customWidth="1"/>
    <col min="11013" max="11013" width="17.42578125" customWidth="1"/>
    <col min="11265" max="11265" width="25.140625" customWidth="1"/>
    <col min="11266" max="11266" width="11.85546875" customWidth="1"/>
    <col min="11268" max="11268" width="12.42578125" customWidth="1"/>
    <col min="11269" max="11269" width="17.42578125" customWidth="1"/>
    <col min="11521" max="11521" width="25.140625" customWidth="1"/>
    <col min="11522" max="11522" width="11.85546875" customWidth="1"/>
    <col min="11524" max="11524" width="12.42578125" customWidth="1"/>
    <col min="11525" max="11525" width="17.42578125" customWidth="1"/>
    <col min="11777" max="11777" width="25.140625" customWidth="1"/>
    <col min="11778" max="11778" width="11.85546875" customWidth="1"/>
    <col min="11780" max="11780" width="12.42578125" customWidth="1"/>
    <col min="11781" max="11781" width="17.42578125" customWidth="1"/>
    <col min="12033" max="12033" width="25.140625" customWidth="1"/>
    <col min="12034" max="12034" width="11.85546875" customWidth="1"/>
    <col min="12036" max="12036" width="12.42578125" customWidth="1"/>
    <col min="12037" max="12037" width="17.42578125" customWidth="1"/>
    <col min="12289" max="12289" width="25.140625" customWidth="1"/>
    <col min="12290" max="12290" width="11.85546875" customWidth="1"/>
    <col min="12292" max="12292" width="12.42578125" customWidth="1"/>
    <col min="12293" max="12293" width="17.42578125" customWidth="1"/>
    <col min="12545" max="12545" width="25.140625" customWidth="1"/>
    <col min="12546" max="12546" width="11.85546875" customWidth="1"/>
    <col min="12548" max="12548" width="12.42578125" customWidth="1"/>
    <col min="12549" max="12549" width="17.42578125" customWidth="1"/>
    <col min="12801" max="12801" width="25.140625" customWidth="1"/>
    <col min="12802" max="12802" width="11.85546875" customWidth="1"/>
    <col min="12804" max="12804" width="12.42578125" customWidth="1"/>
    <col min="12805" max="12805" width="17.42578125" customWidth="1"/>
    <col min="13057" max="13057" width="25.140625" customWidth="1"/>
    <col min="13058" max="13058" width="11.85546875" customWidth="1"/>
    <col min="13060" max="13060" width="12.42578125" customWidth="1"/>
    <col min="13061" max="13061" width="17.42578125" customWidth="1"/>
    <col min="13313" max="13313" width="25.140625" customWidth="1"/>
    <col min="13314" max="13314" width="11.85546875" customWidth="1"/>
    <col min="13316" max="13316" width="12.42578125" customWidth="1"/>
    <col min="13317" max="13317" width="17.42578125" customWidth="1"/>
    <col min="13569" max="13569" width="25.140625" customWidth="1"/>
    <col min="13570" max="13570" width="11.85546875" customWidth="1"/>
    <col min="13572" max="13572" width="12.42578125" customWidth="1"/>
    <col min="13573" max="13573" width="17.42578125" customWidth="1"/>
    <col min="13825" max="13825" width="25.140625" customWidth="1"/>
    <col min="13826" max="13826" width="11.85546875" customWidth="1"/>
    <col min="13828" max="13828" width="12.42578125" customWidth="1"/>
    <col min="13829" max="13829" width="17.42578125" customWidth="1"/>
    <col min="14081" max="14081" width="25.140625" customWidth="1"/>
    <col min="14082" max="14082" width="11.85546875" customWidth="1"/>
    <col min="14084" max="14084" width="12.42578125" customWidth="1"/>
    <col min="14085" max="14085" width="17.42578125" customWidth="1"/>
    <col min="14337" max="14337" width="25.140625" customWidth="1"/>
    <col min="14338" max="14338" width="11.85546875" customWidth="1"/>
    <col min="14340" max="14340" width="12.42578125" customWidth="1"/>
    <col min="14341" max="14341" width="17.42578125" customWidth="1"/>
    <col min="14593" max="14593" width="25.140625" customWidth="1"/>
    <col min="14594" max="14594" width="11.85546875" customWidth="1"/>
    <col min="14596" max="14596" width="12.42578125" customWidth="1"/>
    <col min="14597" max="14597" width="17.42578125" customWidth="1"/>
    <col min="14849" max="14849" width="25.140625" customWidth="1"/>
    <col min="14850" max="14850" width="11.85546875" customWidth="1"/>
    <col min="14852" max="14852" width="12.42578125" customWidth="1"/>
    <col min="14853" max="14853" width="17.42578125" customWidth="1"/>
    <col min="15105" max="15105" width="25.140625" customWidth="1"/>
    <col min="15106" max="15106" width="11.85546875" customWidth="1"/>
    <col min="15108" max="15108" width="12.42578125" customWidth="1"/>
    <col min="15109" max="15109" width="17.42578125" customWidth="1"/>
    <col min="15361" max="15361" width="25.140625" customWidth="1"/>
    <col min="15362" max="15362" width="11.85546875" customWidth="1"/>
    <col min="15364" max="15364" width="12.42578125" customWidth="1"/>
    <col min="15365" max="15365" width="17.42578125" customWidth="1"/>
    <col min="15617" max="15617" width="25.140625" customWidth="1"/>
    <col min="15618" max="15618" width="11.85546875" customWidth="1"/>
    <col min="15620" max="15620" width="12.42578125" customWidth="1"/>
    <col min="15621" max="15621" width="17.42578125" customWidth="1"/>
    <col min="15873" max="15873" width="25.140625" customWidth="1"/>
    <col min="15874" max="15874" width="11.85546875" customWidth="1"/>
    <col min="15876" max="15876" width="12.42578125" customWidth="1"/>
    <col min="15877" max="15877" width="17.42578125" customWidth="1"/>
    <col min="16129" max="16129" width="25.140625" customWidth="1"/>
    <col min="16130" max="16130" width="11.85546875" customWidth="1"/>
    <col min="16132" max="16132" width="12.42578125" customWidth="1"/>
    <col min="16133" max="16133" width="17.42578125" customWidth="1"/>
  </cols>
  <sheetData>
    <row r="2" spans="1:5">
      <c r="B2" s="1"/>
    </row>
    <row r="4" spans="1:5">
      <c r="E4" s="41"/>
    </row>
    <row r="5" spans="1:5">
      <c r="B5" s="38"/>
    </row>
    <row r="6" spans="1:5">
      <c r="A6" s="1"/>
      <c r="B6" s="38"/>
      <c r="E6" s="42"/>
    </row>
    <row r="7" spans="1:5" ht="15.75" thickBot="1">
      <c r="A7" s="1"/>
      <c r="B7" s="38"/>
      <c r="E7" s="43"/>
    </row>
    <row r="8" spans="1:5" ht="15.75" thickTop="1">
      <c r="A8" s="44"/>
      <c r="B8" s="45"/>
      <c r="C8" s="46"/>
      <c r="D8" s="47"/>
      <c r="E8" s="48"/>
    </row>
    <row r="9" spans="1:5">
      <c r="A9" s="49"/>
      <c r="B9" s="50"/>
      <c r="C9" s="51"/>
      <c r="D9" s="52"/>
      <c r="E9" s="53"/>
    </row>
    <row r="10" spans="1:5">
      <c r="A10" s="54"/>
      <c r="B10" s="55"/>
      <c r="C10" s="56"/>
      <c r="D10" s="57"/>
      <c r="E10" s="58"/>
    </row>
    <row r="11" spans="1:5">
      <c r="A11" s="54"/>
      <c r="B11" s="55"/>
      <c r="C11" s="56"/>
      <c r="D11" s="57"/>
      <c r="E11" s="58"/>
    </row>
    <row r="12" spans="1:5" hidden="1">
      <c r="A12" s="54"/>
      <c r="B12" s="55"/>
      <c r="C12" s="56"/>
      <c r="D12" s="57"/>
      <c r="E12" s="58"/>
    </row>
    <row r="13" spans="1:5">
      <c r="A13" s="54"/>
      <c r="B13" s="55"/>
      <c r="C13" s="56"/>
      <c r="D13" s="52"/>
      <c r="E13" s="59"/>
    </row>
    <row r="14" spans="1:5">
      <c r="A14" s="49"/>
      <c r="B14" s="60"/>
      <c r="C14" s="61"/>
      <c r="D14" s="57"/>
      <c r="E14" s="62"/>
    </row>
    <row r="15" spans="1:5">
      <c r="A15" s="49"/>
      <c r="B15" s="50"/>
      <c r="C15" s="63"/>
      <c r="D15" s="57"/>
      <c r="E15" s="62"/>
    </row>
    <row r="16" spans="1:5">
      <c r="A16" s="54"/>
      <c r="B16" s="55"/>
      <c r="C16" s="64"/>
      <c r="D16" s="65"/>
      <c r="E16" s="66"/>
    </row>
    <row r="17" spans="1:5" hidden="1">
      <c r="A17" s="54"/>
      <c r="B17" s="55"/>
      <c r="C17" s="64"/>
      <c r="D17" s="65"/>
      <c r="E17" s="58"/>
    </row>
    <row r="18" spans="1:5">
      <c r="A18" s="67"/>
      <c r="B18" s="27"/>
      <c r="C18" s="27"/>
      <c r="D18" s="29"/>
      <c r="E18" s="58"/>
    </row>
    <row r="19" spans="1:5">
      <c r="A19" s="54"/>
      <c r="B19" s="27"/>
      <c r="C19" s="27"/>
      <c r="D19" s="29"/>
      <c r="E19" s="58"/>
    </row>
    <row r="20" spans="1:5">
      <c r="A20" s="54"/>
      <c r="B20" s="27"/>
      <c r="C20" s="27"/>
      <c r="D20" s="29"/>
      <c r="E20" s="58"/>
    </row>
    <row r="21" spans="1:5" hidden="1">
      <c r="A21" s="54"/>
      <c r="B21" s="34"/>
      <c r="C21" s="27"/>
      <c r="D21" s="29"/>
      <c r="E21" s="58"/>
    </row>
    <row r="22" spans="1:5">
      <c r="A22" s="54"/>
      <c r="B22" s="34"/>
      <c r="C22" s="27"/>
      <c r="D22" s="29"/>
      <c r="E22" s="58"/>
    </row>
    <row r="23" spans="1:5" ht="15.75" customHeight="1">
      <c r="A23" s="54"/>
      <c r="B23" s="34"/>
      <c r="C23" s="27"/>
      <c r="D23" s="29"/>
      <c r="E23" s="58"/>
    </row>
    <row r="24" spans="1:5">
      <c r="A24" s="54"/>
      <c r="B24" s="34"/>
      <c r="C24" s="27"/>
      <c r="D24" s="29"/>
      <c r="E24" s="58"/>
    </row>
    <row r="25" spans="1:5">
      <c r="A25" s="54"/>
      <c r="B25" s="34"/>
      <c r="C25" s="27"/>
      <c r="D25" s="29"/>
      <c r="E25" s="58"/>
    </row>
    <row r="26" spans="1:5">
      <c r="A26" s="54"/>
      <c r="B26" s="34"/>
      <c r="C26" s="27"/>
      <c r="D26" s="29"/>
      <c r="E26" s="58"/>
    </row>
    <row r="27" spans="1:5">
      <c r="A27" s="54"/>
      <c r="B27" s="34"/>
      <c r="C27" s="27"/>
      <c r="D27" s="29"/>
      <c r="E27" s="58"/>
    </row>
    <row r="28" spans="1:5">
      <c r="A28" s="54"/>
      <c r="B28" s="34"/>
      <c r="C28" s="27"/>
      <c r="D28" s="29"/>
      <c r="E28" s="58"/>
    </row>
    <row r="29" spans="1:5">
      <c r="A29" s="54"/>
      <c r="B29" s="34"/>
      <c r="C29" s="34"/>
      <c r="D29" s="29"/>
      <c r="E29" s="58"/>
    </row>
    <row r="30" spans="1:5">
      <c r="A30" s="54"/>
      <c r="B30" s="34"/>
      <c r="C30" s="27"/>
      <c r="D30" s="29"/>
      <c r="E30" s="58"/>
    </row>
    <row r="31" spans="1:5" hidden="1">
      <c r="A31" s="54"/>
      <c r="B31" s="34"/>
      <c r="C31" s="27"/>
      <c r="D31" s="29"/>
      <c r="E31" s="58"/>
    </row>
    <row r="32" spans="1:5">
      <c r="A32" s="54"/>
      <c r="B32" s="34"/>
      <c r="C32" s="27"/>
      <c r="D32" s="29"/>
      <c r="E32" s="58"/>
    </row>
    <row r="33" spans="1:5" hidden="1">
      <c r="A33" s="54"/>
      <c r="B33" s="34"/>
      <c r="C33" s="27"/>
      <c r="D33" s="29"/>
      <c r="E33" s="58"/>
    </row>
    <row r="34" spans="1:5">
      <c r="A34" s="54"/>
      <c r="B34" s="34"/>
      <c r="C34" s="27"/>
      <c r="D34" s="29"/>
      <c r="E34" s="58"/>
    </row>
    <row r="35" spans="1:5">
      <c r="A35" s="54"/>
      <c r="B35" s="34"/>
      <c r="C35" s="27"/>
      <c r="D35" s="29"/>
      <c r="E35" s="58"/>
    </row>
    <row r="36" spans="1:5" hidden="1">
      <c r="A36" s="54"/>
      <c r="B36" s="34"/>
      <c r="C36" s="27"/>
      <c r="D36" s="29"/>
      <c r="E36" s="58"/>
    </row>
    <row r="37" spans="1:5">
      <c r="A37" s="54"/>
      <c r="B37" s="34"/>
      <c r="C37" s="34"/>
      <c r="D37" s="29"/>
      <c r="E37" s="58"/>
    </row>
    <row r="38" spans="1:5">
      <c r="A38" s="54"/>
      <c r="B38" s="34"/>
      <c r="C38" s="27"/>
      <c r="D38" s="29"/>
      <c r="E38" s="58"/>
    </row>
    <row r="39" spans="1:5">
      <c r="A39" s="54"/>
      <c r="B39" s="34"/>
      <c r="C39" s="34"/>
      <c r="D39" s="29"/>
      <c r="E39" s="58"/>
    </row>
    <row r="40" spans="1:5" hidden="1">
      <c r="A40" s="54"/>
      <c r="B40" s="34"/>
      <c r="C40" s="34"/>
      <c r="D40" s="29"/>
      <c r="E40" s="58"/>
    </row>
    <row r="41" spans="1:5" hidden="1">
      <c r="A41" s="54"/>
      <c r="B41" s="34"/>
      <c r="C41" s="34"/>
      <c r="D41" s="29"/>
      <c r="E41" s="58"/>
    </row>
    <row r="42" spans="1:5">
      <c r="A42" s="54"/>
      <c r="B42" s="34"/>
      <c r="C42" s="34"/>
      <c r="D42" s="29"/>
      <c r="E42" s="58"/>
    </row>
    <row r="43" spans="1:5">
      <c r="A43" s="54"/>
      <c r="B43" s="34"/>
      <c r="C43" s="34"/>
      <c r="D43" s="29"/>
      <c r="E43" s="58"/>
    </row>
    <row r="44" spans="1:5">
      <c r="A44" s="54"/>
      <c r="B44" s="34"/>
      <c r="C44" s="34"/>
      <c r="D44" s="29"/>
      <c r="E44" s="58"/>
    </row>
    <row r="45" spans="1:5">
      <c r="A45" s="54"/>
      <c r="B45" s="34"/>
      <c r="C45" s="34"/>
      <c r="D45" s="29"/>
      <c r="E45" s="58"/>
    </row>
    <row r="46" spans="1:5">
      <c r="A46" s="54"/>
      <c r="B46" s="34"/>
      <c r="C46" s="34"/>
      <c r="D46" s="29"/>
      <c r="E46" s="58"/>
    </row>
    <row r="47" spans="1:5" hidden="1">
      <c r="A47" s="54"/>
      <c r="B47" s="34"/>
      <c r="C47" s="34"/>
      <c r="D47" s="29"/>
      <c r="E47" s="58"/>
    </row>
    <row r="48" spans="1:5">
      <c r="A48" s="54"/>
      <c r="B48" s="34"/>
      <c r="C48" s="34"/>
      <c r="D48" s="29"/>
      <c r="E48" s="58"/>
    </row>
    <row r="49" spans="1:5">
      <c r="A49" s="54"/>
      <c r="B49" s="34"/>
      <c r="C49" s="27"/>
      <c r="D49" s="29"/>
      <c r="E49" s="58"/>
    </row>
    <row r="50" spans="1:5">
      <c r="A50" s="54"/>
      <c r="B50" s="34"/>
      <c r="C50" s="34"/>
      <c r="D50" s="29"/>
      <c r="E50" s="58"/>
    </row>
    <row r="51" spans="1:5">
      <c r="A51" s="54"/>
      <c r="B51" s="34"/>
      <c r="C51" s="34"/>
      <c r="D51" s="29"/>
      <c r="E51" s="58"/>
    </row>
    <row r="52" spans="1:5" hidden="1">
      <c r="A52" s="54"/>
      <c r="B52" s="34"/>
      <c r="C52" s="34"/>
      <c r="D52" s="29"/>
      <c r="E52" s="58"/>
    </row>
    <row r="53" spans="1:5" hidden="1">
      <c r="A53" s="54"/>
      <c r="B53" s="34"/>
      <c r="C53" s="34"/>
      <c r="D53" s="29"/>
      <c r="E53" s="58"/>
    </row>
    <row r="54" spans="1:5">
      <c r="A54" s="54"/>
      <c r="B54" s="34"/>
      <c r="C54" s="34"/>
      <c r="D54" s="29"/>
      <c r="E54" s="58"/>
    </row>
    <row r="55" spans="1:5" hidden="1">
      <c r="A55" s="54"/>
      <c r="B55" s="34"/>
      <c r="C55" s="34"/>
      <c r="D55" s="29"/>
      <c r="E55" s="58"/>
    </row>
    <row r="56" spans="1:5">
      <c r="A56" s="54"/>
      <c r="B56" s="34"/>
      <c r="C56" s="34"/>
      <c r="D56" s="29"/>
      <c r="E56" s="58"/>
    </row>
    <row r="57" spans="1:5" hidden="1">
      <c r="A57" s="54"/>
      <c r="B57" s="34"/>
      <c r="C57" s="34"/>
      <c r="D57" s="29"/>
      <c r="E57" s="58"/>
    </row>
    <row r="58" spans="1:5" hidden="1">
      <c r="A58" s="54"/>
      <c r="B58" s="34"/>
      <c r="C58" s="34"/>
      <c r="D58" s="29"/>
      <c r="E58" s="58"/>
    </row>
    <row r="59" spans="1:5" hidden="1">
      <c r="A59" s="54"/>
      <c r="B59" s="34"/>
      <c r="C59" s="34"/>
      <c r="D59" s="29"/>
      <c r="E59" s="58"/>
    </row>
    <row r="60" spans="1:5">
      <c r="A60" s="54"/>
      <c r="B60" s="34"/>
      <c r="C60" s="27"/>
      <c r="D60" s="29"/>
      <c r="E60" s="58"/>
    </row>
    <row r="61" spans="1:5">
      <c r="A61" s="67"/>
      <c r="B61" s="27"/>
      <c r="C61" s="27"/>
      <c r="D61" s="68"/>
      <c r="E61" s="59"/>
    </row>
    <row r="62" spans="1:5">
      <c r="A62" s="67"/>
      <c r="B62" s="27"/>
      <c r="C62" s="27"/>
      <c r="D62" s="29"/>
      <c r="E62" s="58"/>
    </row>
    <row r="63" spans="1:5">
      <c r="A63" s="67"/>
      <c r="B63" s="27"/>
      <c r="C63" s="27"/>
      <c r="D63" s="69"/>
      <c r="E63" s="59"/>
    </row>
    <row r="64" spans="1:5" ht="15.75" thickBot="1">
      <c r="A64" s="70"/>
      <c r="B64" s="71"/>
      <c r="C64" s="71"/>
      <c r="D64" s="72"/>
      <c r="E64" s="73"/>
    </row>
    <row r="65" spans="1:5" ht="15.75" thickTop="1">
      <c r="A65" s="74"/>
      <c r="B65" s="46"/>
      <c r="C65" s="46"/>
      <c r="D65" s="47"/>
      <c r="E65" s="48"/>
    </row>
    <row r="66" spans="1:5">
      <c r="A66" s="49"/>
      <c r="B66" s="26"/>
      <c r="C66" s="27"/>
      <c r="D66" s="29"/>
      <c r="E66" s="58"/>
    </row>
    <row r="67" spans="1:5">
      <c r="A67" s="49"/>
      <c r="B67" s="50"/>
      <c r="C67" s="63"/>
      <c r="D67" s="52"/>
      <c r="E67" s="53"/>
    </row>
    <row r="68" spans="1:5">
      <c r="A68" s="67"/>
      <c r="B68" s="27"/>
      <c r="C68" s="27"/>
      <c r="D68" s="29"/>
      <c r="E68" s="58"/>
    </row>
    <row r="69" spans="1:5" hidden="1">
      <c r="A69" s="67"/>
      <c r="B69" s="27"/>
      <c r="C69" s="27"/>
      <c r="D69" s="29"/>
      <c r="E69" s="58"/>
    </row>
    <row r="70" spans="1:5" hidden="1">
      <c r="A70" s="67"/>
      <c r="B70" s="27"/>
      <c r="C70" s="27"/>
      <c r="D70" s="29"/>
      <c r="E70" s="58"/>
    </row>
    <row r="71" spans="1:5" hidden="1">
      <c r="A71" s="67"/>
      <c r="B71" s="27"/>
      <c r="C71" s="27"/>
      <c r="D71" s="29"/>
      <c r="E71" s="58"/>
    </row>
    <row r="72" spans="1:5" hidden="1">
      <c r="A72" s="67"/>
      <c r="B72" s="27"/>
      <c r="C72" s="34"/>
      <c r="D72" s="29"/>
      <c r="E72" s="58"/>
    </row>
    <row r="73" spans="1:5">
      <c r="A73" s="67"/>
      <c r="B73" s="27"/>
      <c r="C73" s="27"/>
      <c r="D73" s="68"/>
      <c r="E73" s="59"/>
    </row>
    <row r="74" spans="1:5">
      <c r="A74" s="67"/>
      <c r="B74" s="27"/>
      <c r="C74" s="27"/>
      <c r="D74" s="29"/>
      <c r="E74" s="58"/>
    </row>
    <row r="75" spans="1:5" hidden="1">
      <c r="A75" s="49"/>
      <c r="B75" s="27"/>
      <c r="C75" s="27"/>
      <c r="D75" s="29"/>
      <c r="E75" s="58"/>
    </row>
    <row r="76" spans="1:5" hidden="1">
      <c r="A76" s="67"/>
      <c r="B76" s="27"/>
      <c r="C76" s="27"/>
      <c r="D76" s="29"/>
      <c r="E76" s="58"/>
    </row>
    <row r="77" spans="1:5" hidden="1">
      <c r="A77" s="67"/>
      <c r="B77" s="27"/>
      <c r="C77" s="27"/>
      <c r="D77" s="68"/>
      <c r="E77" s="59"/>
    </row>
    <row r="78" spans="1:5" hidden="1">
      <c r="A78" s="67"/>
      <c r="B78" s="27"/>
      <c r="C78" s="27"/>
      <c r="D78" s="29"/>
      <c r="E78" s="58"/>
    </row>
    <row r="79" spans="1:5">
      <c r="A79" s="67"/>
      <c r="B79" s="27"/>
      <c r="C79" s="27"/>
      <c r="D79" s="69"/>
      <c r="E79" s="59"/>
    </row>
    <row r="80" spans="1:5" ht="15.75" thickBot="1">
      <c r="A80" s="70"/>
      <c r="B80" s="71"/>
      <c r="C80" s="71"/>
      <c r="D80" s="72"/>
      <c r="E80" s="73"/>
    </row>
    <row r="81" spans="1:5" ht="15.75" thickTop="1">
      <c r="A81" s="74"/>
      <c r="B81" s="46"/>
      <c r="C81" s="46"/>
      <c r="D81" s="47"/>
      <c r="E81" s="48"/>
    </row>
    <row r="82" spans="1:5">
      <c r="A82" s="49"/>
      <c r="B82" s="26"/>
      <c r="C82" s="27"/>
      <c r="D82" s="29"/>
      <c r="E82" s="58"/>
    </row>
    <row r="83" spans="1:5">
      <c r="A83" s="49"/>
      <c r="B83" s="50"/>
      <c r="C83" s="63"/>
      <c r="D83" s="52"/>
      <c r="E83" s="53"/>
    </row>
    <row r="84" spans="1:5" ht="15.75" customHeight="1">
      <c r="A84" s="67"/>
      <c r="B84" s="32"/>
      <c r="C84" s="27"/>
      <c r="D84" s="29"/>
      <c r="E84" s="58"/>
    </row>
    <row r="85" spans="1:5" hidden="1">
      <c r="A85" s="67"/>
      <c r="B85" s="27"/>
      <c r="C85" s="27"/>
      <c r="D85" s="29"/>
      <c r="E85" s="58"/>
    </row>
    <row r="86" spans="1:5" hidden="1">
      <c r="A86" s="67"/>
      <c r="B86" s="27"/>
      <c r="C86" s="27"/>
      <c r="D86" s="29"/>
      <c r="E86" s="58"/>
    </row>
    <row r="87" spans="1:5">
      <c r="A87" s="54"/>
      <c r="B87" s="27"/>
      <c r="C87" s="27"/>
      <c r="D87" s="29"/>
      <c r="E87" s="58"/>
    </row>
    <row r="88" spans="1:5" hidden="1">
      <c r="A88" s="67"/>
      <c r="B88" s="27"/>
      <c r="C88" s="27"/>
      <c r="D88" s="29"/>
      <c r="E88" s="58"/>
    </row>
    <row r="89" spans="1:5" hidden="1">
      <c r="A89" s="67"/>
      <c r="B89" s="27"/>
      <c r="C89" s="34"/>
      <c r="D89" s="29"/>
      <c r="E89" s="58"/>
    </row>
    <row r="90" spans="1:5" hidden="1">
      <c r="A90" s="67"/>
      <c r="B90" s="27"/>
      <c r="C90" s="34"/>
      <c r="D90" s="29"/>
      <c r="E90" s="58"/>
    </row>
    <row r="91" spans="1:5">
      <c r="A91" s="67"/>
      <c r="B91" s="34"/>
      <c r="C91" s="34"/>
      <c r="D91" s="29"/>
      <c r="E91" s="58"/>
    </row>
    <row r="92" spans="1:5">
      <c r="A92" s="67"/>
      <c r="B92" s="27"/>
      <c r="C92" s="34"/>
      <c r="D92" s="29"/>
      <c r="E92" s="58"/>
    </row>
    <row r="93" spans="1:5" hidden="1">
      <c r="A93" s="67"/>
      <c r="B93" s="34"/>
      <c r="C93" s="27"/>
      <c r="D93" s="29"/>
      <c r="E93" s="58"/>
    </row>
    <row r="94" spans="1:5" hidden="1">
      <c r="A94" s="67"/>
      <c r="B94" s="34"/>
      <c r="C94" s="27"/>
      <c r="D94" s="29"/>
      <c r="E94" s="58"/>
    </row>
    <row r="95" spans="1:5" hidden="1">
      <c r="A95" s="67"/>
      <c r="B95" s="27"/>
      <c r="C95" s="27"/>
      <c r="D95" s="29"/>
      <c r="E95" s="58"/>
    </row>
    <row r="96" spans="1:5" hidden="1">
      <c r="A96" s="67"/>
      <c r="B96" s="27"/>
      <c r="C96" s="34"/>
      <c r="D96" s="29"/>
      <c r="E96" s="58"/>
    </row>
    <row r="97" spans="1:5" hidden="1">
      <c r="A97" s="67"/>
      <c r="B97" s="27"/>
      <c r="C97" s="34"/>
      <c r="D97" s="29"/>
      <c r="E97" s="58"/>
    </row>
    <row r="98" spans="1:5" hidden="1">
      <c r="A98" s="67"/>
      <c r="B98" s="27"/>
      <c r="C98" s="34"/>
      <c r="D98" s="29"/>
      <c r="E98" s="58"/>
    </row>
    <row r="99" spans="1:5">
      <c r="A99" s="67"/>
      <c r="B99" s="27"/>
      <c r="C99" s="34"/>
      <c r="D99" s="29"/>
      <c r="E99" s="58"/>
    </row>
    <row r="100" spans="1:5" hidden="1">
      <c r="A100" s="67"/>
      <c r="B100" s="27"/>
      <c r="C100" s="34"/>
      <c r="D100" s="29"/>
      <c r="E100" s="58"/>
    </row>
    <row r="101" spans="1:5" hidden="1">
      <c r="A101" s="67"/>
      <c r="B101" s="27"/>
      <c r="C101" s="34"/>
      <c r="D101" s="29"/>
      <c r="E101" s="58"/>
    </row>
    <row r="102" spans="1:5">
      <c r="A102" s="67"/>
      <c r="B102" s="27"/>
      <c r="C102" s="34"/>
      <c r="D102" s="29"/>
      <c r="E102" s="58"/>
    </row>
    <row r="103" spans="1:5" hidden="1">
      <c r="A103" s="67"/>
      <c r="B103" s="27"/>
      <c r="C103" s="34"/>
      <c r="D103" s="29"/>
      <c r="E103" s="58"/>
    </row>
    <row r="104" spans="1:5" hidden="1">
      <c r="A104" s="67"/>
      <c r="B104" s="27"/>
      <c r="C104" s="34"/>
      <c r="D104" s="29"/>
      <c r="E104" s="58"/>
    </row>
    <row r="105" spans="1:5" hidden="1">
      <c r="A105" s="67"/>
      <c r="B105" s="27"/>
      <c r="C105" s="34"/>
      <c r="D105" s="29"/>
      <c r="E105" s="58"/>
    </row>
    <row r="106" spans="1:5">
      <c r="A106" s="67"/>
      <c r="B106" s="106"/>
      <c r="C106" s="34"/>
      <c r="D106" s="29"/>
      <c r="E106" s="58"/>
    </row>
    <row r="107" spans="1:5">
      <c r="A107" s="67"/>
      <c r="B107" s="27"/>
      <c r="C107" s="27"/>
      <c r="D107" s="29"/>
      <c r="E107" s="58"/>
    </row>
    <row r="108" spans="1:5">
      <c r="A108" s="67"/>
      <c r="B108" s="27"/>
      <c r="C108" s="27"/>
      <c r="D108" s="69"/>
      <c r="E108" s="59"/>
    </row>
    <row r="109" spans="1:5" ht="15.75" thickBot="1">
      <c r="A109" s="70"/>
      <c r="B109" s="71"/>
      <c r="C109" s="71"/>
      <c r="D109" s="72"/>
      <c r="E109" s="73"/>
    </row>
    <row r="110" spans="1:5" ht="12.75" customHeight="1" thickTop="1">
      <c r="A110" s="67"/>
      <c r="B110" s="27"/>
      <c r="C110" s="27"/>
      <c r="D110" s="29"/>
      <c r="E110" s="58"/>
    </row>
    <row r="111" spans="1:5">
      <c r="A111" s="49"/>
      <c r="B111" s="50"/>
      <c r="C111" s="63"/>
      <c r="D111" s="52"/>
      <c r="E111" s="53"/>
    </row>
    <row r="112" spans="1:5">
      <c r="A112" s="54"/>
      <c r="B112" s="55"/>
      <c r="C112" s="87"/>
      <c r="D112" s="57"/>
      <c r="E112" s="58"/>
    </row>
    <row r="113" spans="1:5">
      <c r="A113" s="54"/>
      <c r="B113" s="55"/>
      <c r="C113" s="87"/>
      <c r="D113" s="57"/>
      <c r="E113" s="58"/>
    </row>
    <row r="114" spans="1:5">
      <c r="A114" s="67"/>
      <c r="B114" s="27"/>
      <c r="C114" s="27"/>
      <c r="D114" s="29"/>
      <c r="E114" s="58"/>
    </row>
    <row r="115" spans="1:5">
      <c r="A115" s="67"/>
      <c r="B115" s="27"/>
      <c r="C115" s="27"/>
      <c r="D115" s="29"/>
      <c r="E115" s="58"/>
    </row>
    <row r="116" spans="1:5" hidden="1">
      <c r="A116" s="67"/>
      <c r="B116" s="27"/>
      <c r="C116" s="27"/>
      <c r="D116" s="29"/>
      <c r="E116" s="58"/>
    </row>
    <row r="117" spans="1:5" hidden="1">
      <c r="A117" s="67"/>
      <c r="B117" s="27"/>
      <c r="C117" s="27"/>
      <c r="D117" s="29"/>
      <c r="E117" s="58"/>
    </row>
    <row r="118" spans="1:5">
      <c r="A118" s="67"/>
      <c r="B118" s="34"/>
      <c r="C118" s="34"/>
      <c r="D118" s="29"/>
      <c r="E118" s="58"/>
    </row>
    <row r="119" spans="1:5">
      <c r="A119" s="54"/>
      <c r="B119" s="34"/>
      <c r="C119" s="27"/>
      <c r="D119" s="29"/>
      <c r="E119" s="58"/>
    </row>
    <row r="120" spans="1:5" hidden="1">
      <c r="A120" s="67"/>
      <c r="B120" s="34"/>
      <c r="C120" s="27"/>
      <c r="D120" s="29"/>
      <c r="E120" s="58"/>
    </row>
    <row r="121" spans="1:5" hidden="1">
      <c r="A121" s="67"/>
      <c r="B121" s="34"/>
      <c r="C121" s="27"/>
      <c r="D121" s="29"/>
      <c r="E121" s="58"/>
    </row>
    <row r="122" spans="1:5">
      <c r="A122" s="67"/>
      <c r="B122" s="34"/>
      <c r="C122" s="27"/>
      <c r="D122" s="29"/>
      <c r="E122" s="58"/>
    </row>
    <row r="123" spans="1:5">
      <c r="A123" s="67"/>
      <c r="B123" s="27"/>
      <c r="C123" s="27"/>
      <c r="D123" s="29"/>
      <c r="E123" s="58"/>
    </row>
    <row r="124" spans="1:5">
      <c r="A124" s="67"/>
      <c r="B124" s="27"/>
      <c r="C124" s="27"/>
      <c r="D124" s="69"/>
      <c r="E124" s="59"/>
    </row>
    <row r="125" spans="1:5" ht="15.75" thickBot="1">
      <c r="A125" s="67"/>
      <c r="B125" s="27"/>
      <c r="C125" s="27"/>
      <c r="D125" s="29"/>
      <c r="E125" s="58"/>
    </row>
    <row r="126" spans="1:5" ht="15.75" thickTop="1">
      <c r="A126" s="74"/>
      <c r="B126" s="46"/>
      <c r="C126" s="46"/>
      <c r="D126" s="47"/>
      <c r="E126" s="48"/>
    </row>
    <row r="127" spans="1:5">
      <c r="A127" s="67"/>
      <c r="B127" s="27"/>
      <c r="C127" s="23"/>
      <c r="D127" s="69"/>
      <c r="E127" s="59"/>
    </row>
    <row r="128" spans="1:5" ht="15.75" thickBot="1">
      <c r="A128" s="70"/>
      <c r="B128" s="71"/>
      <c r="C128" s="71"/>
      <c r="D128" s="72"/>
      <c r="E128" s="73"/>
    </row>
    <row r="129" customFormat="1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Deuda</vt:lpstr>
      <vt:lpstr>compras</vt:lpstr>
      <vt:lpstr>Alm Comparativo</vt:lpstr>
      <vt:lpstr>Alm Gral</vt:lpstr>
      <vt:lpstr>Cic</vt:lpstr>
      <vt:lpstr>Herr</vt:lpstr>
      <vt:lpstr>11 sur</vt:lpstr>
      <vt:lpstr>obrador</vt:lpstr>
      <vt:lpstr>'Alm Comparativo'!Área_de_impresión</vt:lpstr>
      <vt:lpstr>'Alm Gral'!Área_de_impresión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2012-12-12T22:54:23Z</cp:lastPrinted>
  <dcterms:created xsi:type="dcterms:W3CDTF">2011-09-01T14:27:58Z</dcterms:created>
  <dcterms:modified xsi:type="dcterms:W3CDTF">2013-02-06T14:43:30Z</dcterms:modified>
</cp:coreProperties>
</file>