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5195" windowHeight="7935"/>
  </bookViews>
  <sheets>
    <sheet name="compras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U69" i="1"/>
  <c r="F69"/>
  <c r="V69"/>
  <c r="H69"/>
  <c r="U68"/>
  <c r="F68"/>
  <c r="V68"/>
  <c r="H68"/>
  <c r="U67"/>
  <c r="F67"/>
  <c r="V67"/>
  <c r="H67"/>
  <c r="U66"/>
  <c r="V66"/>
  <c r="H66"/>
  <c r="U65"/>
  <c r="V65"/>
  <c r="H65"/>
  <c r="U64"/>
  <c r="F64"/>
  <c r="V64"/>
  <c r="H64"/>
  <c r="U63"/>
  <c r="V63"/>
  <c r="H63"/>
  <c r="U62"/>
  <c r="V62"/>
  <c r="H62"/>
  <c r="U61"/>
  <c r="V61"/>
  <c r="H61"/>
  <c r="F60"/>
  <c r="U60"/>
  <c r="V60"/>
  <c r="H60"/>
  <c r="F59"/>
  <c r="U59"/>
  <c r="V59"/>
  <c r="H59"/>
  <c r="U58"/>
  <c r="V58"/>
  <c r="H58"/>
  <c r="U57"/>
  <c r="F57"/>
  <c r="V57"/>
  <c r="H57"/>
  <c r="U56"/>
  <c r="V56"/>
  <c r="H56"/>
  <c r="U55"/>
  <c r="V55"/>
  <c r="H55"/>
  <c r="U54"/>
  <c r="F54"/>
  <c r="V54"/>
  <c r="H54"/>
  <c r="U52"/>
  <c r="V52"/>
  <c r="H52"/>
  <c r="U51"/>
  <c r="F51"/>
  <c r="V51"/>
  <c r="H51"/>
  <c r="U50"/>
  <c r="F50"/>
  <c r="V50"/>
  <c r="H50"/>
  <c r="U49"/>
  <c r="V49"/>
  <c r="H49"/>
  <c r="F48"/>
  <c r="U48"/>
  <c r="V48"/>
  <c r="H48"/>
  <c r="F47"/>
  <c r="U47"/>
  <c r="V47"/>
  <c r="H47"/>
  <c r="U46"/>
  <c r="V46"/>
  <c r="H46"/>
  <c r="U45"/>
  <c r="V45"/>
  <c r="H45"/>
  <c r="U44"/>
  <c r="V44"/>
  <c r="H44"/>
  <c r="U43"/>
  <c r="V43"/>
  <c r="H43"/>
  <c r="U42"/>
  <c r="V42"/>
  <c r="H42"/>
  <c r="U41"/>
  <c r="F41"/>
  <c r="V41"/>
  <c r="H41"/>
  <c r="U39"/>
  <c r="V39"/>
  <c r="H39"/>
  <c r="U38"/>
  <c r="V38"/>
  <c r="H38"/>
  <c r="U37"/>
  <c r="V37"/>
  <c r="H37"/>
  <c r="U36"/>
  <c r="V36"/>
  <c r="H36"/>
  <c r="U35"/>
  <c r="F35"/>
  <c r="V35"/>
  <c r="H35"/>
  <c r="U34"/>
  <c r="V34"/>
  <c r="H34"/>
  <c r="F33"/>
  <c r="U33"/>
  <c r="V33"/>
  <c r="H33"/>
  <c r="Q32"/>
  <c r="F32"/>
  <c r="U32"/>
  <c r="V32"/>
  <c r="H32"/>
  <c r="U31"/>
  <c r="F31"/>
  <c r="V31"/>
  <c r="H31"/>
  <c r="U30"/>
  <c r="F30"/>
  <c r="V30"/>
  <c r="H30"/>
  <c r="U29"/>
  <c r="F29"/>
  <c r="V29"/>
  <c r="H29"/>
  <c r="U28"/>
  <c r="F28"/>
  <c r="V28"/>
  <c r="H28"/>
  <c r="U27"/>
  <c r="F27"/>
  <c r="V27"/>
  <c r="H27"/>
  <c r="U26"/>
  <c r="V26"/>
  <c r="H26"/>
  <c r="U25"/>
  <c r="F25"/>
  <c r="V25"/>
  <c r="H25"/>
  <c r="U24"/>
  <c r="F24"/>
  <c r="V24"/>
  <c r="H24"/>
  <c r="U22"/>
  <c r="F22"/>
  <c r="V22"/>
  <c r="H22"/>
  <c r="U21"/>
  <c r="V21"/>
  <c r="H21"/>
  <c r="U20"/>
  <c r="F20"/>
  <c r="V20"/>
  <c r="H20"/>
  <c r="U19"/>
  <c r="F19"/>
  <c r="V19"/>
  <c r="H19"/>
  <c r="U18"/>
  <c r="F18"/>
  <c r="V18"/>
  <c r="H18"/>
  <c r="U17"/>
  <c r="V17"/>
  <c r="H17"/>
  <c r="U16"/>
  <c r="V16"/>
  <c r="H16"/>
  <c r="F15"/>
  <c r="U15"/>
  <c r="V15"/>
  <c r="H15"/>
  <c r="F14"/>
  <c r="U14"/>
  <c r="V14"/>
  <c r="H14"/>
  <c r="U13"/>
  <c r="F13"/>
  <c r="V13"/>
  <c r="H13"/>
  <c r="U12"/>
  <c r="F12"/>
  <c r="V12"/>
  <c r="H12"/>
  <c r="U11"/>
  <c r="V11"/>
  <c r="H11"/>
  <c r="U10"/>
  <c r="F10"/>
  <c r="V10"/>
  <c r="H10"/>
  <c r="U8"/>
  <c r="F8"/>
  <c r="V8"/>
  <c r="H8"/>
  <c r="U7"/>
  <c r="V7"/>
  <c r="H7"/>
  <c r="U6"/>
  <c r="F6"/>
  <c r="V6"/>
  <c r="H6"/>
  <c r="U5"/>
  <c r="F5"/>
  <c r="H5"/>
</calcChain>
</file>

<file path=xl/sharedStrings.xml><?xml version="1.0" encoding="utf-8"?>
<sst xmlns="http://schemas.openxmlformats.org/spreadsheetml/2006/main" count="420" uniqueCount="171">
  <si>
    <t>PROGRAMA DE COMPRAS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</si>
  <si>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</si>
  <si>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</si>
  <si>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</si>
  <si>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</si>
  <si>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</si>
  <si>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</si>
  <si>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</si>
  <si>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</si>
  <si>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</si>
  <si>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</si>
  <si>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</si>
  <si>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</si>
  <si>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</si>
  <si>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</si>
  <si>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</si>
  <si>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</si>
  <si>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</t>
  </si>
  <si>
    <t>tipo cambio</t>
  </si>
  <si>
    <t>com</t>
  </si>
  <si>
    <t>costo real</t>
  </si>
  <si>
    <t>$ carga total</t>
  </si>
  <si>
    <t>para pago</t>
  </si>
  <si>
    <t>Res delanteros</t>
  </si>
  <si>
    <t>Pulido</t>
  </si>
  <si>
    <t>Gerardo Pulido</t>
  </si>
  <si>
    <t>7 piezas</t>
  </si>
  <si>
    <t>vale</t>
  </si>
  <si>
    <t>ju</t>
  </si>
  <si>
    <t>Pernil con piel</t>
  </si>
  <si>
    <t>Seaboard</t>
  </si>
  <si>
    <t>Yarto</t>
  </si>
  <si>
    <t>24 combos</t>
  </si>
  <si>
    <t>fact 24189</t>
  </si>
  <si>
    <t>hoja+15 vi 25 jun</t>
  </si>
  <si>
    <t>Canal de cerdo</t>
  </si>
  <si>
    <t>Atosa</t>
  </si>
  <si>
    <t>135 canales</t>
  </si>
  <si>
    <t>fact 3020</t>
  </si>
  <si>
    <t>vi</t>
  </si>
  <si>
    <t>13 piezas</t>
  </si>
  <si>
    <t>RO 1 y 2</t>
  </si>
  <si>
    <t>sa</t>
  </si>
  <si>
    <t>fact 24213</t>
  </si>
  <si>
    <t>hoja+15 lu 28 jun</t>
  </si>
  <si>
    <t>GF</t>
  </si>
  <si>
    <t>Granjero Feliz</t>
  </si>
  <si>
    <t>151 canales</t>
  </si>
  <si>
    <t>fact 56150</t>
  </si>
  <si>
    <t>lu</t>
  </si>
  <si>
    <t>Res medias</t>
  </si>
  <si>
    <t>2 piezas</t>
  </si>
  <si>
    <t>RO 3</t>
  </si>
  <si>
    <t>Res patas</t>
  </si>
  <si>
    <t>4 piezas</t>
  </si>
  <si>
    <t>"    "</t>
  </si>
  <si>
    <t xml:space="preserve">  "   "</t>
  </si>
  <si>
    <t>Premium/farmland</t>
  </si>
  <si>
    <t>Farmland</t>
  </si>
  <si>
    <t>23 combos</t>
  </si>
  <si>
    <t>nl10-144</t>
  </si>
  <si>
    <t>Betos</t>
  </si>
  <si>
    <t>ma</t>
  </si>
  <si>
    <t>hoja+12 ju 1 jul</t>
  </si>
  <si>
    <t>Smithfield</t>
  </si>
  <si>
    <t>21 combos</t>
  </si>
  <si>
    <t>snl10-14</t>
  </si>
  <si>
    <t>hoja+10 ju 1 jul</t>
  </si>
  <si>
    <t>129 canales</t>
  </si>
  <si>
    <t>fact  3026  cic</t>
  </si>
  <si>
    <t>mi</t>
  </si>
  <si>
    <t>ALB</t>
  </si>
  <si>
    <t>8 piezas</t>
  </si>
  <si>
    <t>ro 5</t>
  </si>
  <si>
    <t>22 combos</t>
  </si>
  <si>
    <t>fact 24219</t>
  </si>
  <si>
    <t>hoja+15 vi 2 jul</t>
  </si>
  <si>
    <t>ro 6</t>
  </si>
  <si>
    <t>10 piezas</t>
  </si>
  <si>
    <t>ro 7</t>
  </si>
  <si>
    <t>CATM</t>
  </si>
  <si>
    <t>Andres Torres</t>
  </si>
  <si>
    <t>144 canales</t>
  </si>
  <si>
    <t>fact  01</t>
  </si>
  <si>
    <t>6 piezas</t>
  </si>
  <si>
    <t>ro 8</t>
  </si>
  <si>
    <t>fact 24256</t>
  </si>
  <si>
    <t>hoja+15 lu 5 jul</t>
  </si>
  <si>
    <t>Cuero s/grasa Belly</t>
  </si>
  <si>
    <t>680 cajas</t>
  </si>
  <si>
    <t>fact 24258</t>
  </si>
  <si>
    <t>fact 3037 nlp</t>
  </si>
  <si>
    <t>Res delantero</t>
  </si>
  <si>
    <t>ro 09</t>
  </si>
  <si>
    <t>Res media</t>
  </si>
  <si>
    <t>"   "</t>
  </si>
  <si>
    <t>fact 24287</t>
  </si>
  <si>
    <t>hoja+15 ju 8 jul</t>
  </si>
  <si>
    <t>.</t>
  </si>
  <si>
    <t>5 piezas</t>
  </si>
  <si>
    <t>ro 10</t>
  </si>
  <si>
    <t>ro 11</t>
  </si>
  <si>
    <t>nl10-148</t>
  </si>
  <si>
    <t>hoja+12 ju 8 jul</t>
  </si>
  <si>
    <t>20 combos</t>
  </si>
  <si>
    <t>snl10-15</t>
  </si>
  <si>
    <t>do</t>
  </si>
  <si>
    <t>hoja+10 ju 8 jul</t>
  </si>
  <si>
    <t xml:space="preserve">Canal de cerdo  </t>
  </si>
  <si>
    <t>150 canales</t>
  </si>
  <si>
    <t>fact 56527</t>
  </si>
  <si>
    <t>fact 24295</t>
  </si>
  <si>
    <t>hoja+15 vi 9 jul</t>
  </si>
  <si>
    <t>fact 02</t>
  </si>
  <si>
    <t>11 piezas</t>
  </si>
  <si>
    <t>ro 12</t>
  </si>
  <si>
    <t>"  "</t>
  </si>
  <si>
    <t>Contra</t>
  </si>
  <si>
    <t>Excel</t>
  </si>
  <si>
    <t>Carnes Victoria</t>
  </si>
  <si>
    <t>705 cajas</t>
  </si>
  <si>
    <t>fact 94869</t>
  </si>
  <si>
    <t>fact 24308</t>
  </si>
  <si>
    <t>hoja+15 lu 12 jul</t>
  </si>
  <si>
    <t>3 piezas</t>
  </si>
  <si>
    <t>ro 13</t>
  </si>
  <si>
    <t>131 canales</t>
  </si>
  <si>
    <t>fact 3042</t>
  </si>
  <si>
    <t>ro 14</t>
  </si>
  <si>
    <t>proledo</t>
  </si>
  <si>
    <t>GLP</t>
  </si>
  <si>
    <t>30 canales</t>
  </si>
  <si>
    <t>op 462</t>
  </si>
  <si>
    <t>nl10-149</t>
  </si>
  <si>
    <t>hoja+12 ju 15 jul</t>
  </si>
  <si>
    <t>snl10-16</t>
  </si>
  <si>
    <t>hoja+10 ju 15 jul</t>
  </si>
  <si>
    <t>Fact</t>
  </si>
  <si>
    <t>fact 24372</t>
  </si>
  <si>
    <t>hoja+15 vi 16 jul</t>
  </si>
  <si>
    <t>ro 15</t>
  </si>
  <si>
    <t>65 canales</t>
  </si>
  <si>
    <t>op 450</t>
  </si>
  <si>
    <t>fact 24383</t>
  </si>
  <si>
    <t>hoja+15 lu 19 jul</t>
  </si>
  <si>
    <t>ASO</t>
  </si>
  <si>
    <t>nv 488, 489</t>
  </si>
  <si>
    <t>fact     nlp</t>
  </si>
  <si>
    <t>ro 16</t>
  </si>
  <si>
    <t>Cabeza c/papada</t>
  </si>
  <si>
    <t>Premium Iowa</t>
  </si>
  <si>
    <t>Pedro Espinosa</t>
  </si>
  <si>
    <t>710 cajas</t>
  </si>
  <si>
    <t>fact 7549</t>
  </si>
  <si>
    <t>nl10-150</t>
  </si>
  <si>
    <t>hoja+12 ju 22 jul</t>
  </si>
  <si>
    <t>snl10-17</t>
  </si>
  <si>
    <t>hoja+10 ju 22 jul</t>
  </si>
  <si>
    <t>132 canales</t>
  </si>
  <si>
    <t>fact 57186</t>
  </si>
  <si>
    <t>ro 17</t>
  </si>
  <si>
    <t>Chuleta</t>
  </si>
  <si>
    <t>granel</t>
  </si>
  <si>
    <t>nv  602</t>
  </si>
  <si>
    <t>fact 24422</t>
  </si>
  <si>
    <t>hoja+16 vi 23 jul</t>
  </si>
  <si>
    <t xml:space="preserve">fact </t>
  </si>
  <si>
    <t>ro 18</t>
  </si>
  <si>
    <t>ro 19</t>
  </si>
  <si>
    <t>fact 24426</t>
  </si>
  <si>
    <t>hoja+16 lu 26 jul</t>
  </si>
</sst>
</file>

<file path=xl/styles.xml><?xml version="1.0" encoding="utf-8"?>
<styleSheet xmlns="http://schemas.openxmlformats.org/spreadsheetml/2006/main">
  <numFmts count="3">
    <numFmt numFmtId="170" formatCode="_-&quot;$&quot;* #,##0.00_-;\-&quot;$&quot;* #,##0.00_-;_-&quot;$&quot;* &quot;-&quot;??_-;_-@_-"/>
    <numFmt numFmtId="172" formatCode="&quot;$&quot;#,##0.00"/>
    <numFmt numFmtId="173" formatCode="&quot;$&quot;#,##0.000"/>
  </numFmts>
  <fonts count="4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17" fontId="0" fillId="0" borderId="0" xfId="0" applyNumberFormat="1" applyFill="1"/>
    <xf numFmtId="4" fontId="0" fillId="0" borderId="0" xfId="0" applyNumberFormat="1" applyFill="1"/>
    <xf numFmtId="3" fontId="0" fillId="0" borderId="0" xfId="0" applyNumberFormat="1" applyFill="1"/>
    <xf numFmtId="15" fontId="0" fillId="0" borderId="0" xfId="0" applyNumberFormat="1" applyFill="1"/>
    <xf numFmtId="172" fontId="0" fillId="0" borderId="0" xfId="0" applyNumberFormat="1" applyFill="1"/>
    <xf numFmtId="173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4" fontId="0" fillId="0" borderId="1" xfId="0" applyNumberFormat="1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72" fontId="0" fillId="0" borderId="1" xfId="0" applyNumberFormat="1" applyFill="1" applyBorder="1"/>
    <xf numFmtId="173" fontId="0" fillId="0" borderId="1" xfId="0" applyNumberFormat="1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0" xfId="0" applyFill="1" applyBorder="1"/>
    <xf numFmtId="4" fontId="0" fillId="0" borderId="0" xfId="0" applyNumberFormat="1" applyFill="1" applyBorder="1"/>
    <xf numFmtId="15" fontId="0" fillId="0" borderId="0" xfId="0" applyNumberFormat="1" applyFill="1" applyBorder="1"/>
    <xf numFmtId="172" fontId="0" fillId="0" borderId="0" xfId="0" applyNumberFormat="1" applyFill="1" applyBorder="1"/>
    <xf numFmtId="173" fontId="0" fillId="0" borderId="0" xfId="0" applyNumberFormat="1" applyFill="1" applyBorder="1"/>
    <xf numFmtId="173" fontId="1" fillId="0" borderId="0" xfId="0" applyNumberFormat="1" applyFont="1" applyFill="1" applyBorder="1"/>
    <xf numFmtId="14" fontId="0" fillId="0" borderId="4" xfId="0" applyNumberFormat="1" applyFill="1" applyBorder="1"/>
    <xf numFmtId="0" fontId="0" fillId="2" borderId="5" xfId="0" applyFill="1" applyBorder="1" applyAlignment="1">
      <alignment horizontal="center" textRotation="255"/>
    </xf>
    <xf numFmtId="0" fontId="0" fillId="2" borderId="4" xfId="0" applyFill="1" applyBorder="1" applyAlignment="1">
      <alignment horizontal="center" textRotation="255"/>
    </xf>
    <xf numFmtId="4" fontId="2" fillId="0" borderId="0" xfId="0" applyNumberFormat="1" applyFont="1" applyFill="1" applyBorder="1"/>
    <xf numFmtId="4" fontId="2" fillId="0" borderId="1" xfId="0" applyNumberFormat="1" applyFont="1" applyFill="1" applyBorder="1"/>
    <xf numFmtId="14" fontId="0" fillId="0" borderId="6" xfId="0" applyNumberFormat="1" applyFill="1" applyBorder="1"/>
    <xf numFmtId="4" fontId="0" fillId="0" borderId="7" xfId="0" applyNumberFormat="1" applyFill="1" applyBorder="1"/>
    <xf numFmtId="0" fontId="0" fillId="0" borderId="7" xfId="0" applyFill="1" applyBorder="1"/>
    <xf numFmtId="172" fontId="0" fillId="0" borderId="7" xfId="0" applyNumberFormat="1" applyFill="1" applyBorder="1"/>
    <xf numFmtId="0" fontId="0" fillId="4" borderId="0" xfId="0" applyFill="1" applyBorder="1"/>
    <xf numFmtId="172" fontId="0" fillId="0" borderId="0" xfId="0" applyNumberFormat="1"/>
    <xf numFmtId="0" fontId="0" fillId="0" borderId="8" xfId="0" applyFill="1" applyBorder="1"/>
    <xf numFmtId="0" fontId="0" fillId="5" borderId="4" xfId="0" applyFill="1" applyBorder="1" applyAlignment="1">
      <alignment textRotation="255"/>
    </xf>
    <xf numFmtId="173" fontId="1" fillId="2" borderId="0" xfId="0" applyNumberFormat="1" applyFont="1" applyFill="1" applyBorder="1"/>
    <xf numFmtId="0" fontId="0" fillId="2" borderId="0" xfId="0" applyFill="1" applyBorder="1"/>
    <xf numFmtId="4" fontId="0" fillId="0" borderId="0" xfId="0" applyNumberFormat="1"/>
    <xf numFmtId="170" fontId="0" fillId="0" borderId="0" xfId="1" applyFont="1"/>
    <xf numFmtId="0" fontId="0" fillId="3" borderId="0" xfId="0" applyFill="1" applyAlignment="1">
      <alignment horizontal="center" textRotation="255"/>
    </xf>
    <xf numFmtId="0" fontId="0" fillId="6" borderId="0" xfId="0" applyFill="1" applyAlignment="1">
      <alignment horizontal="center" textRotation="255"/>
    </xf>
    <xf numFmtId="0" fontId="0" fillId="7" borderId="0" xfId="0" applyFill="1" applyAlignment="1">
      <alignment horizontal="center" textRotation="255"/>
    </xf>
    <xf numFmtId="4" fontId="2" fillId="8" borderId="0" xfId="0" applyNumberFormat="1" applyFont="1" applyFill="1" applyBorder="1"/>
    <xf numFmtId="4" fontId="0" fillId="8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W80"/>
  <sheetViews>
    <sheetView tabSelected="1" zoomScale="75" workbookViewId="0">
      <selection activeCell="F5" sqref="F5"/>
    </sheetView>
  </sheetViews>
  <sheetFormatPr baseColWidth="10" defaultRowHeight="12.75"/>
  <cols>
    <col min="1" max="1" width="4.140625" customWidth="1"/>
    <col min="2" max="2" width="16.85546875" style="38" customWidth="1"/>
    <col min="4" max="4" width="14.42578125" style="38" customWidth="1"/>
    <col min="6" max="6" width="13.140625" style="38" bestFit="1" customWidth="1"/>
    <col min="9" max="9" width="12.85546875" customWidth="1"/>
    <col min="10" max="11" width="0" hidden="1" customWidth="1"/>
    <col min="13" max="13" width="3.42578125" style="33" customWidth="1"/>
    <col min="14" max="14" width="7" style="33" hidden="1" customWidth="1"/>
    <col min="15" max="16" width="0" style="33" hidden="1" customWidth="1"/>
    <col min="17" max="17" width="12" hidden="1" customWidth="1"/>
    <col min="18" max="18" width="0" hidden="1" customWidth="1"/>
    <col min="20" max="20" width="5.85546875" hidden="1" customWidth="1"/>
    <col min="22" max="22" width="13" customWidth="1"/>
    <col min="23" max="23" width="14.140625" customWidth="1"/>
  </cols>
  <sheetData>
    <row r="2" spans="1:23">
      <c r="B2" s="1" t="s">
        <v>0</v>
      </c>
      <c r="C2" s="1"/>
      <c r="D2" s="2"/>
      <c r="E2" s="2">
        <v>40360</v>
      </c>
      <c r="F2" s="3"/>
      <c r="G2" s="3"/>
      <c r="H2" s="3"/>
      <c r="I2" s="4"/>
      <c r="J2" s="1"/>
      <c r="K2" s="5"/>
      <c r="L2" s="5"/>
      <c r="M2" s="1"/>
      <c r="N2" s="1"/>
      <c r="O2" s="6"/>
      <c r="P2" s="7"/>
      <c r="Q2" s="6"/>
      <c r="R2" s="6"/>
      <c r="S2" s="6"/>
      <c r="T2" s="6"/>
      <c r="U2" s="6"/>
      <c r="V2" s="6"/>
      <c r="W2" s="6"/>
    </row>
    <row r="3" spans="1:23">
      <c r="B3" s="1"/>
      <c r="C3" s="1"/>
      <c r="D3" s="1"/>
      <c r="E3" s="1"/>
      <c r="F3" s="3"/>
      <c r="G3" s="3"/>
      <c r="H3" s="3"/>
      <c r="I3" s="4"/>
      <c r="J3" s="1"/>
      <c r="K3" s="5"/>
      <c r="L3" s="5"/>
      <c r="M3" s="1"/>
      <c r="N3" s="1"/>
      <c r="O3" s="6"/>
      <c r="P3" s="7"/>
      <c r="Q3" s="6"/>
      <c r="R3" s="6"/>
      <c r="S3" s="6"/>
      <c r="T3" s="6"/>
      <c r="U3" s="6"/>
      <c r="V3" s="6"/>
      <c r="W3" s="6"/>
    </row>
    <row r="4" spans="1:23" ht="13.5" thickBot="1">
      <c r="A4" s="8"/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10" t="s">
        <v>6</v>
      </c>
      <c r="H4" s="10" t="s">
        <v>7</v>
      </c>
      <c r="I4" s="11" t="s">
        <v>8</v>
      </c>
      <c r="J4" s="9" t="s">
        <v>9</v>
      </c>
      <c r="K4" s="12" t="s">
        <v>10</v>
      </c>
      <c r="L4" s="12" t="s">
        <v>11</v>
      </c>
      <c r="M4" s="9" t="s">
        <v>12</v>
      </c>
      <c r="N4" s="9" t="s">
        <v>13</v>
      </c>
      <c r="O4" s="13" t="s">
        <v>14</v>
      </c>
      <c r="P4" s="14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</row>
    <row r="5" spans="1:23">
      <c r="A5" s="15"/>
      <c r="B5" s="16" t="s">
        <v>23</v>
      </c>
      <c r="C5" s="17" t="s">
        <v>24</v>
      </c>
      <c r="D5" s="17" t="s">
        <v>25</v>
      </c>
      <c r="E5" s="17" t="s">
        <v>26</v>
      </c>
      <c r="F5" s="44">
        <f>394+35</f>
        <v>429</v>
      </c>
      <c r="G5" s="18">
        <v>429</v>
      </c>
      <c r="H5" s="18">
        <f>G5-F5</f>
        <v>0</v>
      </c>
      <c r="I5" s="1" t="s">
        <v>27</v>
      </c>
      <c r="J5" s="17"/>
      <c r="K5" s="19"/>
      <c r="L5" s="19">
        <v>40360</v>
      </c>
      <c r="M5" s="17" t="s">
        <v>28</v>
      </c>
      <c r="N5" s="17"/>
      <c r="O5" s="20">
        <v>32</v>
      </c>
      <c r="P5" s="21"/>
      <c r="Q5" s="21"/>
      <c r="R5" s="20"/>
      <c r="S5" s="22"/>
      <c r="T5" s="20"/>
      <c r="U5" s="20">
        <f>IF(O5&gt;0,O5,((P5*2.2046*S5)+(Q5+R5)/F5)+T5)</f>
        <v>32</v>
      </c>
      <c r="V5" s="20">
        <v>13658</v>
      </c>
      <c r="W5" s="23">
        <v>40369</v>
      </c>
    </row>
    <row r="6" spans="1:23">
      <c r="A6" s="24"/>
      <c r="B6" s="16" t="s">
        <v>29</v>
      </c>
      <c r="C6" s="17" t="s">
        <v>30</v>
      </c>
      <c r="D6" s="17" t="s">
        <v>31</v>
      </c>
      <c r="E6" s="17" t="s">
        <v>32</v>
      </c>
      <c r="F6" s="18">
        <f>49026*0.4536</f>
        <v>22238.193599999999</v>
      </c>
      <c r="G6" s="18">
        <v>22191.74</v>
      </c>
      <c r="H6" s="18">
        <f>G6-F6</f>
        <v>-46.453599999997095</v>
      </c>
      <c r="I6" s="1" t="s">
        <v>33</v>
      </c>
      <c r="J6" s="17"/>
      <c r="K6" s="19">
        <v>40359</v>
      </c>
      <c r="L6" s="19">
        <v>40360</v>
      </c>
      <c r="M6" s="17" t="s">
        <v>28</v>
      </c>
      <c r="N6" s="17" t="s">
        <v>34</v>
      </c>
      <c r="O6" s="20"/>
      <c r="P6" s="21">
        <v>0.95</v>
      </c>
      <c r="Q6" s="20"/>
      <c r="R6" s="20"/>
      <c r="S6" s="22">
        <v>12.715999999999999</v>
      </c>
      <c r="T6" s="20"/>
      <c r="U6" s="20">
        <f>P6/0.4536*S6</f>
        <v>26.631834215167547</v>
      </c>
      <c r="V6" s="20">
        <f>U6*F6</f>
        <v>592243.8851999999</v>
      </c>
      <c r="W6" s="23">
        <v>40331</v>
      </c>
    </row>
    <row r="7" spans="1:23">
      <c r="A7" s="25"/>
      <c r="B7" s="16" t="s">
        <v>35</v>
      </c>
      <c r="C7" s="17" t="s">
        <v>36</v>
      </c>
      <c r="D7" s="17" t="s">
        <v>36</v>
      </c>
      <c r="E7" s="17" t="s">
        <v>37</v>
      </c>
      <c r="F7" s="43">
        <v>11020</v>
      </c>
      <c r="G7" s="18">
        <v>11020</v>
      </c>
      <c r="H7" s="18">
        <f>G7-F7</f>
        <v>0</v>
      </c>
      <c r="I7" s="1" t="s">
        <v>38</v>
      </c>
      <c r="J7" s="17"/>
      <c r="K7" s="19"/>
      <c r="L7" s="19">
        <v>40361</v>
      </c>
      <c r="M7" s="17" t="s">
        <v>39</v>
      </c>
      <c r="N7" s="17"/>
      <c r="O7" s="20">
        <v>29.6</v>
      </c>
      <c r="P7" s="21"/>
      <c r="Q7" s="20"/>
      <c r="R7" s="20"/>
      <c r="S7" s="22"/>
      <c r="T7" s="20"/>
      <c r="U7" s="20">
        <f>IF(O7&gt;0,O7,((P7*2.2046*S7)+(Q7+R7)/F7)+T7)</f>
        <v>29.6</v>
      </c>
      <c r="V7" s="20">
        <f>U7*F7</f>
        <v>326192</v>
      </c>
      <c r="W7" s="23">
        <v>40368</v>
      </c>
    </row>
    <row r="8" spans="1:23">
      <c r="A8" s="25"/>
      <c r="B8" s="16" t="s">
        <v>23</v>
      </c>
      <c r="C8" s="17" t="s">
        <v>24</v>
      </c>
      <c r="D8" s="17" t="s">
        <v>25</v>
      </c>
      <c r="E8" s="17" t="s">
        <v>40</v>
      </c>
      <c r="F8" s="43">
        <f>292+478</f>
        <v>770</v>
      </c>
      <c r="G8" s="18">
        <v>770</v>
      </c>
      <c r="H8" s="18">
        <f>G8-F8</f>
        <v>0</v>
      </c>
      <c r="I8" s="1" t="s">
        <v>41</v>
      </c>
      <c r="J8" s="17"/>
      <c r="K8" s="19"/>
      <c r="L8" s="19">
        <v>40362</v>
      </c>
      <c r="M8" s="17" t="s">
        <v>42</v>
      </c>
      <c r="N8" s="17"/>
      <c r="O8" s="20">
        <v>31</v>
      </c>
      <c r="P8" s="21"/>
      <c r="Q8" s="20"/>
      <c r="R8" s="20"/>
      <c r="S8" s="22"/>
      <c r="T8" s="20"/>
      <c r="U8" s="20">
        <f>IF(O8&gt;0,O8,((P8*2.2046*S8)+(Q8+R8)/F8)+T8)</f>
        <v>31</v>
      </c>
      <c r="V8" s="20">
        <f>U8*F8</f>
        <v>23870</v>
      </c>
      <c r="W8" s="23">
        <v>40369</v>
      </c>
    </row>
    <row r="9" spans="1:23" ht="13.5" thickBot="1">
      <c r="A9" s="25"/>
      <c r="B9" s="9"/>
      <c r="C9" s="9"/>
      <c r="D9" s="9"/>
      <c r="E9" s="9"/>
      <c r="F9" s="27"/>
      <c r="G9" s="10"/>
      <c r="H9" s="18"/>
      <c r="I9" s="11"/>
      <c r="J9" s="9"/>
      <c r="K9" s="12"/>
      <c r="L9" s="12"/>
      <c r="M9" s="9"/>
      <c r="N9" s="9"/>
      <c r="O9" s="13"/>
      <c r="P9" s="14"/>
      <c r="Q9" s="13"/>
      <c r="R9" s="13"/>
      <c r="S9" s="13"/>
      <c r="T9" s="13"/>
      <c r="U9" s="13"/>
      <c r="V9" s="20"/>
      <c r="W9" s="28"/>
    </row>
    <row r="10" spans="1:23" ht="12" customHeight="1">
      <c r="A10" s="40"/>
      <c r="B10" s="16" t="s">
        <v>29</v>
      </c>
      <c r="C10" s="17" t="s">
        <v>30</v>
      </c>
      <c r="D10" s="17" t="s">
        <v>31</v>
      </c>
      <c r="E10" s="17" t="s">
        <v>32</v>
      </c>
      <c r="F10" s="26">
        <f>49060*0.4536</f>
        <v>22253.616000000002</v>
      </c>
      <c r="G10" s="29">
        <v>22180.47</v>
      </c>
      <c r="H10" s="29">
        <f>G10-F10</f>
        <v>-73.14600000000064</v>
      </c>
      <c r="I10" s="17" t="s">
        <v>43</v>
      </c>
      <c r="J10" s="17"/>
      <c r="K10" s="19">
        <v>40361</v>
      </c>
      <c r="L10" s="19">
        <v>40362</v>
      </c>
      <c r="M10" s="30" t="s">
        <v>42</v>
      </c>
      <c r="N10" s="17" t="s">
        <v>44</v>
      </c>
      <c r="O10" s="31"/>
      <c r="P10" s="21">
        <v>0.95</v>
      </c>
      <c r="Q10" s="20"/>
      <c r="R10" s="20"/>
      <c r="S10" s="22">
        <v>12.715999999999999</v>
      </c>
      <c r="T10" s="20"/>
      <c r="U10" s="20">
        <f>P10/0.4536*S10</f>
        <v>26.631834215167547</v>
      </c>
      <c r="V10" s="31">
        <f t="shared" ref="V10:V22" si="0">U10*F10</f>
        <v>592654.61199999996</v>
      </c>
      <c r="W10" s="23">
        <v>40364</v>
      </c>
    </row>
    <row r="11" spans="1:23" ht="12" customHeight="1">
      <c r="A11" s="40"/>
      <c r="B11" s="16" t="s">
        <v>35</v>
      </c>
      <c r="C11" s="17" t="s">
        <v>45</v>
      </c>
      <c r="D11" s="17" t="s">
        <v>46</v>
      </c>
      <c r="E11" s="17" t="s">
        <v>47</v>
      </c>
      <c r="F11" s="43">
        <v>12387.5</v>
      </c>
      <c r="G11" s="18">
        <v>12380</v>
      </c>
      <c r="H11" s="18">
        <f t="shared" ref="H11:H22" si="1">G11-F11</f>
        <v>-7.5</v>
      </c>
      <c r="I11" s="17" t="s">
        <v>48</v>
      </c>
      <c r="J11" s="17"/>
      <c r="K11" s="19"/>
      <c r="L11" s="19">
        <v>40364</v>
      </c>
      <c r="M11" s="17" t="s">
        <v>49</v>
      </c>
      <c r="N11" s="17"/>
      <c r="O11" s="20">
        <v>29.8</v>
      </c>
      <c r="P11" s="21"/>
      <c r="Q11" s="20"/>
      <c r="R11" s="20"/>
      <c r="S11" s="22"/>
      <c r="T11" s="20"/>
      <c r="U11" s="20">
        <f t="shared" ref="U11:U17" si="2">IF(O11&gt;0,O11,((P11*2.2046*S11)+(Q11+R11)/F11)+T11)</f>
        <v>29.8</v>
      </c>
      <c r="V11" s="20">
        <f t="shared" si="0"/>
        <v>369147.5</v>
      </c>
      <c r="W11" s="23">
        <v>40371</v>
      </c>
    </row>
    <row r="12" spans="1:23" ht="12" customHeight="1">
      <c r="A12" s="40"/>
      <c r="B12" s="16" t="s">
        <v>50</v>
      </c>
      <c r="C12" s="17" t="s">
        <v>24</v>
      </c>
      <c r="D12" s="17" t="s">
        <v>25</v>
      </c>
      <c r="E12" s="17" t="s">
        <v>51</v>
      </c>
      <c r="F12" s="43">
        <f>138.5+141</f>
        <v>279.5</v>
      </c>
      <c r="G12" s="18">
        <v>279.5</v>
      </c>
      <c r="H12" s="18">
        <f t="shared" si="1"/>
        <v>0</v>
      </c>
      <c r="I12" s="17" t="s">
        <v>52</v>
      </c>
      <c r="J12" s="17"/>
      <c r="K12" s="19"/>
      <c r="L12" s="19">
        <v>40364</v>
      </c>
      <c r="M12" s="17" t="s">
        <v>49</v>
      </c>
      <c r="N12" s="17"/>
      <c r="O12" s="20">
        <v>34</v>
      </c>
      <c r="P12" s="21"/>
      <c r="Q12" s="20"/>
      <c r="R12" s="20"/>
      <c r="S12" s="22"/>
      <c r="T12" s="20"/>
      <c r="U12" s="20">
        <f t="shared" si="2"/>
        <v>34</v>
      </c>
      <c r="V12" s="20">
        <f t="shared" si="0"/>
        <v>9503</v>
      </c>
      <c r="W12" s="23">
        <v>40376</v>
      </c>
    </row>
    <row r="13" spans="1:23" ht="12" customHeight="1">
      <c r="A13" s="40"/>
      <c r="B13" s="16" t="s">
        <v>53</v>
      </c>
      <c r="C13" s="17" t="s">
        <v>24</v>
      </c>
      <c r="D13" s="17" t="s">
        <v>25</v>
      </c>
      <c r="E13" s="17" t="s">
        <v>54</v>
      </c>
      <c r="F13" s="43">
        <f>62+70+70+94+91</f>
        <v>387</v>
      </c>
      <c r="G13" s="18">
        <v>296</v>
      </c>
      <c r="H13" s="18">
        <f t="shared" si="1"/>
        <v>-91</v>
      </c>
      <c r="I13" s="17" t="s">
        <v>52</v>
      </c>
      <c r="J13" s="17"/>
      <c r="K13" s="19"/>
      <c r="L13" s="19" t="s">
        <v>55</v>
      </c>
      <c r="M13" s="17"/>
      <c r="N13" s="17"/>
      <c r="O13" s="20">
        <v>37</v>
      </c>
      <c r="P13" s="21"/>
      <c r="Q13" s="20"/>
      <c r="R13" s="20"/>
      <c r="S13" s="22"/>
      <c r="T13" s="20"/>
      <c r="U13" s="20">
        <f t="shared" si="2"/>
        <v>37</v>
      </c>
      <c r="V13" s="20">
        <f t="shared" si="0"/>
        <v>14319</v>
      </c>
      <c r="W13" s="23" t="s">
        <v>56</v>
      </c>
    </row>
    <row r="14" spans="1:23">
      <c r="A14" s="40"/>
      <c r="B14" s="16" t="s">
        <v>29</v>
      </c>
      <c r="C14" s="17" t="s">
        <v>57</v>
      </c>
      <c r="D14" s="17" t="s">
        <v>58</v>
      </c>
      <c r="E14" s="17" t="s">
        <v>59</v>
      </c>
      <c r="F14" s="26">
        <f>42226*0.4536</f>
        <v>19153.713599999999</v>
      </c>
      <c r="G14" s="18">
        <v>19044.28</v>
      </c>
      <c r="H14" s="18">
        <f t="shared" si="1"/>
        <v>-109.4336000000003</v>
      </c>
      <c r="I14" s="17" t="s">
        <v>60</v>
      </c>
      <c r="J14" s="32" t="s">
        <v>61</v>
      </c>
      <c r="K14" s="19">
        <v>40364</v>
      </c>
      <c r="L14" s="19">
        <v>40365</v>
      </c>
      <c r="M14" s="17" t="s">
        <v>62</v>
      </c>
      <c r="N14" s="17" t="s">
        <v>63</v>
      </c>
      <c r="O14" s="20"/>
      <c r="P14" s="21">
        <v>0.94</v>
      </c>
      <c r="Q14" s="20">
        <v>18560</v>
      </c>
      <c r="R14" s="20">
        <v>7022.5</v>
      </c>
      <c r="S14" s="22">
        <v>12.93</v>
      </c>
      <c r="T14" s="20">
        <v>0.13</v>
      </c>
      <c r="U14" s="20">
        <f t="shared" si="2"/>
        <v>28.260791093405235</v>
      </c>
      <c r="V14" s="20">
        <f t="shared" si="0"/>
        <v>541299.09871251474</v>
      </c>
      <c r="W14" s="23">
        <v>40366</v>
      </c>
    </row>
    <row r="15" spans="1:23">
      <c r="A15" s="40"/>
      <c r="B15" s="16" t="s">
        <v>29</v>
      </c>
      <c r="C15" s="17" t="s">
        <v>64</v>
      </c>
      <c r="D15" s="17" t="s">
        <v>64</v>
      </c>
      <c r="E15" s="17" t="s">
        <v>65</v>
      </c>
      <c r="F15" s="26">
        <f>42226*0.4536</f>
        <v>19153.713599999999</v>
      </c>
      <c r="G15" s="18">
        <v>19117.52</v>
      </c>
      <c r="H15" s="18">
        <f t="shared" si="1"/>
        <v>-36.193599999998696</v>
      </c>
      <c r="I15" t="s">
        <v>66</v>
      </c>
      <c r="J15" s="32" t="s">
        <v>61</v>
      </c>
      <c r="K15" s="19">
        <v>40364</v>
      </c>
      <c r="L15" s="19">
        <v>40365</v>
      </c>
      <c r="M15" s="17" t="s">
        <v>62</v>
      </c>
      <c r="N15" s="17" t="s">
        <v>67</v>
      </c>
      <c r="O15" s="20"/>
      <c r="P15" s="21">
        <v>0.92</v>
      </c>
      <c r="Q15" s="20">
        <v>18560</v>
      </c>
      <c r="R15" s="20">
        <v>7022.5</v>
      </c>
      <c r="S15" s="22">
        <v>12.805</v>
      </c>
      <c r="T15" s="20">
        <v>0.13</v>
      </c>
      <c r="U15" s="20">
        <f t="shared" si="2"/>
        <v>27.437152533405236</v>
      </c>
      <c r="V15" s="20">
        <f t="shared" si="0"/>
        <v>525523.36162435834</v>
      </c>
      <c r="W15" s="23">
        <v>40366</v>
      </c>
    </row>
    <row r="16" spans="1:23">
      <c r="A16" s="40"/>
      <c r="B16" s="16" t="s">
        <v>35</v>
      </c>
      <c r="C16" s="17" t="s">
        <v>36</v>
      </c>
      <c r="D16" s="17" t="s">
        <v>36</v>
      </c>
      <c r="E16" s="17" t="s">
        <v>68</v>
      </c>
      <c r="F16" s="43">
        <v>12290</v>
      </c>
      <c r="G16" s="18">
        <v>12290</v>
      </c>
      <c r="H16" s="18">
        <f t="shared" si="1"/>
        <v>0</v>
      </c>
      <c r="I16" s="17" t="s">
        <v>69</v>
      </c>
      <c r="J16" s="17"/>
      <c r="K16" s="19"/>
      <c r="L16" s="19">
        <v>40366</v>
      </c>
      <c r="M16" s="17" t="s">
        <v>70</v>
      </c>
      <c r="N16" s="6"/>
      <c r="O16" s="20">
        <v>29.6</v>
      </c>
      <c r="P16" s="21"/>
      <c r="Q16" s="20"/>
      <c r="R16" s="20"/>
      <c r="S16" s="22"/>
      <c r="T16" s="20"/>
      <c r="U16" s="20">
        <f t="shared" si="2"/>
        <v>29.6</v>
      </c>
      <c r="V16" s="20">
        <f t="shared" si="0"/>
        <v>363784</v>
      </c>
      <c r="W16" s="23">
        <v>40373</v>
      </c>
    </row>
    <row r="17" spans="1:23">
      <c r="A17" s="40"/>
      <c r="B17" s="16" t="s">
        <v>50</v>
      </c>
      <c r="C17" s="17" t="s">
        <v>71</v>
      </c>
      <c r="D17" s="17" t="s">
        <v>71</v>
      </c>
      <c r="E17" s="17" t="s">
        <v>72</v>
      </c>
      <c r="F17" s="43">
        <v>1120</v>
      </c>
      <c r="G17" s="18">
        <v>1120</v>
      </c>
      <c r="H17" s="18">
        <f t="shared" si="1"/>
        <v>0</v>
      </c>
      <c r="I17" s="17" t="s">
        <v>73</v>
      </c>
      <c r="J17" s="17"/>
      <c r="K17" s="19"/>
      <c r="L17" s="19">
        <v>40367</v>
      </c>
      <c r="M17" s="17" t="s">
        <v>28</v>
      </c>
      <c r="N17" s="6"/>
      <c r="O17" s="20">
        <v>36</v>
      </c>
      <c r="P17" s="21"/>
      <c r="Q17" s="20"/>
      <c r="R17" s="20"/>
      <c r="S17" s="22"/>
      <c r="T17" s="20"/>
      <c r="U17" s="20">
        <f t="shared" si="2"/>
        <v>36</v>
      </c>
      <c r="V17" s="20">
        <f t="shared" si="0"/>
        <v>40320</v>
      </c>
      <c r="W17" s="23">
        <v>40375</v>
      </c>
    </row>
    <row r="18" spans="1:23">
      <c r="A18" s="40"/>
      <c r="B18" s="16" t="s">
        <v>29</v>
      </c>
      <c r="C18" s="17" t="s">
        <v>30</v>
      </c>
      <c r="D18" s="17" t="s">
        <v>31</v>
      </c>
      <c r="E18" s="17" t="s">
        <v>74</v>
      </c>
      <c r="F18" s="26">
        <f>44910*0.4536</f>
        <v>20371.175999999999</v>
      </c>
      <c r="G18" s="18">
        <v>20328.919999999998</v>
      </c>
      <c r="H18" s="18">
        <f t="shared" si="1"/>
        <v>-42.256000000001222</v>
      </c>
      <c r="I18" s="17" t="s">
        <v>75</v>
      </c>
      <c r="J18" s="17"/>
      <c r="K18" s="19"/>
      <c r="L18" s="19">
        <v>40366</v>
      </c>
      <c r="M18" s="17" t="s">
        <v>70</v>
      </c>
      <c r="N18" s="17" t="s">
        <v>76</v>
      </c>
      <c r="O18" s="20"/>
      <c r="P18" s="21">
        <v>0.97</v>
      </c>
      <c r="Q18" s="20"/>
      <c r="R18" s="20"/>
      <c r="S18" s="22">
        <v>12.715999999999999</v>
      </c>
      <c r="T18" s="20"/>
      <c r="U18" s="20">
        <f>P18/0.4536*S18</f>
        <v>27.192504409171072</v>
      </c>
      <c r="V18" s="20">
        <f t="shared" si="0"/>
        <v>553943.29319999996</v>
      </c>
      <c r="W18" s="23">
        <v>40368</v>
      </c>
    </row>
    <row r="19" spans="1:23">
      <c r="A19" s="40"/>
      <c r="B19" s="16" t="s">
        <v>50</v>
      </c>
      <c r="C19" s="17" t="s">
        <v>24</v>
      </c>
      <c r="D19" s="17" t="s">
        <v>25</v>
      </c>
      <c r="E19" s="17" t="s">
        <v>54</v>
      </c>
      <c r="F19" s="43">
        <f>157+156+155+155</f>
        <v>623</v>
      </c>
      <c r="G19" s="18">
        <v>623</v>
      </c>
      <c r="H19" s="18">
        <f t="shared" si="1"/>
        <v>0</v>
      </c>
      <c r="I19" s="17" t="s">
        <v>77</v>
      </c>
      <c r="J19" s="17"/>
      <c r="K19" s="19"/>
      <c r="L19" s="19">
        <v>40367</v>
      </c>
      <c r="M19" s="17" t="s">
        <v>28</v>
      </c>
      <c r="N19" s="17"/>
      <c r="O19" s="20">
        <v>32</v>
      </c>
      <c r="P19" s="21"/>
      <c r="Q19" s="20"/>
      <c r="R19" s="20"/>
      <c r="S19" s="22"/>
      <c r="T19" s="20"/>
      <c r="U19" s="20">
        <f>IF(O19&gt;0,O19,((P19*2.2046*S19)+(Q19+R19)/F19)+T19)</f>
        <v>32</v>
      </c>
      <c r="V19" s="20">
        <f>U19*F19</f>
        <v>19936</v>
      </c>
      <c r="W19" s="23">
        <v>40376</v>
      </c>
    </row>
    <row r="20" spans="1:23">
      <c r="A20" s="40"/>
      <c r="B20" s="16" t="s">
        <v>50</v>
      </c>
      <c r="C20" s="17" t="s">
        <v>24</v>
      </c>
      <c r="D20" s="17" t="s">
        <v>25</v>
      </c>
      <c r="E20" s="17" t="s">
        <v>78</v>
      </c>
      <c r="F20" s="43">
        <f>132+135+130+133+139+144+146+147+135+135</f>
        <v>1376</v>
      </c>
      <c r="G20" s="18">
        <v>1376</v>
      </c>
      <c r="H20" s="18">
        <f t="shared" si="1"/>
        <v>0</v>
      </c>
      <c r="I20" s="17" t="s">
        <v>79</v>
      </c>
      <c r="J20" s="17"/>
      <c r="K20" s="19"/>
      <c r="L20" s="19">
        <v>40368</v>
      </c>
      <c r="M20" s="17" t="s">
        <v>39</v>
      </c>
      <c r="N20" s="17"/>
      <c r="O20" s="20">
        <v>33</v>
      </c>
      <c r="P20" s="21"/>
      <c r="Q20" s="20"/>
      <c r="R20" s="20"/>
      <c r="S20" s="22"/>
      <c r="T20" s="20"/>
      <c r="U20" s="20">
        <f>IF(O20&gt;0,O20,((P20*2.2046*S20)+(Q20+R20)/F20)+T20)</f>
        <v>33</v>
      </c>
      <c r="V20" s="20">
        <f>U20*F20</f>
        <v>45408</v>
      </c>
      <c r="W20" s="23">
        <v>40376</v>
      </c>
    </row>
    <row r="21" spans="1:23">
      <c r="A21" s="40"/>
      <c r="B21" s="16" t="s">
        <v>35</v>
      </c>
      <c r="C21" s="17" t="s">
        <v>80</v>
      </c>
      <c r="D21" s="17" t="s">
        <v>81</v>
      </c>
      <c r="E21" s="17" t="s">
        <v>82</v>
      </c>
      <c r="F21" s="43">
        <v>11910</v>
      </c>
      <c r="G21" s="18">
        <v>11910</v>
      </c>
      <c r="H21" s="18">
        <f t="shared" si="1"/>
        <v>0</v>
      </c>
      <c r="I21" s="17" t="s">
        <v>83</v>
      </c>
      <c r="J21" s="17"/>
      <c r="K21" s="19"/>
      <c r="L21" s="19">
        <v>40368</v>
      </c>
      <c r="M21" s="17" t="s">
        <v>39</v>
      </c>
      <c r="N21" s="6"/>
      <c r="O21" s="20">
        <v>29.6</v>
      </c>
      <c r="P21" s="21"/>
      <c r="Q21" s="20"/>
      <c r="R21" s="20"/>
      <c r="S21" s="22"/>
      <c r="T21" s="20"/>
      <c r="U21" s="20">
        <f>IF(O21&gt;0,O21,((P21*2.2046*S21)+(Q21+R21)/F21)+T21)</f>
        <v>29.6</v>
      </c>
      <c r="V21" s="20">
        <f t="shared" si="0"/>
        <v>352536</v>
      </c>
      <c r="W21" s="23">
        <v>40375</v>
      </c>
    </row>
    <row r="22" spans="1:23">
      <c r="A22" s="40"/>
      <c r="B22" s="16" t="s">
        <v>23</v>
      </c>
      <c r="C22" s="17" t="s">
        <v>24</v>
      </c>
      <c r="D22" s="17" t="s">
        <v>25</v>
      </c>
      <c r="E22" s="17" t="s">
        <v>84</v>
      </c>
      <c r="F22" s="43">
        <f>42+40+63+57+64+66</f>
        <v>332</v>
      </c>
      <c r="G22" s="18">
        <v>332</v>
      </c>
      <c r="H22" s="18">
        <f t="shared" si="1"/>
        <v>0</v>
      </c>
      <c r="I22" s="17" t="s">
        <v>85</v>
      </c>
      <c r="J22" s="17"/>
      <c r="K22" s="19"/>
      <c r="L22" s="19">
        <v>40369</v>
      </c>
      <c r="M22" s="17" t="s">
        <v>42</v>
      </c>
      <c r="O22" s="20">
        <v>31</v>
      </c>
      <c r="P22" s="21"/>
      <c r="Q22" s="20"/>
      <c r="R22" s="20"/>
      <c r="S22" s="22"/>
      <c r="T22" s="20"/>
      <c r="U22" s="20">
        <f>IF(O22&gt;0,O22,((P22*2.2046*S22)+(Q22+R22)/F22)+T22)</f>
        <v>31</v>
      </c>
      <c r="V22" s="20">
        <f t="shared" si="0"/>
        <v>10292</v>
      </c>
      <c r="W22" s="23">
        <v>40376</v>
      </c>
    </row>
    <row r="23" spans="1:23" ht="13.5" thickBot="1">
      <c r="A23" s="40"/>
      <c r="B23" s="34"/>
      <c r="C23" s="9"/>
      <c r="D23" s="9"/>
      <c r="E23" s="9"/>
      <c r="F23" s="10"/>
      <c r="G23" s="10"/>
      <c r="H23" s="10"/>
      <c r="I23" s="11"/>
      <c r="J23" s="9"/>
      <c r="K23" s="12"/>
      <c r="L23" s="12"/>
      <c r="M23" s="12"/>
      <c r="N23" s="9"/>
      <c r="O23" s="13"/>
      <c r="P23" s="14"/>
      <c r="Q23" s="13"/>
      <c r="R23" s="13"/>
      <c r="S23" s="13"/>
      <c r="T23" s="13"/>
      <c r="U23" s="13"/>
      <c r="V23" s="13"/>
      <c r="W23" s="28"/>
    </row>
    <row r="24" spans="1:23">
      <c r="A24" s="35"/>
      <c r="B24" s="16" t="s">
        <v>29</v>
      </c>
      <c r="C24" s="17" t="s">
        <v>30</v>
      </c>
      <c r="D24" s="17" t="s">
        <v>31</v>
      </c>
      <c r="E24" s="17" t="s">
        <v>74</v>
      </c>
      <c r="F24" s="18">
        <f>45088*0.4536</f>
        <v>20451.916799999999</v>
      </c>
      <c r="G24" s="18">
        <v>20373.91</v>
      </c>
      <c r="H24" s="18">
        <f t="shared" ref="H24:H39" si="3">G24-F24</f>
        <v>-78.006799999999203</v>
      </c>
      <c r="I24" s="17" t="s">
        <v>86</v>
      </c>
      <c r="J24" s="17"/>
      <c r="K24" s="19">
        <v>40368</v>
      </c>
      <c r="L24" s="19">
        <v>40371</v>
      </c>
      <c r="M24" s="17" t="s">
        <v>49</v>
      </c>
      <c r="N24" s="17" t="s">
        <v>87</v>
      </c>
      <c r="O24" s="20"/>
      <c r="P24" s="21">
        <v>0.97</v>
      </c>
      <c r="Q24" s="20"/>
      <c r="R24" s="20"/>
      <c r="S24" s="22">
        <v>12.715999999999999</v>
      </c>
      <c r="T24" s="20"/>
      <c r="U24" s="20">
        <f>P24/0.4536*S24</f>
        <v>27.192504409171072</v>
      </c>
      <c r="V24" s="20">
        <f t="shared" ref="V24:V39" si="4">U24*F24</f>
        <v>556138.83775999991</v>
      </c>
      <c r="W24" s="23">
        <v>40371</v>
      </c>
    </row>
    <row r="25" spans="1:23">
      <c r="A25" s="35"/>
      <c r="B25" s="16" t="s">
        <v>88</v>
      </c>
      <c r="C25" s="17" t="s">
        <v>58</v>
      </c>
      <c r="D25" s="17" t="s">
        <v>31</v>
      </c>
      <c r="E25" s="17" t="s">
        <v>89</v>
      </c>
      <c r="F25" s="18">
        <f>40800*0.4536</f>
        <v>18506.88</v>
      </c>
      <c r="G25" s="18">
        <v>18506.88</v>
      </c>
      <c r="H25" s="18">
        <f t="shared" si="3"/>
        <v>0</v>
      </c>
      <c r="I25" s="17" t="s">
        <v>90</v>
      </c>
      <c r="J25" s="17"/>
      <c r="K25" s="19">
        <v>40368</v>
      </c>
      <c r="L25" s="19">
        <v>40371</v>
      </c>
      <c r="M25" s="17" t="s">
        <v>49</v>
      </c>
      <c r="N25" s="17"/>
      <c r="O25" s="20"/>
      <c r="P25" s="21">
        <v>0.56999999999999995</v>
      </c>
      <c r="Q25" s="20"/>
      <c r="R25" s="20"/>
      <c r="S25" s="22">
        <v>12.715999999999999</v>
      </c>
      <c r="T25" s="20"/>
      <c r="U25" s="20">
        <f>P25/0.4536*S25</f>
        <v>15.979100529100528</v>
      </c>
      <c r="V25" s="20">
        <f t="shared" si="4"/>
        <v>295723.29599999997</v>
      </c>
      <c r="W25" s="23">
        <v>40371</v>
      </c>
    </row>
    <row r="26" spans="1:23">
      <c r="A26" s="35"/>
      <c r="B26" s="16" t="s">
        <v>35</v>
      </c>
      <c r="C26" s="17" t="s">
        <v>36</v>
      </c>
      <c r="D26" s="17" t="s">
        <v>36</v>
      </c>
      <c r="E26" s="17" t="s">
        <v>82</v>
      </c>
      <c r="F26" s="44">
        <v>11820</v>
      </c>
      <c r="G26" s="18">
        <v>11820</v>
      </c>
      <c r="H26" s="18">
        <f t="shared" si="3"/>
        <v>0</v>
      </c>
      <c r="I26" t="s">
        <v>91</v>
      </c>
      <c r="J26" s="17"/>
      <c r="K26" s="19"/>
      <c r="L26" s="19">
        <v>40371</v>
      </c>
      <c r="M26" s="17" t="s">
        <v>49</v>
      </c>
      <c r="N26" s="17"/>
      <c r="O26" s="20">
        <v>29.6</v>
      </c>
      <c r="P26" s="21"/>
      <c r="Q26" s="20"/>
      <c r="R26" s="20"/>
      <c r="S26" s="22"/>
      <c r="T26" s="20"/>
      <c r="U26" s="20">
        <f>IF(O26&gt;0,O26,((P26*2.2046*S26)+(Q26+R26)/F26)+T26)</f>
        <v>29.6</v>
      </c>
      <c r="V26" s="20">
        <f>U26*F26</f>
        <v>349872</v>
      </c>
      <c r="W26" s="23">
        <v>40378</v>
      </c>
    </row>
    <row r="27" spans="1:23">
      <c r="A27" s="35"/>
      <c r="B27" s="16" t="s">
        <v>92</v>
      </c>
      <c r="C27" s="17" t="s">
        <v>24</v>
      </c>
      <c r="D27" s="17" t="s">
        <v>25</v>
      </c>
      <c r="E27" s="17" t="s">
        <v>84</v>
      </c>
      <c r="F27" s="44">
        <f>73+53+45+45+51+51</f>
        <v>318</v>
      </c>
      <c r="G27" s="18">
        <v>318</v>
      </c>
      <c r="H27" s="18">
        <f t="shared" si="3"/>
        <v>0</v>
      </c>
      <c r="I27" t="s">
        <v>93</v>
      </c>
      <c r="J27" s="17"/>
      <c r="K27" s="19"/>
      <c r="L27" s="19">
        <v>40371</v>
      </c>
      <c r="M27" s="17" t="s">
        <v>49</v>
      </c>
      <c r="N27" s="17"/>
      <c r="O27" s="20">
        <v>31</v>
      </c>
      <c r="P27" s="21"/>
      <c r="Q27" s="20"/>
      <c r="R27" s="20"/>
      <c r="S27" s="22"/>
      <c r="T27" s="20"/>
      <c r="U27" s="20">
        <f>IF(O27&gt;0,O27,((P27*2.2046*S27)+(Q27+R27)/F27)+T27)</f>
        <v>31</v>
      </c>
      <c r="V27" s="20">
        <f>U27*F27</f>
        <v>9858</v>
      </c>
      <c r="W27" s="23">
        <v>40383</v>
      </c>
    </row>
    <row r="28" spans="1:23">
      <c r="A28" s="35"/>
      <c r="B28" s="16" t="s">
        <v>94</v>
      </c>
      <c r="C28" s="17" t="s">
        <v>24</v>
      </c>
      <c r="D28" s="17" t="s">
        <v>25</v>
      </c>
      <c r="E28" s="17" t="s">
        <v>51</v>
      </c>
      <c r="F28" s="44">
        <f>161+161</f>
        <v>322</v>
      </c>
      <c r="G28" s="18">
        <v>322</v>
      </c>
      <c r="H28" s="18">
        <f t="shared" si="3"/>
        <v>0</v>
      </c>
      <c r="I28" t="s">
        <v>95</v>
      </c>
      <c r="J28" s="17"/>
      <c r="K28" s="19"/>
      <c r="L28" s="19" t="s">
        <v>95</v>
      </c>
      <c r="M28" s="17"/>
      <c r="N28" s="17"/>
      <c r="O28" s="20">
        <v>33</v>
      </c>
      <c r="P28" s="21"/>
      <c r="Q28" s="20"/>
      <c r="R28" s="20"/>
      <c r="S28" s="22"/>
      <c r="T28" s="20"/>
      <c r="U28" s="20">
        <f>IF(O28&gt;0,O28,((P28*2.2046*S28)+(Q28+R28)/F28)+T28)</f>
        <v>33</v>
      </c>
      <c r="V28" s="20">
        <f>U28*F28</f>
        <v>10626</v>
      </c>
      <c r="W28" s="23" t="s">
        <v>95</v>
      </c>
    </row>
    <row r="29" spans="1:23">
      <c r="A29" s="35"/>
      <c r="B29" s="16" t="s">
        <v>29</v>
      </c>
      <c r="C29" s="17" t="s">
        <v>64</v>
      </c>
      <c r="D29" s="17" t="s">
        <v>31</v>
      </c>
      <c r="E29" s="17" t="s">
        <v>65</v>
      </c>
      <c r="F29" s="26">
        <f>42280*0.4536</f>
        <v>19178.207999999999</v>
      </c>
      <c r="G29" s="18">
        <v>19167.52</v>
      </c>
      <c r="H29" s="18">
        <f t="shared" si="3"/>
        <v>-10.687999999998283</v>
      </c>
      <c r="I29" s="17" t="s">
        <v>96</v>
      </c>
      <c r="J29" s="17"/>
      <c r="K29" s="19">
        <v>40372</v>
      </c>
      <c r="L29" s="19">
        <v>40373</v>
      </c>
      <c r="M29" s="17" t="s">
        <v>70</v>
      </c>
      <c r="N29" s="17" t="s">
        <v>97</v>
      </c>
      <c r="O29" s="20" t="s">
        <v>98</v>
      </c>
      <c r="P29" s="21">
        <v>0.97</v>
      </c>
      <c r="Q29" s="20"/>
      <c r="R29" s="20"/>
      <c r="S29" s="22">
        <v>12.676</v>
      </c>
      <c r="T29" s="20"/>
      <c r="U29" s="20">
        <f>P29/0.4536*S29</f>
        <v>27.106966490299822</v>
      </c>
      <c r="V29" s="20">
        <f t="shared" si="4"/>
        <v>519863.04159999994</v>
      </c>
      <c r="W29" s="23">
        <v>40373</v>
      </c>
    </row>
    <row r="30" spans="1:23">
      <c r="A30" s="35"/>
      <c r="B30" s="16" t="s">
        <v>92</v>
      </c>
      <c r="C30" s="17" t="s">
        <v>24</v>
      </c>
      <c r="D30" s="17" t="s">
        <v>25</v>
      </c>
      <c r="E30" s="17" t="s">
        <v>99</v>
      </c>
      <c r="F30" s="43">
        <f>39+53+44+48+48</f>
        <v>232</v>
      </c>
      <c r="G30" s="18">
        <v>232</v>
      </c>
      <c r="H30" s="18">
        <f t="shared" si="3"/>
        <v>0</v>
      </c>
      <c r="I30" s="17" t="s">
        <v>100</v>
      </c>
      <c r="J30" s="17"/>
      <c r="K30" s="19"/>
      <c r="L30" s="19">
        <v>40373</v>
      </c>
      <c r="M30" s="17" t="s">
        <v>70</v>
      </c>
      <c r="N30" s="17"/>
      <c r="O30" s="20">
        <v>31</v>
      </c>
      <c r="P30" s="21"/>
      <c r="Q30" s="20"/>
      <c r="R30" s="20"/>
      <c r="S30" s="22"/>
      <c r="T30" s="20"/>
      <c r="U30" s="20">
        <f>IF(O30&gt;0,O30,((P30*2.2046*S30)+(Q30+R30)/F30)+T30)</f>
        <v>31</v>
      </c>
      <c r="V30" s="20">
        <f t="shared" si="4"/>
        <v>7192</v>
      </c>
      <c r="W30" s="23">
        <v>40383</v>
      </c>
    </row>
    <row r="31" spans="1:23">
      <c r="A31" s="35"/>
      <c r="B31" s="16" t="s">
        <v>94</v>
      </c>
      <c r="C31" s="17" t="s">
        <v>24</v>
      </c>
      <c r="D31" s="17" t="s">
        <v>25</v>
      </c>
      <c r="E31" s="17" t="s">
        <v>51</v>
      </c>
      <c r="F31" s="43">
        <f>169+172</f>
        <v>341</v>
      </c>
      <c r="G31" s="18">
        <v>341</v>
      </c>
      <c r="H31" s="18">
        <f t="shared" si="3"/>
        <v>0</v>
      </c>
      <c r="I31" s="17" t="s">
        <v>101</v>
      </c>
      <c r="J31" s="17"/>
      <c r="K31" s="19"/>
      <c r="L31" s="19">
        <v>40373</v>
      </c>
      <c r="M31" s="17" t="s">
        <v>70</v>
      </c>
      <c r="N31" s="17"/>
      <c r="O31" s="20">
        <v>34</v>
      </c>
      <c r="P31" s="21"/>
      <c r="Q31" s="20"/>
      <c r="R31" s="20"/>
      <c r="S31" s="22"/>
      <c r="T31" s="20"/>
      <c r="U31" s="20">
        <f>IF(O31&gt;0,O31,((P31*2.2046*S31)+(Q31+R31)/F31)+T31)</f>
        <v>34</v>
      </c>
      <c r="V31" s="20">
        <f t="shared" si="4"/>
        <v>11594</v>
      </c>
      <c r="W31" s="23" t="s">
        <v>95</v>
      </c>
    </row>
    <row r="32" spans="1:23">
      <c r="A32" s="35"/>
      <c r="B32" s="16" t="s">
        <v>29</v>
      </c>
      <c r="C32" s="17" t="s">
        <v>57</v>
      </c>
      <c r="D32" s="17" t="s">
        <v>58</v>
      </c>
      <c r="E32" s="17" t="s">
        <v>59</v>
      </c>
      <c r="F32" s="26">
        <f>41007*0.4536</f>
        <v>18600.7752</v>
      </c>
      <c r="G32" s="18">
        <v>18581.599999999999</v>
      </c>
      <c r="H32" s="18">
        <f t="shared" si="3"/>
        <v>-19.175200000001496</v>
      </c>
      <c r="I32" t="s">
        <v>102</v>
      </c>
      <c r="J32" s="32" t="s">
        <v>61</v>
      </c>
      <c r="K32" s="19">
        <v>40371</v>
      </c>
      <c r="L32" s="19">
        <v>40374</v>
      </c>
      <c r="M32" s="17" t="s">
        <v>28</v>
      </c>
      <c r="N32" s="17" t="s">
        <v>103</v>
      </c>
      <c r="O32" s="20"/>
      <c r="P32" s="21">
        <v>0.94</v>
      </c>
      <c r="Q32" s="20">
        <f>18560+1500</f>
        <v>20060</v>
      </c>
      <c r="R32" s="20">
        <v>7128.5</v>
      </c>
      <c r="S32" s="22">
        <v>12.77</v>
      </c>
      <c r="T32" s="20">
        <v>0.13</v>
      </c>
      <c r="U32" s="20">
        <f>IF(O32&gt;0,O32,((P32*2.2046*S32)+(Q32+R32)/F32)+T32)</f>
        <v>28.055263872511212</v>
      </c>
      <c r="V32" s="20">
        <f t="shared" si="4"/>
        <v>521849.6564692625</v>
      </c>
      <c r="W32" s="23">
        <v>40373</v>
      </c>
    </row>
    <row r="33" spans="1:23">
      <c r="A33" s="35"/>
      <c r="B33" s="16" t="s">
        <v>29</v>
      </c>
      <c r="C33" s="17" t="s">
        <v>64</v>
      </c>
      <c r="D33" s="17" t="s">
        <v>64</v>
      </c>
      <c r="E33" s="17" t="s">
        <v>104</v>
      </c>
      <c r="F33" s="26">
        <f>37636*0.4536</f>
        <v>17071.689600000002</v>
      </c>
      <c r="G33" s="18">
        <v>16950.32</v>
      </c>
      <c r="H33" s="18">
        <f t="shared" si="3"/>
        <v>-121.36960000000181</v>
      </c>
      <c r="I33" t="s">
        <v>105</v>
      </c>
      <c r="J33" s="32" t="s">
        <v>61</v>
      </c>
      <c r="K33" s="19">
        <v>40371</v>
      </c>
      <c r="L33" s="19">
        <v>40377</v>
      </c>
      <c r="M33" s="17" t="s">
        <v>106</v>
      </c>
      <c r="N33" s="17" t="s">
        <v>107</v>
      </c>
      <c r="O33" s="20"/>
      <c r="P33" s="21">
        <v>0.92</v>
      </c>
      <c r="Q33" s="20">
        <v>18560</v>
      </c>
      <c r="R33" s="20">
        <v>15064.5</v>
      </c>
      <c r="S33" s="22">
        <v>12.9</v>
      </c>
      <c r="T33" s="20">
        <v>0.13</v>
      </c>
      <c r="U33" s="20">
        <f>IF(O33&gt;0,O33,((P33*2.2046*S33)+(Q33+R33)/F33)+T33)</f>
        <v>28.263798667248196</v>
      </c>
      <c r="V33" s="20">
        <f t="shared" si="4"/>
        <v>482510.79776415491</v>
      </c>
      <c r="W33" s="23">
        <v>40373</v>
      </c>
    </row>
    <row r="34" spans="1:23">
      <c r="A34" s="35"/>
      <c r="B34" s="16" t="s">
        <v>108</v>
      </c>
      <c r="C34" s="17" t="s">
        <v>45</v>
      </c>
      <c r="D34" s="17" t="s">
        <v>46</v>
      </c>
      <c r="E34" s="17" t="s">
        <v>109</v>
      </c>
      <c r="F34" s="43">
        <v>13394.5</v>
      </c>
      <c r="G34" s="18">
        <v>13380</v>
      </c>
      <c r="H34" s="18">
        <f t="shared" si="3"/>
        <v>-14.5</v>
      </c>
      <c r="I34" t="s">
        <v>110</v>
      </c>
      <c r="J34" s="17"/>
      <c r="K34" s="19"/>
      <c r="L34" s="19">
        <v>40373</v>
      </c>
      <c r="M34" s="17" t="s">
        <v>70</v>
      </c>
      <c r="N34" s="17"/>
      <c r="O34" s="20">
        <v>29.8</v>
      </c>
      <c r="P34" s="21"/>
      <c r="Q34" s="20"/>
      <c r="R34" s="20"/>
      <c r="S34" s="22"/>
      <c r="T34" s="20"/>
      <c r="U34" s="20">
        <f>IF(O34&gt;0,O34,((P34*2.2046*S34)+(Q34+R34)/F34)+T34)</f>
        <v>29.8</v>
      </c>
      <c r="V34" s="20">
        <f t="shared" si="4"/>
        <v>399156.10000000003</v>
      </c>
      <c r="W34" s="23">
        <v>40380</v>
      </c>
    </row>
    <row r="35" spans="1:23">
      <c r="A35" s="35"/>
      <c r="B35" s="16" t="s">
        <v>29</v>
      </c>
      <c r="C35" s="17" t="s">
        <v>30</v>
      </c>
      <c r="D35" s="17" t="s">
        <v>31</v>
      </c>
      <c r="E35" s="17" t="s">
        <v>32</v>
      </c>
      <c r="F35" s="26">
        <f>49105*0.4536</f>
        <v>22274.027999999998</v>
      </c>
      <c r="G35" s="18">
        <v>22255.78</v>
      </c>
      <c r="H35" s="18">
        <f t="shared" si="3"/>
        <v>-18.247999999999593</v>
      </c>
      <c r="I35" s="1" t="s">
        <v>111</v>
      </c>
      <c r="J35" s="17"/>
      <c r="K35" s="19">
        <v>40373</v>
      </c>
      <c r="L35" s="19">
        <v>40374</v>
      </c>
      <c r="M35" s="17" t="s">
        <v>28</v>
      </c>
      <c r="N35" s="17" t="s">
        <v>112</v>
      </c>
      <c r="O35" s="20"/>
      <c r="P35" s="21">
        <v>0.97</v>
      </c>
      <c r="Q35" s="20"/>
      <c r="R35" s="20"/>
      <c r="S35" s="36">
        <v>13</v>
      </c>
      <c r="T35" s="20"/>
      <c r="U35" s="20">
        <f>P35/0.4536*S35</f>
        <v>27.799823633156965</v>
      </c>
      <c r="V35" s="20">
        <f t="shared" si="4"/>
        <v>619214.04999999993</v>
      </c>
      <c r="W35" s="23">
        <v>40375</v>
      </c>
    </row>
    <row r="36" spans="1:23">
      <c r="A36" s="35"/>
      <c r="B36" s="16" t="s">
        <v>108</v>
      </c>
      <c r="C36" s="17" t="s">
        <v>80</v>
      </c>
      <c r="D36" s="17" t="s">
        <v>81</v>
      </c>
      <c r="E36" s="17" t="s">
        <v>82</v>
      </c>
      <c r="F36" s="44">
        <v>12790</v>
      </c>
      <c r="G36" s="18">
        <v>12790</v>
      </c>
      <c r="H36" s="18">
        <f t="shared" si="3"/>
        <v>0</v>
      </c>
      <c r="I36" s="1" t="s">
        <v>113</v>
      </c>
      <c r="J36" s="17"/>
      <c r="K36" s="19"/>
      <c r="L36" s="19">
        <v>40375</v>
      </c>
      <c r="M36" s="17" t="s">
        <v>39</v>
      </c>
      <c r="N36" s="17"/>
      <c r="O36" s="20">
        <v>29.6</v>
      </c>
      <c r="P36" s="21"/>
      <c r="Q36" s="20"/>
      <c r="R36" s="20"/>
      <c r="S36" s="22"/>
      <c r="T36" s="20"/>
      <c r="U36" s="20">
        <f>IF(O36&gt;0,O36,((P36*2.2046*S36)+(Q36+R36)/F36)+T36)</f>
        <v>29.6</v>
      </c>
      <c r="V36" s="20">
        <f t="shared" si="4"/>
        <v>378584</v>
      </c>
      <c r="W36" s="23">
        <v>40382</v>
      </c>
    </row>
    <row r="37" spans="1:23">
      <c r="A37" s="35"/>
      <c r="B37" s="16" t="s">
        <v>92</v>
      </c>
      <c r="C37" s="17" t="s">
        <v>24</v>
      </c>
      <c r="D37" s="17" t="s">
        <v>25</v>
      </c>
      <c r="E37" s="17" t="s">
        <v>114</v>
      </c>
      <c r="F37" s="44">
        <v>555</v>
      </c>
      <c r="G37" s="18">
        <v>555</v>
      </c>
      <c r="H37" s="18">
        <f t="shared" si="3"/>
        <v>0</v>
      </c>
      <c r="I37" s="1" t="s">
        <v>115</v>
      </c>
      <c r="J37" s="17"/>
      <c r="K37" s="19"/>
      <c r="L37" s="19">
        <v>40375</v>
      </c>
      <c r="M37" s="17" t="s">
        <v>39</v>
      </c>
      <c r="N37" s="17"/>
      <c r="O37" s="20">
        <v>31</v>
      </c>
      <c r="P37" s="21"/>
      <c r="Q37" s="20"/>
      <c r="R37" s="20"/>
      <c r="S37" s="22"/>
      <c r="T37" s="20"/>
      <c r="U37" s="20">
        <f>IF(O37&gt;0,O37,((P37*2.2046*S37)+(Q37+R37)/F37)+T37)</f>
        <v>31</v>
      </c>
      <c r="V37" s="20">
        <f t="shared" si="4"/>
        <v>17205</v>
      </c>
      <c r="W37" s="23">
        <v>40383</v>
      </c>
    </row>
    <row r="38" spans="1:23">
      <c r="A38" s="35"/>
      <c r="B38" s="16" t="s">
        <v>94</v>
      </c>
      <c r="C38" s="17" t="s">
        <v>24</v>
      </c>
      <c r="D38" s="17" t="s">
        <v>25</v>
      </c>
      <c r="E38" s="17" t="s">
        <v>99</v>
      </c>
      <c r="F38" s="44">
        <v>759</v>
      </c>
      <c r="G38" s="18">
        <v>759</v>
      </c>
      <c r="H38" s="18">
        <f t="shared" si="3"/>
        <v>0</v>
      </c>
      <c r="I38" s="1" t="s">
        <v>116</v>
      </c>
      <c r="J38" s="17"/>
      <c r="K38" s="19"/>
      <c r="L38" s="19" t="s">
        <v>95</v>
      </c>
      <c r="M38" s="17"/>
      <c r="N38" s="17"/>
      <c r="O38" s="20">
        <v>34</v>
      </c>
      <c r="P38" s="21"/>
      <c r="Q38" s="20"/>
      <c r="R38" s="20"/>
      <c r="S38" s="22"/>
      <c r="T38" s="20"/>
      <c r="U38" s="20">
        <f>IF(O38&gt;0,O38,((P38*2.2046*S38)+(Q38+R38)/F38)+T38)</f>
        <v>34</v>
      </c>
      <c r="V38" s="20">
        <f t="shared" si="4"/>
        <v>25806</v>
      </c>
      <c r="W38" s="23" t="s">
        <v>95</v>
      </c>
    </row>
    <row r="39" spans="1:23">
      <c r="A39" s="35"/>
      <c r="B39" s="16" t="s">
        <v>117</v>
      </c>
      <c r="C39" s="17" t="s">
        <v>118</v>
      </c>
      <c r="D39" s="17" t="s">
        <v>119</v>
      </c>
      <c r="E39" s="17" t="s">
        <v>120</v>
      </c>
      <c r="F39" s="18">
        <v>18816.419999999998</v>
      </c>
      <c r="G39" s="18">
        <v>18802.740000000002</v>
      </c>
      <c r="H39" s="18">
        <f t="shared" si="3"/>
        <v>-13.679999999996653</v>
      </c>
      <c r="I39" s="1" t="s">
        <v>121</v>
      </c>
      <c r="J39" s="17"/>
      <c r="K39" s="19"/>
      <c r="L39" s="19">
        <v>40376</v>
      </c>
      <c r="M39" s="17" t="s">
        <v>42</v>
      </c>
      <c r="N39" s="17"/>
      <c r="O39" s="20">
        <v>44.5</v>
      </c>
      <c r="P39" s="21"/>
      <c r="Q39" s="20"/>
      <c r="R39" s="20"/>
      <c r="S39" s="22"/>
      <c r="T39" s="20"/>
      <c r="U39" s="20">
        <f>IF(O39&gt;0,O39,((P39*2.2046*S39)+(Q39+R39)/F39)+T39)</f>
        <v>44.5</v>
      </c>
      <c r="V39" s="20">
        <f t="shared" si="4"/>
        <v>837330.69</v>
      </c>
      <c r="W39" s="23">
        <v>40397</v>
      </c>
    </row>
    <row r="40" spans="1:23" ht="13.5" thickBot="1">
      <c r="A40" s="35"/>
      <c r="B40" s="34"/>
      <c r="C40" s="9"/>
      <c r="D40" s="9"/>
      <c r="E40" s="9"/>
      <c r="F40" s="10"/>
      <c r="G40" s="10"/>
      <c r="H40" s="10"/>
      <c r="I40" s="10"/>
      <c r="J40" s="9"/>
      <c r="K40" s="12"/>
      <c r="L40" s="12"/>
      <c r="M40" s="9"/>
      <c r="N40" s="9"/>
      <c r="O40" s="13"/>
      <c r="P40" s="14"/>
      <c r="Q40" s="13"/>
      <c r="R40" s="13"/>
      <c r="S40" s="13"/>
      <c r="T40" s="13"/>
      <c r="U40" s="13"/>
      <c r="V40" s="13"/>
      <c r="W40" s="28"/>
    </row>
    <row r="41" spans="1:23">
      <c r="A41" s="41"/>
      <c r="B41" s="16" t="s">
        <v>29</v>
      </c>
      <c r="C41" s="17" t="s">
        <v>30</v>
      </c>
      <c r="D41" s="17" t="s">
        <v>31</v>
      </c>
      <c r="E41" s="17" t="s">
        <v>32</v>
      </c>
      <c r="F41" s="18">
        <f>49144*0.4536</f>
        <v>22291.718400000002</v>
      </c>
      <c r="G41" s="29">
        <v>22280.38</v>
      </c>
      <c r="H41" s="29">
        <f t="shared" ref="H41:H52" si="5">G41-F41</f>
        <v>-11.338400000000547</v>
      </c>
      <c r="I41" s="17" t="s">
        <v>122</v>
      </c>
      <c r="J41" s="17"/>
      <c r="K41" s="19">
        <v>40375</v>
      </c>
      <c r="L41" s="19">
        <v>40378</v>
      </c>
      <c r="M41" s="30" t="s">
        <v>49</v>
      </c>
      <c r="N41" s="17" t="s">
        <v>123</v>
      </c>
      <c r="O41" s="20"/>
      <c r="P41" s="21">
        <v>0.95</v>
      </c>
      <c r="Q41" s="20"/>
      <c r="R41" s="20"/>
      <c r="S41" s="36">
        <v>13</v>
      </c>
      <c r="T41" s="20"/>
      <c r="U41" s="20">
        <f>P41/0.4536*S41</f>
        <v>27.22663139329806</v>
      </c>
      <c r="V41" s="31">
        <f t="shared" ref="V41:V69" si="6">U41*F41</f>
        <v>606928.4</v>
      </c>
      <c r="W41" s="23">
        <v>40378</v>
      </c>
    </row>
    <row r="42" spans="1:23">
      <c r="A42" s="41"/>
      <c r="B42" s="16" t="s">
        <v>50</v>
      </c>
      <c r="C42" s="17" t="s">
        <v>71</v>
      </c>
      <c r="D42" s="17" t="s">
        <v>71</v>
      </c>
      <c r="E42" s="17" t="s">
        <v>124</v>
      </c>
      <c r="F42" s="43">
        <v>949</v>
      </c>
      <c r="G42" s="18">
        <v>949</v>
      </c>
      <c r="H42" s="18">
        <f t="shared" si="5"/>
        <v>0</v>
      </c>
      <c r="I42" s="17" t="s">
        <v>125</v>
      </c>
      <c r="J42" s="17"/>
      <c r="K42" s="19"/>
      <c r="L42" s="19">
        <v>40378</v>
      </c>
      <c r="M42" s="17" t="s">
        <v>49</v>
      </c>
      <c r="N42" s="17"/>
      <c r="O42" s="20">
        <v>34</v>
      </c>
      <c r="P42" s="21"/>
      <c r="Q42" s="20"/>
      <c r="R42" s="20"/>
      <c r="S42" s="22"/>
      <c r="T42" s="20"/>
      <c r="U42" s="20">
        <f t="shared" ref="U42:U48" si="7">IF(O42&gt;0,O42,((P42*2.2046*S42)+(Q42+R42)/F42)+T42)</f>
        <v>34</v>
      </c>
      <c r="V42" s="20">
        <f t="shared" si="6"/>
        <v>32266</v>
      </c>
      <c r="W42" s="23">
        <v>40389</v>
      </c>
    </row>
    <row r="43" spans="1:23">
      <c r="A43" s="41"/>
      <c r="B43" s="16" t="s">
        <v>35</v>
      </c>
      <c r="C43" s="17" t="s">
        <v>36</v>
      </c>
      <c r="D43" s="17" t="s">
        <v>36</v>
      </c>
      <c r="E43" s="17" t="s">
        <v>126</v>
      </c>
      <c r="F43" s="43">
        <v>11170</v>
      </c>
      <c r="G43" s="18">
        <v>11170</v>
      </c>
      <c r="H43" s="18">
        <f t="shared" si="5"/>
        <v>0</v>
      </c>
      <c r="I43" s="17" t="s">
        <v>127</v>
      </c>
      <c r="J43" s="17"/>
      <c r="K43" s="19"/>
      <c r="L43" s="19">
        <v>40378</v>
      </c>
      <c r="M43" s="17" t="s">
        <v>49</v>
      </c>
      <c r="N43" s="17"/>
      <c r="O43" s="20">
        <v>29.6</v>
      </c>
      <c r="P43" s="21"/>
      <c r="Q43" s="20"/>
      <c r="R43" s="20"/>
      <c r="S43" s="22"/>
      <c r="T43" s="20"/>
      <c r="U43" s="20">
        <f t="shared" si="7"/>
        <v>29.6</v>
      </c>
      <c r="V43" s="20">
        <f t="shared" si="6"/>
        <v>330632</v>
      </c>
      <c r="W43" s="23">
        <v>40385</v>
      </c>
    </row>
    <row r="44" spans="1:23">
      <c r="A44" s="41"/>
      <c r="B44" s="16" t="s">
        <v>50</v>
      </c>
      <c r="C44" s="17" t="s">
        <v>24</v>
      </c>
      <c r="D44" s="17" t="s">
        <v>25</v>
      </c>
      <c r="E44" s="17" t="s">
        <v>51</v>
      </c>
      <c r="F44" s="43">
        <v>644</v>
      </c>
      <c r="G44" s="18">
        <v>644</v>
      </c>
      <c r="H44" s="18">
        <f t="shared" si="5"/>
        <v>0</v>
      </c>
      <c r="I44" s="17" t="s">
        <v>128</v>
      </c>
      <c r="J44" s="17"/>
      <c r="K44" s="19"/>
      <c r="L44" s="19">
        <v>40378</v>
      </c>
      <c r="M44" s="17" t="s">
        <v>49</v>
      </c>
      <c r="N44" s="17"/>
      <c r="O44" s="20">
        <v>33</v>
      </c>
      <c r="P44" s="21"/>
      <c r="Q44" s="20"/>
      <c r="R44" s="20"/>
      <c r="S44" s="22"/>
      <c r="T44" s="20"/>
      <c r="U44" s="20">
        <f t="shared" si="7"/>
        <v>33</v>
      </c>
      <c r="V44" s="20">
        <f t="shared" si="6"/>
        <v>21252</v>
      </c>
      <c r="W44" s="23">
        <v>40390</v>
      </c>
    </row>
    <row r="45" spans="1:23">
      <c r="A45" s="41"/>
      <c r="B45" s="16" t="s">
        <v>23</v>
      </c>
      <c r="C45" s="17" t="s">
        <v>24</v>
      </c>
      <c r="D45" s="17" t="s">
        <v>25</v>
      </c>
      <c r="E45" s="17" t="s">
        <v>84</v>
      </c>
      <c r="F45" s="43">
        <v>346</v>
      </c>
      <c r="G45" s="18">
        <v>346</v>
      </c>
      <c r="H45" s="18">
        <f t="shared" si="5"/>
        <v>0</v>
      </c>
      <c r="I45" s="17" t="s">
        <v>128</v>
      </c>
      <c r="J45" s="17"/>
      <c r="K45" s="19"/>
      <c r="L45" s="19">
        <v>40378</v>
      </c>
      <c r="M45" s="17" t="s">
        <v>49</v>
      </c>
      <c r="N45" s="17"/>
      <c r="O45" s="20">
        <v>31</v>
      </c>
      <c r="P45" s="21"/>
      <c r="Q45" s="20"/>
      <c r="R45" s="20"/>
      <c r="S45" s="22"/>
      <c r="T45" s="20"/>
      <c r="U45" s="20">
        <f>IF(O45&gt;0,O45,((P45*2.2046*S45)+(Q45+R45)/F45)+T45)</f>
        <v>31</v>
      </c>
      <c r="V45" s="20">
        <f>U45*F45</f>
        <v>10726</v>
      </c>
      <c r="W45" s="23">
        <v>40390</v>
      </c>
    </row>
    <row r="46" spans="1:23">
      <c r="A46" s="41"/>
      <c r="B46" s="16" t="s">
        <v>35</v>
      </c>
      <c r="C46" s="17" t="s">
        <v>129</v>
      </c>
      <c r="D46" s="17" t="s">
        <v>130</v>
      </c>
      <c r="E46" s="17" t="s">
        <v>131</v>
      </c>
      <c r="F46" s="43">
        <v>2480</v>
      </c>
      <c r="G46" s="18">
        <v>2480</v>
      </c>
      <c r="H46" s="18">
        <f t="shared" si="5"/>
        <v>0</v>
      </c>
      <c r="I46" s="17" t="s">
        <v>132</v>
      </c>
      <c r="J46" s="17"/>
      <c r="K46" s="19"/>
      <c r="L46" s="19">
        <v>40379</v>
      </c>
      <c r="M46" s="17" t="s">
        <v>62</v>
      </c>
      <c r="N46" s="17"/>
      <c r="O46" s="20">
        <v>30.3</v>
      </c>
      <c r="P46" s="21"/>
      <c r="Q46" s="20"/>
      <c r="R46" s="20"/>
      <c r="S46" s="22"/>
      <c r="T46" s="20"/>
      <c r="U46" s="20">
        <f>IF(O46&gt;0,O46,((P46*2.2046*S46)+(Q46+R46)/F46)+T46)</f>
        <v>30.3</v>
      </c>
      <c r="V46" s="20">
        <f>U46*F46</f>
        <v>75144</v>
      </c>
      <c r="W46" s="23">
        <v>40389</v>
      </c>
    </row>
    <row r="47" spans="1:23">
      <c r="A47" s="41"/>
      <c r="B47" s="16" t="s">
        <v>29</v>
      </c>
      <c r="C47" s="17" t="s">
        <v>57</v>
      </c>
      <c r="D47" s="17" t="s">
        <v>58</v>
      </c>
      <c r="E47" s="17" t="s">
        <v>59</v>
      </c>
      <c r="F47" s="26">
        <f>40465*0.4536</f>
        <v>18354.923999999999</v>
      </c>
      <c r="G47" s="18">
        <v>18250.3</v>
      </c>
      <c r="H47" s="18">
        <f t="shared" si="5"/>
        <v>-104.6239999999998</v>
      </c>
      <c r="I47" s="17" t="s">
        <v>133</v>
      </c>
      <c r="J47" s="32" t="s">
        <v>61</v>
      </c>
      <c r="K47" s="19">
        <v>40378</v>
      </c>
      <c r="L47" s="19">
        <v>40380</v>
      </c>
      <c r="M47" s="17" t="s">
        <v>70</v>
      </c>
      <c r="N47" s="17" t="s">
        <v>134</v>
      </c>
      <c r="O47" s="20"/>
      <c r="P47" s="21">
        <v>0.88</v>
      </c>
      <c r="Q47" s="20">
        <v>18560</v>
      </c>
      <c r="R47" s="20">
        <v>7128.5</v>
      </c>
      <c r="S47" s="22">
        <v>12.805</v>
      </c>
      <c r="T47" s="20">
        <v>0.13</v>
      </c>
      <c r="U47" s="20">
        <f t="shared" si="7"/>
        <v>26.371857345815616</v>
      </c>
      <c r="V47" s="20">
        <f t="shared" si="6"/>
        <v>484053.43732128735</v>
      </c>
      <c r="W47" s="23">
        <v>40380</v>
      </c>
    </row>
    <row r="48" spans="1:23">
      <c r="A48" s="41"/>
      <c r="B48" s="16" t="s">
        <v>29</v>
      </c>
      <c r="C48" s="17" t="s">
        <v>64</v>
      </c>
      <c r="D48" s="17" t="s">
        <v>64</v>
      </c>
      <c r="E48" s="17" t="s">
        <v>104</v>
      </c>
      <c r="F48" s="26">
        <f>40290*0.4536</f>
        <v>18275.544000000002</v>
      </c>
      <c r="G48" s="18">
        <v>18244.75</v>
      </c>
      <c r="H48" s="18">
        <f t="shared" si="5"/>
        <v>-30.794000000001688</v>
      </c>
      <c r="I48" s="17" t="s">
        <v>135</v>
      </c>
      <c r="J48" s="32" t="s">
        <v>61</v>
      </c>
      <c r="K48" s="19">
        <v>40378</v>
      </c>
      <c r="L48" s="19">
        <v>40380</v>
      </c>
      <c r="M48" s="17" t="s">
        <v>70</v>
      </c>
      <c r="N48" s="17" t="s">
        <v>136</v>
      </c>
      <c r="O48" s="20"/>
      <c r="P48" s="21">
        <v>0.86</v>
      </c>
      <c r="Q48" s="20">
        <v>18560</v>
      </c>
      <c r="R48" s="20">
        <v>7128.5</v>
      </c>
      <c r="S48" s="22">
        <v>12.78</v>
      </c>
      <c r="T48" s="20">
        <v>0.13</v>
      </c>
      <c r="U48" s="20">
        <f t="shared" si="7"/>
        <v>25.765939312931962</v>
      </c>
      <c r="V48" s="20">
        <f t="shared" si="6"/>
        <v>470886.55761481787</v>
      </c>
      <c r="W48" s="23">
        <v>40380</v>
      </c>
    </row>
    <row r="49" spans="1:23">
      <c r="A49" s="41"/>
      <c r="B49" s="16" t="s">
        <v>108</v>
      </c>
      <c r="C49" s="17" t="s">
        <v>80</v>
      </c>
      <c r="D49" s="17" t="s">
        <v>81</v>
      </c>
      <c r="E49" s="17" t="s">
        <v>82</v>
      </c>
      <c r="F49" s="43">
        <v>12170</v>
      </c>
      <c r="G49" s="18">
        <v>12170</v>
      </c>
      <c r="H49" s="18">
        <f t="shared" si="5"/>
        <v>0</v>
      </c>
      <c r="I49" s="17" t="s">
        <v>137</v>
      </c>
      <c r="J49" s="17"/>
      <c r="K49" s="19"/>
      <c r="L49" s="19">
        <v>40381</v>
      </c>
      <c r="M49" s="17" t="s">
        <v>28</v>
      </c>
      <c r="N49" s="17"/>
      <c r="O49" s="20">
        <v>29.6</v>
      </c>
      <c r="P49" s="21"/>
      <c r="Q49" s="20"/>
      <c r="R49" s="20"/>
      <c r="S49" s="22"/>
      <c r="T49" s="20"/>
      <c r="U49" s="20">
        <f>IF(O49&gt;0,O49,((P49*2.2046*S49)+(Q49+R49)/F49)+T49)</f>
        <v>29.6</v>
      </c>
      <c r="V49" s="20">
        <f>U49*F49</f>
        <v>360232</v>
      </c>
      <c r="W49" s="23">
        <v>40389</v>
      </c>
    </row>
    <row r="50" spans="1:23">
      <c r="A50" s="41"/>
      <c r="B50" s="16" t="s">
        <v>29</v>
      </c>
      <c r="C50" s="17" t="s">
        <v>30</v>
      </c>
      <c r="D50" s="17" t="s">
        <v>31</v>
      </c>
      <c r="E50" s="17" t="s">
        <v>32</v>
      </c>
      <c r="F50" s="26">
        <f>49179*0.4536</f>
        <v>22307.594400000002</v>
      </c>
      <c r="G50" s="18">
        <v>22251.25</v>
      </c>
      <c r="H50" s="18">
        <f t="shared" si="5"/>
        <v>-56.34440000000177</v>
      </c>
      <c r="I50" t="s">
        <v>138</v>
      </c>
      <c r="J50" s="17"/>
      <c r="K50" s="19">
        <v>40380</v>
      </c>
      <c r="L50" s="19">
        <v>40382</v>
      </c>
      <c r="M50" s="17" t="s">
        <v>39</v>
      </c>
      <c r="N50" s="17" t="s">
        <v>139</v>
      </c>
      <c r="O50" s="20"/>
      <c r="P50" s="21">
        <v>0.93</v>
      </c>
      <c r="Q50" s="20"/>
      <c r="R50" s="20"/>
      <c r="S50" s="36">
        <v>13</v>
      </c>
      <c r="T50" s="20"/>
      <c r="U50" s="20">
        <f>P50/0.4536*S50</f>
        <v>26.653439153439152</v>
      </c>
      <c r="V50" s="20">
        <f t="shared" si="6"/>
        <v>594574.11</v>
      </c>
      <c r="W50" s="23">
        <v>40382</v>
      </c>
    </row>
    <row r="51" spans="1:23">
      <c r="A51" s="41"/>
      <c r="B51" s="16" t="s">
        <v>50</v>
      </c>
      <c r="C51" s="17" t="s">
        <v>24</v>
      </c>
      <c r="D51" s="17" t="s">
        <v>25</v>
      </c>
      <c r="E51" s="17" t="s">
        <v>84</v>
      </c>
      <c r="F51" s="43">
        <f>120+159+119+123+183+184</f>
        <v>888</v>
      </c>
      <c r="G51" s="18">
        <v>888</v>
      </c>
      <c r="H51" s="18">
        <f t="shared" si="5"/>
        <v>0</v>
      </c>
      <c r="I51" t="s">
        <v>140</v>
      </c>
      <c r="J51" s="17"/>
      <c r="K51" s="19"/>
      <c r="L51" s="19">
        <v>40382</v>
      </c>
      <c r="M51" s="17" t="s">
        <v>39</v>
      </c>
      <c r="N51" s="17"/>
      <c r="O51" s="20">
        <v>33.5</v>
      </c>
      <c r="P51" s="21"/>
      <c r="Q51" s="20"/>
      <c r="R51" s="20"/>
      <c r="S51" s="22"/>
      <c r="T51" s="20"/>
      <c r="U51" s="20">
        <f>IF(O51&gt;0,O51,((P51*2.2046*S51)+(Q51+R51)/F51)+T51)</f>
        <v>33.5</v>
      </c>
      <c r="V51" s="20">
        <f t="shared" si="6"/>
        <v>29748</v>
      </c>
      <c r="W51" s="23">
        <v>40390</v>
      </c>
    </row>
    <row r="52" spans="1:23">
      <c r="A52" s="41"/>
      <c r="B52" s="16" t="s">
        <v>35</v>
      </c>
      <c r="C52" s="17" t="s">
        <v>129</v>
      </c>
      <c r="D52" s="17" t="s">
        <v>130</v>
      </c>
      <c r="E52" s="17" t="s">
        <v>141</v>
      </c>
      <c r="F52" s="43">
        <v>5400</v>
      </c>
      <c r="G52" s="18">
        <v>5400</v>
      </c>
      <c r="H52" s="18">
        <f t="shared" si="5"/>
        <v>0</v>
      </c>
      <c r="I52" t="s">
        <v>142</v>
      </c>
      <c r="J52" s="17"/>
      <c r="K52" s="19"/>
      <c r="L52" s="19">
        <v>40383</v>
      </c>
      <c r="M52" s="17" t="s">
        <v>42</v>
      </c>
      <c r="N52" s="17"/>
      <c r="O52" s="20">
        <v>30.3</v>
      </c>
      <c r="P52" s="21"/>
      <c r="Q52" s="20"/>
      <c r="R52" s="20"/>
      <c r="S52" s="22"/>
      <c r="T52" s="20"/>
      <c r="U52" s="20">
        <f>IF(O52&gt;0,O52,((P52*2.2046*S52)+(Q52+R52)/F52)+T52)</f>
        <v>30.3</v>
      </c>
      <c r="V52" s="20">
        <f>U52*F52</f>
        <v>163620</v>
      </c>
      <c r="W52" s="23">
        <v>40389</v>
      </c>
    </row>
    <row r="53" spans="1:23" ht="13.5" thickBot="1">
      <c r="A53" s="41"/>
      <c r="B53" s="34"/>
      <c r="C53" s="9"/>
      <c r="D53" s="9"/>
      <c r="E53" s="9"/>
      <c r="F53" s="10"/>
      <c r="G53" s="10"/>
      <c r="H53" s="10"/>
      <c r="I53" s="11"/>
      <c r="J53" s="9"/>
      <c r="K53" s="12"/>
      <c r="L53" s="12"/>
      <c r="M53" s="9"/>
      <c r="N53" s="9"/>
      <c r="O53" s="13"/>
      <c r="P53" s="14"/>
      <c r="Q53" s="13"/>
      <c r="R53" s="13"/>
      <c r="S53" s="13"/>
      <c r="T53" s="13"/>
      <c r="U53" s="13"/>
      <c r="V53" s="13"/>
      <c r="W53" s="28"/>
    </row>
    <row r="54" spans="1:23">
      <c r="A54" s="42"/>
      <c r="B54" s="16" t="s">
        <v>29</v>
      </c>
      <c r="C54" s="17" t="s">
        <v>30</v>
      </c>
      <c r="D54" s="17" t="s">
        <v>31</v>
      </c>
      <c r="E54" s="17" t="s">
        <v>32</v>
      </c>
      <c r="F54" s="18">
        <f>48939*0.4536</f>
        <v>22198.7304</v>
      </c>
      <c r="G54" s="18">
        <v>22165.35</v>
      </c>
      <c r="H54" s="18">
        <f t="shared" ref="H54:H69" si="8">G54-F54</f>
        <v>-33.380400000001828</v>
      </c>
      <c r="I54" s="17" t="s">
        <v>143</v>
      </c>
      <c r="J54" s="17"/>
      <c r="K54" s="19">
        <v>40382</v>
      </c>
      <c r="L54" s="19">
        <v>40385</v>
      </c>
      <c r="M54" s="17" t="s">
        <v>49</v>
      </c>
      <c r="N54" s="17" t="s">
        <v>144</v>
      </c>
      <c r="O54" s="20"/>
      <c r="P54" s="21">
        <v>0.95</v>
      </c>
      <c r="Q54" s="20"/>
      <c r="R54" s="20"/>
      <c r="S54" s="36">
        <v>13</v>
      </c>
      <c r="T54" s="20"/>
      <c r="U54" s="20">
        <f>P54/0.4536*S54</f>
        <v>27.22663139329806</v>
      </c>
      <c r="V54" s="20">
        <f t="shared" si="6"/>
        <v>604396.65</v>
      </c>
      <c r="W54" s="23">
        <v>40385</v>
      </c>
    </row>
    <row r="55" spans="1:23">
      <c r="A55" s="42"/>
      <c r="B55" s="16" t="s">
        <v>35</v>
      </c>
      <c r="C55" s="17" t="s">
        <v>145</v>
      </c>
      <c r="D55" s="17" t="s">
        <v>145</v>
      </c>
      <c r="E55" s="17" t="s">
        <v>131</v>
      </c>
      <c r="F55" s="44">
        <v>2393.172</v>
      </c>
      <c r="G55" s="18">
        <v>2393.17</v>
      </c>
      <c r="H55" s="18">
        <f t="shared" si="8"/>
        <v>-1.9999999999527063E-3</v>
      </c>
      <c r="I55" s="17" t="s">
        <v>146</v>
      </c>
      <c r="J55" s="17"/>
      <c r="K55" s="19"/>
      <c r="L55" s="19">
        <v>40385</v>
      </c>
      <c r="M55" s="17" t="s">
        <v>49</v>
      </c>
      <c r="N55" s="17"/>
      <c r="O55" s="20">
        <v>29</v>
      </c>
      <c r="P55" s="21"/>
      <c r="Q55" s="20"/>
      <c r="R55" s="20"/>
      <c r="S55" s="22"/>
      <c r="T55" s="20"/>
      <c r="U55" s="20">
        <f t="shared" ref="U55:U63" si="9">IF(O55&gt;0,O55,((P55*2.2046*S55)+(Q55+R55)/F55)+T55)</f>
        <v>29</v>
      </c>
      <c r="V55" s="20">
        <f t="shared" si="6"/>
        <v>69401.987999999998</v>
      </c>
      <c r="W55" s="23">
        <v>40390</v>
      </c>
    </row>
    <row r="56" spans="1:23">
      <c r="A56" s="42"/>
      <c r="B56" s="16" t="s">
        <v>35</v>
      </c>
      <c r="C56" s="17" t="s">
        <v>36</v>
      </c>
      <c r="D56" s="17" t="s">
        <v>36</v>
      </c>
      <c r="E56" s="17" t="s">
        <v>109</v>
      </c>
      <c r="F56" s="44">
        <v>11930</v>
      </c>
      <c r="G56" s="18">
        <v>11930</v>
      </c>
      <c r="H56" s="18">
        <f t="shared" si="8"/>
        <v>0</v>
      </c>
      <c r="I56" s="17" t="s">
        <v>147</v>
      </c>
      <c r="J56" s="17"/>
      <c r="K56" s="19"/>
      <c r="L56" s="19">
        <v>40385</v>
      </c>
      <c r="M56" s="17" t="s">
        <v>49</v>
      </c>
      <c r="N56" s="17"/>
      <c r="O56" s="20">
        <v>29.6</v>
      </c>
      <c r="P56" s="21"/>
      <c r="Q56" s="20"/>
      <c r="R56" s="20"/>
      <c r="S56" s="22"/>
      <c r="T56" s="20"/>
      <c r="U56" s="20">
        <f t="shared" si="9"/>
        <v>29.6</v>
      </c>
      <c r="V56" s="20">
        <f t="shared" si="6"/>
        <v>353128</v>
      </c>
      <c r="W56" s="23">
        <v>40392</v>
      </c>
    </row>
    <row r="57" spans="1:23">
      <c r="A57" s="42"/>
      <c r="B57" s="16" t="s">
        <v>50</v>
      </c>
      <c r="C57" s="17" t="s">
        <v>24</v>
      </c>
      <c r="D57" s="17" t="s">
        <v>25</v>
      </c>
      <c r="E57" s="17" t="s">
        <v>26</v>
      </c>
      <c r="F57" s="44">
        <f>142+168+144+142+143+168+167</f>
        <v>1074</v>
      </c>
      <c r="G57" s="18">
        <v>1074</v>
      </c>
      <c r="H57" s="18">
        <f t="shared" si="8"/>
        <v>0</v>
      </c>
      <c r="I57" s="17" t="s">
        <v>148</v>
      </c>
      <c r="J57" s="17"/>
      <c r="K57" s="19"/>
      <c r="L57" s="19">
        <v>40385</v>
      </c>
      <c r="M57" s="17" t="s">
        <v>49</v>
      </c>
      <c r="N57" s="17"/>
      <c r="O57" s="20">
        <v>33.5</v>
      </c>
      <c r="P57" s="21"/>
      <c r="Q57" s="20"/>
      <c r="R57" s="20"/>
      <c r="S57" s="22"/>
      <c r="T57" s="20"/>
      <c r="U57" s="20">
        <f t="shared" si="9"/>
        <v>33.5</v>
      </c>
      <c r="V57" s="20">
        <f t="shared" si="6"/>
        <v>35979</v>
      </c>
      <c r="W57" s="23">
        <v>40397</v>
      </c>
    </row>
    <row r="58" spans="1:23">
      <c r="A58" s="42"/>
      <c r="B58" s="16" t="s">
        <v>149</v>
      </c>
      <c r="C58" s="17" t="s">
        <v>150</v>
      </c>
      <c r="D58" s="17" t="s">
        <v>151</v>
      </c>
      <c r="E58" s="17" t="s">
        <v>152</v>
      </c>
      <c r="F58" s="18">
        <v>17814.93</v>
      </c>
      <c r="G58" s="18">
        <v>17814.93</v>
      </c>
      <c r="H58" s="18">
        <f t="shared" si="8"/>
        <v>0</v>
      </c>
      <c r="I58" s="17" t="s">
        <v>153</v>
      </c>
      <c r="J58" s="17"/>
      <c r="K58" s="19"/>
      <c r="L58" s="19">
        <v>40385</v>
      </c>
      <c r="M58" s="17" t="s">
        <v>49</v>
      </c>
      <c r="N58" s="17"/>
      <c r="O58" s="20">
        <v>13.2</v>
      </c>
      <c r="P58" s="21"/>
      <c r="Q58" s="20"/>
      <c r="R58" s="20"/>
      <c r="S58" s="22"/>
      <c r="T58" s="20"/>
      <c r="U58" s="20">
        <f>IF(O58&gt;0,O58,((P58*2.2046*S58)+(Q58+R58)/F58)+T58)</f>
        <v>13.2</v>
      </c>
      <c r="V58" s="20">
        <f>U58*F58</f>
        <v>235157.076</v>
      </c>
      <c r="W58" s="23">
        <v>40399</v>
      </c>
    </row>
    <row r="59" spans="1:23">
      <c r="A59" s="42"/>
      <c r="B59" s="16" t="s">
        <v>29</v>
      </c>
      <c r="C59" s="17" t="s">
        <v>57</v>
      </c>
      <c r="D59" s="17" t="s">
        <v>58</v>
      </c>
      <c r="E59" s="17" t="s">
        <v>59</v>
      </c>
      <c r="F59" s="18">
        <f>41464*0.4536</f>
        <v>18808.070400000001</v>
      </c>
      <c r="G59" s="18">
        <v>18701.66</v>
      </c>
      <c r="H59" s="18">
        <f t="shared" si="8"/>
        <v>-106.41040000000066</v>
      </c>
      <c r="I59" s="17" t="s">
        <v>154</v>
      </c>
      <c r="J59" s="37" t="s">
        <v>61</v>
      </c>
      <c r="K59" s="19">
        <v>40385</v>
      </c>
      <c r="L59" s="19">
        <v>40387</v>
      </c>
      <c r="M59" s="17" t="s">
        <v>70</v>
      </c>
      <c r="N59" s="17" t="s">
        <v>155</v>
      </c>
      <c r="O59" s="20"/>
      <c r="P59" s="21">
        <v>0.96</v>
      </c>
      <c r="Q59" s="20">
        <v>18560</v>
      </c>
      <c r="R59" s="20">
        <v>7009.5</v>
      </c>
      <c r="S59" s="22">
        <v>12.696</v>
      </c>
      <c r="T59" s="20">
        <v>0.13</v>
      </c>
      <c r="U59" s="20">
        <f t="shared" si="9"/>
        <v>28.359513723338811</v>
      </c>
      <c r="V59" s="20">
        <f t="shared" si="6"/>
        <v>533387.7306183225</v>
      </c>
      <c r="W59" s="23">
        <v>40386</v>
      </c>
    </row>
    <row r="60" spans="1:23">
      <c r="A60" s="42"/>
      <c r="B60" s="16" t="s">
        <v>29</v>
      </c>
      <c r="C60" s="17" t="s">
        <v>64</v>
      </c>
      <c r="D60" s="17" t="s">
        <v>64</v>
      </c>
      <c r="E60" s="17" t="s">
        <v>104</v>
      </c>
      <c r="F60" s="18">
        <f>40374*0.4536</f>
        <v>18313.646400000001</v>
      </c>
      <c r="G60" s="18">
        <v>18283.82</v>
      </c>
      <c r="H60" s="18">
        <f t="shared" si="8"/>
        <v>-29.82640000000174</v>
      </c>
      <c r="I60" s="17" t="s">
        <v>156</v>
      </c>
      <c r="J60" s="37" t="s">
        <v>61</v>
      </c>
      <c r="K60" s="19">
        <v>40385</v>
      </c>
      <c r="L60" s="19">
        <v>40387</v>
      </c>
      <c r="M60" s="17" t="s">
        <v>70</v>
      </c>
      <c r="N60" s="17" t="s">
        <v>157</v>
      </c>
      <c r="O60" s="20"/>
      <c r="P60" s="21">
        <v>0.94</v>
      </c>
      <c r="Q60" s="20">
        <v>18560</v>
      </c>
      <c r="R60" s="20">
        <v>6983.5</v>
      </c>
      <c r="S60" s="22">
        <v>12.67</v>
      </c>
      <c r="T60" s="20">
        <v>0.13</v>
      </c>
      <c r="U60" s="20">
        <f t="shared" si="9"/>
        <v>27.781124658140154</v>
      </c>
      <c r="V60" s="20">
        <f t="shared" si="6"/>
        <v>508773.6935834997</v>
      </c>
      <c r="W60" s="23">
        <v>40386</v>
      </c>
    </row>
    <row r="61" spans="1:23">
      <c r="A61" s="42"/>
      <c r="B61" s="16" t="s">
        <v>108</v>
      </c>
      <c r="C61" s="17" t="s">
        <v>45</v>
      </c>
      <c r="D61" s="17" t="s">
        <v>46</v>
      </c>
      <c r="E61" s="17" t="s">
        <v>158</v>
      </c>
      <c r="F61" s="44">
        <v>11579.5</v>
      </c>
      <c r="G61" s="18">
        <v>11600</v>
      </c>
      <c r="H61" s="18">
        <f t="shared" si="8"/>
        <v>20.5</v>
      </c>
      <c r="I61" s="17" t="s">
        <v>159</v>
      </c>
      <c r="J61" s="17"/>
      <c r="K61" s="19"/>
      <c r="L61" s="19">
        <v>40387</v>
      </c>
      <c r="M61" s="17" t="s">
        <v>70</v>
      </c>
      <c r="N61" s="17"/>
      <c r="O61" s="20">
        <v>29.8</v>
      </c>
      <c r="P61" s="21"/>
      <c r="Q61" s="20"/>
      <c r="R61" s="20"/>
      <c r="S61" s="22"/>
      <c r="T61" s="20"/>
      <c r="U61" s="20">
        <f t="shared" si="9"/>
        <v>29.8</v>
      </c>
      <c r="V61" s="20">
        <f t="shared" si="6"/>
        <v>345069.10000000003</v>
      </c>
      <c r="W61" s="23">
        <v>40394</v>
      </c>
    </row>
    <row r="62" spans="1:23">
      <c r="A62" s="42"/>
      <c r="B62" s="16" t="s">
        <v>50</v>
      </c>
      <c r="C62" s="17" t="s">
        <v>71</v>
      </c>
      <c r="D62" s="17" t="s">
        <v>71</v>
      </c>
      <c r="E62" s="17" t="s">
        <v>84</v>
      </c>
      <c r="F62" s="44">
        <v>980</v>
      </c>
      <c r="G62" s="18">
        <v>980</v>
      </c>
      <c r="H62" s="18">
        <f t="shared" si="8"/>
        <v>0</v>
      </c>
      <c r="I62" s="17" t="s">
        <v>160</v>
      </c>
      <c r="J62" s="17"/>
      <c r="K62" s="19"/>
      <c r="L62" s="19">
        <v>40388</v>
      </c>
      <c r="M62" s="17" t="s">
        <v>28</v>
      </c>
      <c r="N62" s="17"/>
      <c r="O62" s="20">
        <v>34</v>
      </c>
      <c r="P62" s="21"/>
      <c r="Q62" s="20"/>
      <c r="R62" s="20"/>
      <c r="S62" s="22"/>
      <c r="T62" s="20"/>
      <c r="U62" s="20">
        <f t="shared" si="9"/>
        <v>34</v>
      </c>
      <c r="V62" s="20">
        <f t="shared" si="6"/>
        <v>33320</v>
      </c>
      <c r="W62" s="23">
        <v>40389</v>
      </c>
    </row>
    <row r="63" spans="1:23">
      <c r="A63" s="42"/>
      <c r="B63" s="16" t="s">
        <v>161</v>
      </c>
      <c r="C63" s="17" t="s">
        <v>145</v>
      </c>
      <c r="D63" s="17" t="s">
        <v>145</v>
      </c>
      <c r="E63" s="17" t="s">
        <v>162</v>
      </c>
      <c r="F63" s="44">
        <v>54.2</v>
      </c>
      <c r="G63" s="18">
        <v>54.2</v>
      </c>
      <c r="H63" s="18">
        <f t="shared" si="8"/>
        <v>0</v>
      </c>
      <c r="I63" s="17" t="s">
        <v>163</v>
      </c>
      <c r="J63" s="17"/>
      <c r="K63" s="19"/>
      <c r="L63" s="19">
        <v>40388</v>
      </c>
      <c r="M63" s="17"/>
      <c r="N63" s="17"/>
      <c r="O63" s="20">
        <v>42</v>
      </c>
      <c r="P63" s="21"/>
      <c r="Q63" s="20"/>
      <c r="R63" s="20"/>
      <c r="S63" s="22"/>
      <c r="T63" s="20"/>
      <c r="U63" s="20">
        <f t="shared" si="9"/>
        <v>42</v>
      </c>
      <c r="V63" s="20">
        <f t="shared" si="6"/>
        <v>2276.4</v>
      </c>
      <c r="W63" s="23">
        <v>40389</v>
      </c>
    </row>
    <row r="64" spans="1:23">
      <c r="A64" s="42"/>
      <c r="B64" s="16" t="s">
        <v>29</v>
      </c>
      <c r="C64" s="17" t="s">
        <v>30</v>
      </c>
      <c r="D64" s="17" t="s">
        <v>31</v>
      </c>
      <c r="E64" s="17" t="s">
        <v>32</v>
      </c>
      <c r="F64" s="26">
        <f>48739*0.4536</f>
        <v>22108.010399999999</v>
      </c>
      <c r="G64" s="18">
        <v>22101.7</v>
      </c>
      <c r="H64" s="18">
        <f t="shared" si="8"/>
        <v>-6.3103999999984808</v>
      </c>
      <c r="I64" s="17" t="s">
        <v>164</v>
      </c>
      <c r="J64" s="17"/>
      <c r="K64" s="19">
        <v>40387</v>
      </c>
      <c r="L64" s="19">
        <v>40389</v>
      </c>
      <c r="M64" s="17" t="s">
        <v>39</v>
      </c>
      <c r="N64" s="17" t="s">
        <v>165</v>
      </c>
      <c r="O64" s="20"/>
      <c r="P64" s="21">
        <v>1</v>
      </c>
      <c r="Q64" s="20"/>
      <c r="R64" s="20"/>
      <c r="S64" s="36">
        <v>13</v>
      </c>
      <c r="T64" s="20"/>
      <c r="U64" s="20">
        <f>P64/0.4536*S64</f>
        <v>28.659611992945322</v>
      </c>
      <c r="V64" s="20">
        <f>U64*F64</f>
        <v>633606.99999999988</v>
      </c>
      <c r="W64" s="23">
        <v>40389</v>
      </c>
    </row>
    <row r="65" spans="1:23">
      <c r="A65" s="42"/>
      <c r="B65" s="16" t="s">
        <v>108</v>
      </c>
      <c r="C65" s="17" t="s">
        <v>80</v>
      </c>
      <c r="D65" s="17" t="s">
        <v>81</v>
      </c>
      <c r="E65" s="17" t="s">
        <v>82</v>
      </c>
      <c r="F65" s="43">
        <v>11870</v>
      </c>
      <c r="G65" s="18">
        <v>11870</v>
      </c>
      <c r="H65" s="18">
        <f t="shared" si="8"/>
        <v>0</v>
      </c>
      <c r="I65" s="17" t="s">
        <v>166</v>
      </c>
      <c r="J65" s="17"/>
      <c r="K65" s="19"/>
      <c r="L65" s="19">
        <v>40389</v>
      </c>
      <c r="M65" s="17" t="s">
        <v>39</v>
      </c>
      <c r="N65" s="17"/>
      <c r="O65" s="20">
        <v>29.6</v>
      </c>
      <c r="P65" s="21"/>
      <c r="Q65" s="20"/>
      <c r="R65" s="20"/>
      <c r="S65" s="22"/>
      <c r="T65" s="20"/>
      <c r="U65" s="20">
        <f>IF(O65&gt;0,O65,((P65*2.2046*S65)+(Q65+R65)/F65)+T65)</f>
        <v>29.6</v>
      </c>
      <c r="V65" s="20">
        <f t="shared" si="6"/>
        <v>351352</v>
      </c>
      <c r="W65" s="23">
        <v>40396</v>
      </c>
    </row>
    <row r="66" spans="1:23">
      <c r="A66" s="42"/>
      <c r="B66" s="16" t="s">
        <v>23</v>
      </c>
      <c r="C66" s="17" t="s">
        <v>71</v>
      </c>
      <c r="D66" s="17" t="s">
        <v>71</v>
      </c>
      <c r="E66" s="17" t="s">
        <v>54</v>
      </c>
      <c r="F66" s="43">
        <v>390.7</v>
      </c>
      <c r="G66" s="18">
        <v>390.7</v>
      </c>
      <c r="H66" s="18">
        <f t="shared" si="8"/>
        <v>0</v>
      </c>
      <c r="I66" s="17" t="s">
        <v>167</v>
      </c>
      <c r="J66" s="17"/>
      <c r="K66" s="19"/>
      <c r="L66" s="19">
        <v>40389</v>
      </c>
      <c r="M66" s="17" t="s">
        <v>39</v>
      </c>
      <c r="N66" s="17"/>
      <c r="O66" s="20">
        <v>32</v>
      </c>
      <c r="P66" s="21"/>
      <c r="Q66" s="20"/>
      <c r="R66" s="20"/>
      <c r="S66" s="22"/>
      <c r="T66" s="20"/>
      <c r="U66" s="20">
        <f>IF(O66&gt;0,O66,((P66*2.2046*S66)+(Q66+R66)/F66)+T66)</f>
        <v>32</v>
      </c>
      <c r="V66" s="20">
        <f t="shared" si="6"/>
        <v>12502.4</v>
      </c>
      <c r="W66" s="23">
        <v>40389</v>
      </c>
    </row>
    <row r="67" spans="1:23">
      <c r="A67" s="42"/>
      <c r="B67" s="16" t="s">
        <v>23</v>
      </c>
      <c r="C67" s="17" t="s">
        <v>24</v>
      </c>
      <c r="D67" s="17" t="s">
        <v>25</v>
      </c>
      <c r="E67" s="17" t="s">
        <v>99</v>
      </c>
      <c r="F67" s="43">
        <f>50+55.5+53+73+48</f>
        <v>279.5</v>
      </c>
      <c r="G67" s="18">
        <v>279.5</v>
      </c>
      <c r="H67" s="18">
        <f t="shared" si="8"/>
        <v>0</v>
      </c>
      <c r="I67" s="17" t="s">
        <v>168</v>
      </c>
      <c r="J67" s="17"/>
      <c r="K67" s="19"/>
      <c r="L67" s="19">
        <v>40389</v>
      </c>
      <c r="M67" s="17" t="s">
        <v>39</v>
      </c>
      <c r="N67" s="17"/>
      <c r="O67" s="20">
        <v>31</v>
      </c>
      <c r="P67" s="21"/>
      <c r="Q67" s="20"/>
      <c r="R67" s="20"/>
      <c r="S67" s="22"/>
      <c r="T67" s="20"/>
      <c r="U67" s="20">
        <f>IF(O67&gt;0,O67,((P67*2.2046*S67)+(Q67+R67)/F67)+T67)</f>
        <v>31</v>
      </c>
      <c r="V67" s="20">
        <f t="shared" si="6"/>
        <v>8664.5</v>
      </c>
      <c r="W67" s="23">
        <v>40366</v>
      </c>
    </row>
    <row r="68" spans="1:23">
      <c r="A68" s="42"/>
      <c r="B68" s="16" t="s">
        <v>50</v>
      </c>
      <c r="C68" s="17" t="s">
        <v>24</v>
      </c>
      <c r="D68" s="17" t="s">
        <v>25</v>
      </c>
      <c r="E68" s="17" t="s">
        <v>51</v>
      </c>
      <c r="F68" s="43">
        <f>146+145</f>
        <v>291</v>
      </c>
      <c r="G68" s="18">
        <v>291</v>
      </c>
      <c r="H68" s="18">
        <f t="shared" si="8"/>
        <v>0</v>
      </c>
      <c r="I68" s="17" t="s">
        <v>168</v>
      </c>
      <c r="J68" s="17"/>
      <c r="K68" s="19"/>
      <c r="L68" s="19">
        <v>40389</v>
      </c>
      <c r="M68" s="17" t="s">
        <v>39</v>
      </c>
      <c r="N68" s="17"/>
      <c r="O68" s="20">
        <v>33</v>
      </c>
      <c r="P68" s="21"/>
      <c r="Q68" s="20"/>
      <c r="R68" s="20"/>
      <c r="S68" s="22"/>
      <c r="T68" s="20"/>
      <c r="U68" s="20">
        <f>IF(O68&gt;0,O68,((P68*2.2046*S68)+(Q68+R68)/F68)+T68)</f>
        <v>33</v>
      </c>
      <c r="V68" s="20">
        <f t="shared" si="6"/>
        <v>9603</v>
      </c>
      <c r="W68" s="23">
        <v>40366</v>
      </c>
    </row>
    <row r="69" spans="1:23">
      <c r="A69" s="42"/>
      <c r="B69" s="16" t="s">
        <v>29</v>
      </c>
      <c r="C69" s="17" t="s">
        <v>30</v>
      </c>
      <c r="D69" s="17" t="s">
        <v>31</v>
      </c>
      <c r="E69" s="17" t="s">
        <v>32</v>
      </c>
      <c r="F69" s="26">
        <f>49132*0.4536</f>
        <v>22286.2752</v>
      </c>
      <c r="G69" s="18">
        <v>22245.39</v>
      </c>
      <c r="H69" s="18">
        <f t="shared" si="8"/>
        <v>-40.885200000000623</v>
      </c>
      <c r="I69" s="17" t="s">
        <v>169</v>
      </c>
      <c r="J69" s="17"/>
      <c r="K69" s="19">
        <v>40389</v>
      </c>
      <c r="L69" s="19">
        <v>40390</v>
      </c>
      <c r="M69" s="17" t="s">
        <v>42</v>
      </c>
      <c r="N69" s="17" t="s">
        <v>170</v>
      </c>
      <c r="O69" s="20"/>
      <c r="P69" s="21">
        <v>1</v>
      </c>
      <c r="Q69" s="20"/>
      <c r="R69" s="20"/>
      <c r="S69" s="36">
        <v>13</v>
      </c>
      <c r="T69" s="20"/>
      <c r="U69" s="20">
        <f>P69/0.4536*S69</f>
        <v>28.659611992945322</v>
      </c>
      <c r="V69" s="20">
        <f t="shared" si="6"/>
        <v>638715.99999999988</v>
      </c>
      <c r="W69" s="23">
        <v>40397</v>
      </c>
    </row>
    <row r="70" spans="1:23" ht="13.5" thickBot="1">
      <c r="A70" s="42"/>
      <c r="B70" s="34"/>
      <c r="C70" s="9"/>
      <c r="D70" s="9"/>
      <c r="E70" s="9"/>
      <c r="F70" s="10"/>
      <c r="G70" s="10"/>
      <c r="H70" s="10"/>
      <c r="I70" s="11"/>
      <c r="J70" s="9"/>
      <c r="K70" s="12"/>
      <c r="L70" s="12"/>
      <c r="M70" s="9"/>
      <c r="N70" s="9"/>
      <c r="O70" s="13"/>
      <c r="P70" s="14"/>
      <c r="Q70" s="13"/>
      <c r="R70" s="13"/>
      <c r="S70" s="13"/>
      <c r="T70" s="13"/>
      <c r="U70" s="13"/>
      <c r="V70" s="13"/>
      <c r="W70" s="28"/>
    </row>
    <row r="71" spans="1:23">
      <c r="I71" s="1"/>
      <c r="J71" s="1"/>
      <c r="K71" s="1"/>
      <c r="L71" s="1"/>
      <c r="M71" s="6"/>
      <c r="N71" s="6"/>
      <c r="O71" s="6"/>
      <c r="P71" s="6"/>
      <c r="Q71" s="1"/>
      <c r="R71" s="1"/>
      <c r="S71" s="1"/>
      <c r="T71" s="1"/>
    </row>
    <row r="72" spans="1:23">
      <c r="E72" s="38"/>
      <c r="I72" s="1"/>
      <c r="J72" s="1"/>
      <c r="K72" s="1"/>
      <c r="L72" s="1"/>
      <c r="M72" s="6"/>
      <c r="N72" s="6"/>
      <c r="O72" s="6"/>
      <c r="P72" s="6"/>
      <c r="Q72" s="1"/>
      <c r="R72" s="1"/>
      <c r="S72" s="1"/>
      <c r="T72" s="1"/>
    </row>
    <row r="73" spans="1:23">
      <c r="I73" s="1"/>
      <c r="J73" s="1"/>
      <c r="K73" s="1"/>
      <c r="L73" s="1"/>
      <c r="M73" s="6"/>
      <c r="N73" s="6"/>
      <c r="O73" s="6"/>
      <c r="P73" s="6"/>
      <c r="Q73" s="1"/>
      <c r="R73" s="1"/>
      <c r="S73" s="1"/>
      <c r="T73" s="1"/>
    </row>
    <row r="74" spans="1:23">
      <c r="F74" s="39"/>
      <c r="I74" s="1"/>
      <c r="J74" s="1"/>
      <c r="K74" s="1"/>
      <c r="L74" s="1"/>
      <c r="M74" s="6"/>
      <c r="N74" s="6"/>
      <c r="O74" s="6"/>
      <c r="P74" s="6"/>
      <c r="Q74" s="1"/>
      <c r="R74" s="1"/>
      <c r="S74" s="1"/>
      <c r="T74" s="1"/>
    </row>
    <row r="75" spans="1:23">
      <c r="I75" s="1"/>
      <c r="J75" s="1"/>
      <c r="K75" s="1"/>
      <c r="L75" s="1"/>
      <c r="M75" s="6"/>
      <c r="O75" s="6"/>
      <c r="P75" s="6"/>
      <c r="Q75" s="1"/>
      <c r="R75" s="1"/>
      <c r="S75" s="1"/>
      <c r="T75" s="1"/>
    </row>
    <row r="76" spans="1:23">
      <c r="F76" s="39"/>
      <c r="I76" s="1"/>
      <c r="J76" s="1"/>
      <c r="K76" s="1"/>
      <c r="L76" s="1"/>
      <c r="M76" s="6"/>
    </row>
    <row r="77" spans="1:23">
      <c r="F77" s="39"/>
      <c r="I77" s="1"/>
      <c r="J77" s="1"/>
      <c r="K77" s="1"/>
      <c r="L77" s="1"/>
      <c r="M77" s="6"/>
    </row>
    <row r="78" spans="1:23">
      <c r="I78" s="1"/>
      <c r="J78" s="1"/>
      <c r="K78" s="1"/>
      <c r="L78" s="1"/>
      <c r="M78" s="6"/>
    </row>
    <row r="79" spans="1:23">
      <c r="I79" s="1"/>
      <c r="J79" s="1"/>
      <c r="K79" s="1"/>
      <c r="L79" s="1"/>
      <c r="M79" s="6"/>
    </row>
    <row r="80" spans="1:23">
      <c r="I80" s="1"/>
      <c r="J80" s="1"/>
      <c r="K80" s="1"/>
      <c r="L80" s="1"/>
      <c r="M80" s="6"/>
    </row>
  </sheetData>
  <mergeCells count="3">
    <mergeCell ref="A10:A23"/>
    <mergeCell ref="A41:A53"/>
    <mergeCell ref="A54:A70"/>
  </mergeCells>
  <phoneticPr fontId="3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cic</cp:lastModifiedBy>
  <dcterms:created xsi:type="dcterms:W3CDTF">2010-07-31T16:09:50Z</dcterms:created>
  <dcterms:modified xsi:type="dcterms:W3CDTF">2010-08-10T14:41:20Z</dcterms:modified>
</cp:coreProperties>
</file>