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jpeg" ContentType="image/jpeg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330" windowWidth="14955" windowHeight="7680"/>
  </bookViews>
  <sheets>
    <sheet name="compras" sheetId="9" r:id="rId1"/>
    <sheet name="adeudos" sheetId="8" r:id="rId2"/>
    <sheet name="Alm gral jun 10" sheetId="7" r:id="rId3"/>
    <sheet name="Comp Alm Gral Jun 10" sheetId="6" r:id="rId4"/>
    <sheet name="obrador jun 10" sheetId="5" r:id="rId5"/>
    <sheet name="Cic Jun 10" sheetId="4" r:id="rId6"/>
    <sheet name="Herradura jun 10" sheetId="3" r:id="rId7"/>
    <sheet name="11 Sur jun 10" sheetId="10" r:id="rId8"/>
  </sheets>
  <externalReferences>
    <externalReference r:id="rId9"/>
  </externalReferences>
  <calcPr calcId="124519"/>
</workbook>
</file>

<file path=xl/calcChain.xml><?xml version="1.0" encoding="utf-8"?>
<calcChain xmlns="http://schemas.openxmlformats.org/spreadsheetml/2006/main">
  <c r="E6" i="10"/>
  <c r="E7"/>
  <c r="E8"/>
  <c r="E9"/>
  <c r="E10"/>
  <c r="E11"/>
  <c r="E12"/>
  <c r="E13"/>
  <c r="E14"/>
  <c r="B15"/>
  <c r="E15"/>
  <c r="E16"/>
  <c r="E17"/>
  <c r="E18"/>
  <c r="E19"/>
  <c r="E20"/>
  <c r="E21"/>
  <c r="E22"/>
  <c r="B23"/>
  <c r="E23"/>
  <c r="B24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B42"/>
  <c r="E42"/>
  <c r="E43"/>
  <c r="E44"/>
  <c r="E45"/>
  <c r="E46"/>
  <c r="E47"/>
  <c r="E48"/>
  <c r="E49"/>
  <c r="E50"/>
  <c r="E51"/>
  <c r="E52"/>
  <c r="B53"/>
  <c r="E53"/>
  <c r="E54"/>
  <c r="E55"/>
  <c r="E56"/>
  <c r="E57"/>
  <c r="E58"/>
  <c r="E59"/>
  <c r="E60"/>
  <c r="E61"/>
  <c r="E62"/>
  <c r="E63"/>
  <c r="E64"/>
  <c r="E65"/>
  <c r="E66"/>
  <c r="E67"/>
  <c r="E70"/>
  <c r="E71"/>
  <c r="E72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6"/>
  <c r="E127"/>
  <c r="E128"/>
  <c r="E129"/>
  <c r="E130"/>
  <c r="E131"/>
  <c r="E132"/>
  <c r="E133"/>
  <c r="E134"/>
  <c r="E135"/>
  <c r="E137"/>
  <c r="E140"/>
  <c r="B64"/>
  <c r="B140"/>
  <c r="F3" i="3"/>
  <c r="F4"/>
  <c r="F5"/>
  <c r="F6"/>
  <c r="D7"/>
  <c r="F7"/>
  <c r="F8"/>
  <c r="D9"/>
  <c r="F9"/>
  <c r="F10"/>
  <c r="D11"/>
  <c r="F11"/>
  <c r="D12"/>
  <c r="F12"/>
  <c r="F13"/>
  <c r="F14"/>
  <c r="D15"/>
  <c r="F15"/>
  <c r="F16"/>
  <c r="F17"/>
  <c r="F18"/>
  <c r="F19"/>
  <c r="F20"/>
  <c r="F21"/>
  <c r="F22"/>
  <c r="F23"/>
  <c r="F24"/>
  <c r="F25"/>
  <c r="F26"/>
  <c r="D27"/>
  <c r="F27"/>
  <c r="F28"/>
  <c r="F29"/>
  <c r="F30"/>
  <c r="F31"/>
  <c r="F32"/>
  <c r="F33"/>
  <c r="F34"/>
  <c r="F35"/>
  <c r="F36"/>
  <c r="F37"/>
  <c r="D38"/>
  <c r="F38"/>
  <c r="F39"/>
  <c r="F40"/>
  <c r="B25" i="4"/>
  <c r="E25"/>
  <c r="B26"/>
  <c r="E26"/>
  <c r="E27"/>
  <c r="B28"/>
  <c r="E28"/>
  <c r="B29"/>
  <c r="E29"/>
  <c r="B30"/>
  <c r="E30"/>
  <c r="E31"/>
  <c r="B32"/>
  <c r="E32"/>
  <c r="B33"/>
  <c r="E33"/>
  <c r="B34"/>
  <c r="E34"/>
  <c r="B35"/>
  <c r="E35"/>
  <c r="B36"/>
  <c r="E36"/>
  <c r="B37"/>
  <c r="E37"/>
  <c r="E38"/>
  <c r="E39"/>
  <c r="E41"/>
  <c r="B10"/>
  <c r="E10"/>
  <c r="B11"/>
  <c r="E11"/>
  <c r="B12"/>
  <c r="E12"/>
  <c r="E13"/>
  <c r="E14"/>
  <c r="E15"/>
  <c r="E16"/>
  <c r="E17"/>
  <c r="E18"/>
  <c r="E20"/>
  <c r="E44"/>
  <c r="B38"/>
  <c r="B65" i="5"/>
  <c r="E65"/>
  <c r="E66"/>
  <c r="B67"/>
  <c r="E67"/>
  <c r="E68"/>
  <c r="B69"/>
  <c r="E69"/>
  <c r="B70"/>
  <c r="E70"/>
  <c r="B71"/>
  <c r="E71"/>
  <c r="E72"/>
  <c r="B73"/>
  <c r="E73"/>
  <c r="B74"/>
  <c r="E74"/>
  <c r="B75"/>
  <c r="E75"/>
  <c r="B76"/>
  <c r="E76"/>
  <c r="E77"/>
  <c r="E79"/>
  <c r="E57"/>
  <c r="E58"/>
  <c r="E50"/>
  <c r="E51"/>
  <c r="E52"/>
  <c r="E53"/>
  <c r="E54"/>
  <c r="E60"/>
  <c r="E17"/>
  <c r="B18"/>
  <c r="E18"/>
  <c r="E19"/>
  <c r="E20"/>
  <c r="E21"/>
  <c r="E22"/>
  <c r="E23"/>
  <c r="B24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10"/>
  <c r="E11"/>
  <c r="E12"/>
  <c r="E13"/>
  <c r="E45"/>
  <c r="E83"/>
  <c r="E86"/>
  <c r="B77"/>
  <c r="C24"/>
  <c r="E16"/>
  <c r="C10" i="6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2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E31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2"/>
  <c r="D14"/>
  <c r="H14"/>
  <c r="D15"/>
  <c r="H15"/>
  <c r="D16"/>
  <c r="H16"/>
  <c r="D17"/>
  <c r="H17"/>
  <c r="D18"/>
  <c r="H18"/>
  <c r="D19"/>
  <c r="H19"/>
  <c r="D20"/>
  <c r="H20"/>
  <c r="D21"/>
  <c r="H21"/>
  <c r="D22"/>
  <c r="H22"/>
  <c r="D23"/>
  <c r="H23"/>
  <c r="D24"/>
  <c r="H24"/>
  <c r="D25"/>
  <c r="H25"/>
  <c r="D26"/>
  <c r="H26"/>
  <c r="D27"/>
  <c r="H27"/>
  <c r="D28"/>
  <c r="H28"/>
  <c r="D29"/>
  <c r="H29"/>
  <c r="D30"/>
  <c r="H30"/>
  <c r="F31"/>
  <c r="D31"/>
  <c r="H31"/>
  <c r="D32"/>
  <c r="H32"/>
  <c r="D33"/>
  <c r="H33"/>
  <c r="D34"/>
  <c r="H34"/>
  <c r="D35"/>
  <c r="H35"/>
  <c r="D36"/>
  <c r="H36"/>
  <c r="D37"/>
  <c r="H37"/>
  <c r="D38"/>
  <c r="H38"/>
  <c r="D39"/>
  <c r="H39"/>
  <c r="D40"/>
  <c r="H40"/>
  <c r="D41"/>
  <c r="H41"/>
  <c r="H42"/>
  <c r="D43"/>
  <c r="H43"/>
  <c r="D44"/>
  <c r="H44"/>
  <c r="D45"/>
  <c r="H45"/>
  <c r="D46"/>
  <c r="H46"/>
  <c r="D47"/>
  <c r="H47"/>
  <c r="D48"/>
  <c r="H48"/>
  <c r="D49"/>
  <c r="H49"/>
  <c r="H52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2"/>
  <c r="F52"/>
  <c r="E52"/>
  <c r="D10"/>
  <c r="D11"/>
  <c r="D12"/>
  <c r="D13"/>
  <c r="D50"/>
  <c r="D52"/>
  <c r="A50"/>
  <c r="A49"/>
  <c r="A48"/>
  <c r="A47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A11"/>
  <c r="A10"/>
  <c r="C10" i="7"/>
  <c r="F10"/>
  <c r="F11"/>
  <c r="F12"/>
  <c r="F13"/>
  <c r="F14"/>
  <c r="F15"/>
  <c r="F16"/>
  <c r="F17"/>
  <c r="C18"/>
  <c r="F18"/>
  <c r="F19"/>
  <c r="F20"/>
  <c r="F21"/>
  <c r="F22"/>
  <c r="C23"/>
  <c r="F23"/>
  <c r="F24"/>
  <c r="F25"/>
  <c r="F26"/>
  <c r="F27"/>
  <c r="F29"/>
  <c r="D18"/>
  <c r="D29"/>
  <c r="C29"/>
  <c r="G27"/>
  <c r="G26"/>
  <c r="G24"/>
  <c r="G15"/>
  <c r="G10"/>
  <c r="C86" i="8"/>
  <c r="C53"/>
  <c r="C85"/>
  <c r="C54"/>
  <c r="C41"/>
  <c r="C29"/>
  <c r="C84"/>
  <c r="C83"/>
  <c r="C43"/>
  <c r="C82"/>
  <c r="C78"/>
  <c r="C44"/>
  <c r="C39"/>
  <c r="C31"/>
  <c r="C27"/>
  <c r="C19"/>
  <c r="C15"/>
  <c r="C8"/>
  <c r="C5"/>
  <c r="C77"/>
  <c r="C72"/>
  <c r="C67"/>
  <c r="C71"/>
  <c r="C68"/>
  <c r="C69"/>
  <c r="C52"/>
  <c r="C47"/>
  <c r="C46"/>
  <c r="C36"/>
  <c r="C35"/>
  <c r="C21"/>
  <c r="C20"/>
  <c r="C16"/>
  <c r="C13"/>
  <c r="C12"/>
  <c r="C11"/>
  <c r="F65" i="9"/>
  <c r="F68"/>
  <c r="S60"/>
  <c r="T60"/>
  <c r="H60"/>
  <c r="S59"/>
  <c r="T59"/>
  <c r="H59"/>
  <c r="F58"/>
  <c r="S58"/>
  <c r="T58"/>
  <c r="H58"/>
  <c r="F57"/>
  <c r="S57"/>
  <c r="T57"/>
  <c r="H57"/>
  <c r="S56"/>
  <c r="T56"/>
  <c r="H56"/>
  <c r="S55"/>
  <c r="T55"/>
  <c r="H55"/>
  <c r="S54"/>
  <c r="F54"/>
  <c r="T54"/>
  <c r="H54"/>
  <c r="S52"/>
  <c r="F52"/>
  <c r="T52"/>
  <c r="H52"/>
  <c r="S51"/>
  <c r="T51"/>
  <c r="H51"/>
  <c r="S50"/>
  <c r="T50"/>
  <c r="H50"/>
  <c r="S49"/>
  <c r="T49"/>
  <c r="H49"/>
  <c r="S48"/>
  <c r="T48"/>
  <c r="H48"/>
  <c r="S47"/>
  <c r="T47"/>
  <c r="H47"/>
  <c r="S46"/>
  <c r="T46"/>
  <c r="H46"/>
  <c r="F45"/>
  <c r="S45"/>
  <c r="T45"/>
  <c r="H45"/>
  <c r="F44"/>
  <c r="S44"/>
  <c r="T44"/>
  <c r="H44"/>
  <c r="S43"/>
  <c r="T43"/>
  <c r="H43"/>
  <c r="S42"/>
  <c r="T42"/>
  <c r="H42"/>
  <c r="S41"/>
  <c r="F41"/>
  <c r="T41"/>
  <c r="H41"/>
  <c r="S39"/>
  <c r="T39"/>
  <c r="H39"/>
  <c r="S38"/>
  <c r="T38"/>
  <c r="H38"/>
  <c r="S37"/>
  <c r="T37"/>
  <c r="H37"/>
  <c r="S36"/>
  <c r="F36"/>
  <c r="T36"/>
  <c r="H36"/>
  <c r="S35"/>
  <c r="T35"/>
  <c r="H35"/>
  <c r="S34"/>
  <c r="T34"/>
  <c r="H34"/>
  <c r="S33"/>
  <c r="T33"/>
  <c r="H33"/>
  <c r="F32"/>
  <c r="S32"/>
  <c r="T32"/>
  <c r="H32"/>
  <c r="F31"/>
  <c r="S31"/>
  <c r="T31"/>
  <c r="H31"/>
  <c r="S30"/>
  <c r="T30"/>
  <c r="H30"/>
  <c r="S29"/>
  <c r="F29"/>
  <c r="T29"/>
  <c r="H29"/>
  <c r="S27"/>
  <c r="T27"/>
  <c r="H27"/>
  <c r="S26"/>
  <c r="F26"/>
  <c r="T26"/>
  <c r="H26"/>
  <c r="S25"/>
  <c r="T25"/>
  <c r="H25"/>
  <c r="S24"/>
  <c r="T24"/>
  <c r="H24"/>
  <c r="S23"/>
  <c r="T23"/>
  <c r="H23"/>
  <c r="F22"/>
  <c r="F20"/>
  <c r="F21"/>
  <c r="O22"/>
  <c r="P22"/>
  <c r="S22"/>
  <c r="T22"/>
  <c r="H22"/>
  <c r="O21"/>
  <c r="P21"/>
  <c r="S21"/>
  <c r="T21"/>
  <c r="H21"/>
  <c r="O20"/>
  <c r="P20"/>
  <c r="S20"/>
  <c r="T20"/>
  <c r="H20"/>
  <c r="F19"/>
  <c r="S19"/>
  <c r="T19"/>
  <c r="H19"/>
  <c r="F18"/>
  <c r="S18"/>
  <c r="T18"/>
  <c r="H18"/>
  <c r="S17"/>
  <c r="T17"/>
  <c r="H17"/>
  <c r="S16"/>
  <c r="T16"/>
  <c r="H16"/>
  <c r="S15"/>
  <c r="F15"/>
  <c r="T15"/>
  <c r="H15"/>
  <c r="S13"/>
  <c r="T13"/>
  <c r="H13"/>
  <c r="S12"/>
  <c r="T12"/>
  <c r="H12"/>
  <c r="S11"/>
  <c r="F11"/>
  <c r="T11"/>
  <c r="H11"/>
  <c r="S10"/>
  <c r="T10"/>
  <c r="H10"/>
  <c r="S9"/>
  <c r="T9"/>
  <c r="H9"/>
  <c r="S8"/>
  <c r="T8"/>
  <c r="H8"/>
  <c r="S7"/>
  <c r="T7"/>
  <c r="H7"/>
  <c r="S6"/>
  <c r="T6"/>
  <c r="H6"/>
  <c r="S5"/>
  <c r="T5"/>
  <c r="H5"/>
  <c r="F41" i="3" l="1"/>
</calcChain>
</file>

<file path=xl/sharedStrings.xml><?xml version="1.0" encoding="utf-8"?>
<sst xmlns="http://schemas.openxmlformats.org/spreadsheetml/2006/main" count="959" uniqueCount="529">
  <si>
    <t>INVENTARIO SUC 11 SUR</t>
  </si>
  <si>
    <t>fecha</t>
  </si>
  <si>
    <t>CARNES</t>
  </si>
  <si>
    <t>PRODUCTO</t>
  </si>
  <si>
    <t>Kg</t>
  </si>
  <si>
    <t>piezas</t>
  </si>
  <si>
    <t>$</t>
  </si>
  <si>
    <t>TOTAL $</t>
  </si>
  <si>
    <t>1/2 res</t>
  </si>
  <si>
    <t>Arrachera</t>
  </si>
  <si>
    <t>Buche</t>
  </si>
  <si>
    <t>Bisteck de cerdo</t>
  </si>
  <si>
    <t>Cabeza de cerdo</t>
  </si>
  <si>
    <t>Cabeza de lomo</t>
  </si>
  <si>
    <t>Canales de cerdo</t>
  </si>
  <si>
    <t>Capotes</t>
  </si>
  <si>
    <t>Cecina</t>
  </si>
  <si>
    <t>Espaldilla de Carnero</t>
  </si>
  <si>
    <t>Codillo</t>
  </si>
  <si>
    <t xml:space="preserve">Contra </t>
  </si>
  <si>
    <t>Chuleta natural</t>
  </si>
  <si>
    <t>Corbata Seaboard</t>
  </si>
  <si>
    <t>Corbata Farmland</t>
  </si>
  <si>
    <t>Costilla de cerdo</t>
  </si>
  <si>
    <t>Cuero de pierna</t>
  </si>
  <si>
    <t>Cuero entero</t>
  </si>
  <si>
    <t>Cuero sin grasa</t>
  </si>
  <si>
    <t>Descarne de cerdo</t>
  </si>
  <si>
    <t>Delantero de res</t>
  </si>
  <si>
    <t>Espaldilla de Cordero</t>
  </si>
  <si>
    <t>Espaldilla de cerdo</t>
  </si>
  <si>
    <t>Espaldilla con hueso cerdo</t>
  </si>
  <si>
    <t>Espaldilla con hueso de res</t>
  </si>
  <si>
    <t xml:space="preserve">Espinazo </t>
  </si>
  <si>
    <t>Espinazo entero</t>
  </si>
  <si>
    <t>Grasa</t>
  </si>
  <si>
    <t>Lomo de cerdo</t>
  </si>
  <si>
    <t>Maciza de cerdo</t>
  </si>
  <si>
    <t>Manteca</t>
  </si>
  <si>
    <t>Menudo</t>
  </si>
  <si>
    <t xml:space="preserve">Menudo  </t>
  </si>
  <si>
    <t>Molida de res</t>
  </si>
  <si>
    <t>Papada</t>
  </si>
  <si>
    <t>Patitas</t>
  </si>
  <si>
    <t>Pecho de cerdo</t>
  </si>
  <si>
    <t>Pernil</t>
  </si>
  <si>
    <t>Pierna c/cuero en combo</t>
  </si>
  <si>
    <t>Pierna c/hueso</t>
  </si>
  <si>
    <t>Pierna con cuero</t>
  </si>
  <si>
    <t>pierna s/h con grasa</t>
  </si>
  <si>
    <t>Pierna sin hueso</t>
  </si>
  <si>
    <t>Planchas Cerdo</t>
  </si>
  <si>
    <t>Pulpa de res</t>
  </si>
  <si>
    <t>Pulpa de res sin limpiar</t>
  </si>
  <si>
    <t>Pulpa negra</t>
  </si>
  <si>
    <t>Retazo c/hueso de cerdo</t>
  </si>
  <si>
    <t>Retazo c/hueso de res</t>
  </si>
  <si>
    <t>Riñón</t>
  </si>
  <si>
    <t>Suadero</t>
  </si>
  <si>
    <t>Sancocho lomo</t>
  </si>
  <si>
    <t>Sancocho ledo</t>
  </si>
  <si>
    <t>Sesos de copa</t>
  </si>
  <si>
    <t>Sesos en copa sueltos</t>
  </si>
  <si>
    <t>Sesos de marqueta</t>
  </si>
  <si>
    <t>Unto</t>
  </si>
  <si>
    <t>POLLO y PESCADO</t>
  </si>
  <si>
    <t>Pechuga</t>
  </si>
  <si>
    <t>Pierna y muslo</t>
  </si>
  <si>
    <t>Filete de pescado BASA</t>
  </si>
  <si>
    <t>SALCHICHONERIA</t>
  </si>
  <si>
    <t>Carne Enchilada</t>
  </si>
  <si>
    <t>Chile p/carne enchilada</t>
  </si>
  <si>
    <t>Chorizo</t>
  </si>
  <si>
    <t>Chuleta ahumada</t>
  </si>
  <si>
    <t>Jamon Americano Fud</t>
  </si>
  <si>
    <t>Jamon Americano Ledo</t>
  </si>
  <si>
    <t>Jamon de lomo Ledo</t>
  </si>
  <si>
    <t>Jamon de pavo Hacienda</t>
  </si>
  <si>
    <t>Jamon de pavo Viva</t>
  </si>
  <si>
    <t>Jamon virginia de fud</t>
  </si>
  <si>
    <t>longaniza</t>
  </si>
  <si>
    <t>Mortadela</t>
  </si>
  <si>
    <t>Pata de res picada</t>
  </si>
  <si>
    <t>Pierna de pavo ahumada</t>
  </si>
  <si>
    <t>Queso de puerco Ledo</t>
  </si>
  <si>
    <t>Salchicha Acuario</t>
  </si>
  <si>
    <t>Salchicha Chero</t>
  </si>
  <si>
    <t>Salchicha Fud HD</t>
  </si>
  <si>
    <t>Salchicha Hacienda</t>
  </si>
  <si>
    <t>Salchicha Pavo Fud</t>
  </si>
  <si>
    <t>Salchicha viva</t>
  </si>
  <si>
    <t>Salchicha Z</t>
  </si>
  <si>
    <t>Tocino Winnis ahumado</t>
  </si>
  <si>
    <t>Tripa salada</t>
  </si>
  <si>
    <t>Chicharron</t>
  </si>
  <si>
    <t>Jamon de pavo Hda</t>
  </si>
  <si>
    <t>Jamon de Pavo Viva</t>
  </si>
  <si>
    <t>Jamon de pierna Ledo</t>
  </si>
  <si>
    <t>Jamon Fud americano</t>
  </si>
  <si>
    <t>Jamon Virginia Fud</t>
  </si>
  <si>
    <t>Queso de puerco Fud</t>
  </si>
  <si>
    <t>Queso manchego</t>
  </si>
  <si>
    <t>Quesillo</t>
  </si>
  <si>
    <t>Recorte de jamon</t>
  </si>
  <si>
    <t>Salchicha Hda Viena</t>
  </si>
  <si>
    <t>Salchicha Viva</t>
  </si>
  <si>
    <t>Pierna Ahumado</t>
  </si>
  <si>
    <t>Pavo Natural</t>
  </si>
  <si>
    <t>Pollo ahumado</t>
  </si>
  <si>
    <t>Tostadas</t>
  </si>
  <si>
    <t>Tortilla de harina La Tradicion</t>
  </si>
  <si>
    <t>Maiz pozolero Morelos</t>
  </si>
  <si>
    <t>Maiz pozolero La Poblana</t>
  </si>
  <si>
    <t>Salsa California 1 lt</t>
  </si>
  <si>
    <t>Salsa California 0.5 lt</t>
  </si>
  <si>
    <t>Salsa California 0.355 lt</t>
  </si>
  <si>
    <t>Sal de ajo  California</t>
  </si>
  <si>
    <t>Codimento p carnes California</t>
  </si>
  <si>
    <t>Sobres para marinar</t>
  </si>
  <si>
    <t>Bolsa</t>
  </si>
  <si>
    <t>TOTAL</t>
  </si>
  <si>
    <t>PROGRAMA DE COMPRAS</t>
  </si>
  <si>
    <t>Producto</t>
  </si>
  <si>
    <t>Marca</t>
  </si>
  <si>
    <t>Proveedor</t>
  </si>
  <si>
    <t>unidades</t>
  </si>
  <si>
    <t>W total factura</t>
  </si>
  <si>
    <t>W recib real</t>
  </si>
  <si>
    <t>dif recepcion</t>
  </si>
  <si>
    <t>referencia</t>
  </si>
  <si>
    <t>fecha arribo</t>
  </si>
  <si>
    <t>dia</t>
  </si>
  <si>
    <t>formula</t>
  </si>
  <si>
    <t>$ Puebla</t>
  </si>
  <si>
    <t>$ frontera</t>
  </si>
  <si>
    <t>flete</t>
  </si>
  <si>
    <t>$ aduanal</t>
  </si>
  <si>
    <t>tipo cambio</t>
  </si>
  <si>
    <t>com</t>
  </si>
  <si>
    <t>costo real</t>
  </si>
  <si>
    <t>$ carga total</t>
  </si>
  <si>
    <t>para pago</t>
  </si>
  <si>
    <t>Pernil con piel</t>
  </si>
  <si>
    <t>Premium/farmland</t>
  </si>
  <si>
    <t>Farmland</t>
  </si>
  <si>
    <t>23 combos</t>
  </si>
  <si>
    <t>nl10-142</t>
  </si>
  <si>
    <t>mi</t>
  </si>
  <si>
    <t>hoja+12 ju 27 may</t>
  </si>
  <si>
    <t>Smithfield</t>
  </si>
  <si>
    <t>20 combos</t>
  </si>
  <si>
    <t>snl10-9</t>
  </si>
  <si>
    <t>Canal de cerdo</t>
  </si>
  <si>
    <t>GF</t>
  </si>
  <si>
    <t>Granjero Feliz</t>
  </si>
  <si>
    <t>120 canales</t>
  </si>
  <si>
    <t>fact 54653</t>
  </si>
  <si>
    <t>Espaldilla de carnero</t>
  </si>
  <si>
    <t>Alliance</t>
  </si>
  <si>
    <t>Sukarne</t>
  </si>
  <si>
    <t>242 cajas</t>
  </si>
  <si>
    <t>fact 5972</t>
  </si>
  <si>
    <t>ju</t>
  </si>
  <si>
    <t>135 cajas</t>
  </si>
  <si>
    <t xml:space="preserve">  "   "</t>
  </si>
  <si>
    <t>Res medias</t>
  </si>
  <si>
    <t>Pulido</t>
  </si>
  <si>
    <t>Gerardo Pulido</t>
  </si>
  <si>
    <t>10 piezas</t>
  </si>
  <si>
    <t>vale</t>
  </si>
  <si>
    <t>Seaboard</t>
  </si>
  <si>
    <t>Yarto</t>
  </si>
  <si>
    <t>22 combos</t>
  </si>
  <si>
    <t>fact  23936</t>
  </si>
  <si>
    <t>sa</t>
  </si>
  <si>
    <t>hoja+13.5 lu 31 may</t>
  </si>
  <si>
    <t>8 piezas</t>
  </si>
  <si>
    <t>Res delanteros</t>
  </si>
  <si>
    <t>2 piezas</t>
  </si>
  <si>
    <t>IBP</t>
  </si>
  <si>
    <t>fact 23941</t>
  </si>
  <si>
    <t>lu</t>
  </si>
  <si>
    <t>hoja+15 lu 31 may</t>
  </si>
  <si>
    <t>Atosa</t>
  </si>
  <si>
    <t>144 canales</t>
  </si>
  <si>
    <t>fact  2991   cic</t>
  </si>
  <si>
    <t>4 piezas</t>
  </si>
  <si>
    <t>nl10-143</t>
  </si>
  <si>
    <t>hoja+12 ju 3 jun</t>
  </si>
  <si>
    <t>21 combos</t>
  </si>
  <si>
    <t>snl10-10</t>
  </si>
  <si>
    <t>ma</t>
  </si>
  <si>
    <t>1283 cajas</t>
  </si>
  <si>
    <t>nltf10-07</t>
  </si>
  <si>
    <t>349 cajas</t>
  </si>
  <si>
    <t xml:space="preserve">  "  "</t>
  </si>
  <si>
    <t xml:space="preserve">  "    "</t>
  </si>
  <si>
    <t>Corbata</t>
  </si>
  <si>
    <t>405 cajas</t>
  </si>
  <si>
    <t>fact 54989</t>
  </si>
  <si>
    <t>ALB</t>
  </si>
  <si>
    <t>6 piezas</t>
  </si>
  <si>
    <t>24 combos</t>
  </si>
  <si>
    <t>vi</t>
  </si>
  <si>
    <t>proledo</t>
  </si>
  <si>
    <t>GLP</t>
  </si>
  <si>
    <t>25 canales</t>
  </si>
  <si>
    <t>op 105</t>
  </si>
  <si>
    <t>hoja+15 lu 7 jun</t>
  </si>
  <si>
    <t>150 canales</t>
  </si>
  <si>
    <t>fact  3000 nlp</t>
  </si>
  <si>
    <t>nl10-145</t>
  </si>
  <si>
    <t>hoja+12 ju 10 jun</t>
  </si>
  <si>
    <t>snl10-11</t>
  </si>
  <si>
    <t>hoja+10 ju 10 jun</t>
  </si>
  <si>
    <t>140 canales</t>
  </si>
  <si>
    <t>fact 55243</t>
  </si>
  <si>
    <t>4piezas</t>
  </si>
  <si>
    <t>"   "</t>
  </si>
  <si>
    <t>hoja+16 lu 11 jun</t>
  </si>
  <si>
    <t>hoja+15 lu 14 jun</t>
  </si>
  <si>
    <t>fact</t>
  </si>
  <si>
    <t>nl10-146</t>
  </si>
  <si>
    <t>hoja+12 ju 17 jun</t>
  </si>
  <si>
    <t>snl10-12</t>
  </si>
  <si>
    <t>hoja+10 ju 17 jun</t>
  </si>
  <si>
    <t>GL</t>
  </si>
  <si>
    <t>fact 55558</t>
  </si>
  <si>
    <t>40 canales</t>
  </si>
  <si>
    <t>op 208</t>
  </si>
  <si>
    <t>20 canales</t>
  </si>
  <si>
    <t>op 216</t>
  </si>
  <si>
    <t>11 piezas</t>
  </si>
  <si>
    <t>Res patas</t>
  </si>
  <si>
    <t>hoja+15 lu 18 jun</t>
  </si>
  <si>
    <t>hoja+15 lu 21 jun</t>
  </si>
  <si>
    <t>144 canles</t>
  </si>
  <si>
    <t>nl10-147</t>
  </si>
  <si>
    <t>hoja+12 ju 24 jun</t>
  </si>
  <si>
    <t>snl10-13</t>
  </si>
  <si>
    <t>hoja+10 ju 24 jun</t>
  </si>
  <si>
    <t>comisiones</t>
  </si>
  <si>
    <t>acumuladas</t>
  </si>
  <si>
    <t>total</t>
  </si>
  <si>
    <t>junio 2010</t>
  </si>
  <si>
    <t xml:space="preserve">V </t>
  </si>
  <si>
    <t>Sukarne 15/05/10</t>
  </si>
  <si>
    <t>fact 5556</t>
  </si>
  <si>
    <t>Contra Swift</t>
  </si>
  <si>
    <t>bancomer 427</t>
  </si>
  <si>
    <t>Pulido  28/05/10</t>
  </si>
  <si>
    <t>rem</t>
  </si>
  <si>
    <t xml:space="preserve">res </t>
  </si>
  <si>
    <t>$ obrador</t>
  </si>
  <si>
    <t>GLP 28/05/10</t>
  </si>
  <si>
    <t>rem 998</t>
  </si>
  <si>
    <t>canal de cerdo</t>
  </si>
  <si>
    <t>efectivo central</t>
  </si>
  <si>
    <t>S</t>
  </si>
  <si>
    <t>Yarto 5/06/10</t>
  </si>
  <si>
    <t>fact 23936</t>
  </si>
  <si>
    <t>intercam $43,719.84</t>
  </si>
  <si>
    <t>D</t>
  </si>
  <si>
    <t>L</t>
  </si>
  <si>
    <t>Atosa 31/05/10</t>
  </si>
  <si>
    <t>fact 2982  cicodelpa</t>
  </si>
  <si>
    <t xml:space="preserve"> cic 009 </t>
  </si>
  <si>
    <t>Yarto  07/06/10</t>
  </si>
  <si>
    <t>intercam $39,973.15</t>
  </si>
  <si>
    <t>M</t>
  </si>
  <si>
    <t>Sukarne 19/05/10</t>
  </si>
  <si>
    <t>fact 5659</t>
  </si>
  <si>
    <t>lengua de cerdo</t>
  </si>
  <si>
    <t>hsbc  9552770</t>
  </si>
  <si>
    <t>fact 5660</t>
  </si>
  <si>
    <t>espaldilla de carnero</t>
  </si>
  <si>
    <t>bancomer  436</t>
  </si>
  <si>
    <t>Mi</t>
  </si>
  <si>
    <t>Premium 9/6/10  nl10-143</t>
  </si>
  <si>
    <t>fact 93597833</t>
  </si>
  <si>
    <t>intercam $36,764.23</t>
  </si>
  <si>
    <t>38  /  3194</t>
  </si>
  <si>
    <t>Smithfield 9/6/10 snl10-10</t>
  </si>
  <si>
    <t>fact 91205881</t>
  </si>
  <si>
    <t>intercam $36,606.80</t>
  </si>
  <si>
    <t>38  /  3192</t>
  </si>
  <si>
    <t>Farmalnd 9/6/10 nltf10-07</t>
  </si>
  <si>
    <t>fact 93598798</t>
  </si>
  <si>
    <t>intercam $44,470.80</t>
  </si>
  <si>
    <t>38  /  3201</t>
  </si>
  <si>
    <t>J</t>
  </si>
  <si>
    <t>Granjero feliz 2/6/10</t>
  </si>
  <si>
    <t>mer -64.1kg desc</t>
  </si>
  <si>
    <t>hsbc  9552769</t>
  </si>
  <si>
    <t>Yarto 11/06/10</t>
  </si>
  <si>
    <t>intercam $43,663.47</t>
  </si>
  <si>
    <t>Gerardo Pulido, 31/05; 3 y 5/06/10</t>
  </si>
  <si>
    <t>19/06/10 efect obrador $55,615</t>
  </si>
  <si>
    <t>26/6/10 obrador $90,300</t>
  </si>
  <si>
    <t>Atosa 7/06/10</t>
  </si>
  <si>
    <t>fact 2991 cicodelpa</t>
  </si>
  <si>
    <t>cicodelpa 010</t>
  </si>
  <si>
    <t>Yarto 14/06/10</t>
  </si>
  <si>
    <t>intercam $40,238.10</t>
  </si>
  <si>
    <t>Premium 14/06/10 nl10-145</t>
  </si>
  <si>
    <t>fact  93601342</t>
  </si>
  <si>
    <t>intercam $37,884.68</t>
  </si>
  <si>
    <t>38  /  3211</t>
  </si>
  <si>
    <t>Smithfield 14/06/10 snl10-11</t>
  </si>
  <si>
    <t>fact 91210330</t>
  </si>
  <si>
    <t>intercam $38,228.40</t>
  </si>
  <si>
    <t>38  /  3210</t>
  </si>
  <si>
    <t>Granjero feliz  9/06/10</t>
  </si>
  <si>
    <t>mer 67.2 desc</t>
  </si>
  <si>
    <t>38  /  3202</t>
  </si>
  <si>
    <t>Alb&amp;cia 9/06/10</t>
  </si>
  <si>
    <t xml:space="preserve">fact  </t>
  </si>
  <si>
    <t>cicodelpa 011</t>
  </si>
  <si>
    <t>Sukarne 28/05/10</t>
  </si>
  <si>
    <t>fact 5885</t>
  </si>
  <si>
    <t>contra Swift</t>
  </si>
  <si>
    <t>38   /  3218</t>
  </si>
  <si>
    <t>Yarto 18/06/10</t>
  </si>
  <si>
    <t>intercam $48,143.48</t>
  </si>
  <si>
    <t>GLP 12/06/10</t>
  </si>
  <si>
    <t>descontar seguro $5,381.18</t>
  </si>
  <si>
    <t>$ obrador 28/06/10</t>
  </si>
  <si>
    <t>Gerardo Pulido 7 y 10/06/10</t>
  </si>
  <si>
    <t>26/06/10 obrador $29,988</t>
  </si>
  <si>
    <t>Yarto 21/06/10</t>
  </si>
  <si>
    <t>intercam $42,303.50</t>
  </si>
  <si>
    <t>Sukarne 31/5/10</t>
  </si>
  <si>
    <t>fact 5940</t>
  </si>
  <si>
    <t>Pernil IBP</t>
  </si>
  <si>
    <t>Atosa  14/06/10</t>
  </si>
  <si>
    <t>fact 3000 nlp</t>
  </si>
  <si>
    <t>Premiun 22/06/10 nl10-146</t>
  </si>
  <si>
    <t>fact 93606330</t>
  </si>
  <si>
    <t>intercam $37,917.90</t>
  </si>
  <si>
    <t>38   /  3214</t>
  </si>
  <si>
    <t>Smithfield 22/06/10  snl10-12</t>
  </si>
  <si>
    <t>fact 91215245</t>
  </si>
  <si>
    <t>intercam $33,942.48</t>
  </si>
  <si>
    <t>38   /  3213</t>
  </si>
  <si>
    <t>Sukarne 2/06/10</t>
  </si>
  <si>
    <t>esp carnero y patas</t>
  </si>
  <si>
    <t>Granjero feliz 16/06/10</t>
  </si>
  <si>
    <t>mer 63kg desc</t>
  </si>
  <si>
    <t>hsbc  9552771</t>
  </si>
  <si>
    <t>Yarto 25/06/10</t>
  </si>
  <si>
    <t>intercam $45,433.29</t>
  </si>
  <si>
    <t>Alb&amp;cia 18/06/10</t>
  </si>
  <si>
    <t>Gerardo Pulido 17- 19/06/10</t>
  </si>
  <si>
    <t>Atosa 21/06/10</t>
  </si>
  <si>
    <t>fact           cic</t>
  </si>
  <si>
    <t>Yarto 28/06/10</t>
  </si>
  <si>
    <t>intercam $45,459.33</t>
  </si>
  <si>
    <t>Premium 30/06/10 nl10-147</t>
  </si>
  <si>
    <t>fact 93609937</t>
  </si>
  <si>
    <t>intercam $38,461.52</t>
  </si>
  <si>
    <t>38  /  3219</t>
  </si>
  <si>
    <t>Smithfield 30/06/10 snl10-13</t>
  </si>
  <si>
    <t>fact 91219562</t>
  </si>
  <si>
    <t>intercam $34,106.4</t>
  </si>
  <si>
    <t>38  /   3220</t>
  </si>
  <si>
    <t>Granjero Feliz  23/06/10</t>
  </si>
  <si>
    <t>Alb&amp;cia  junio 10</t>
  </si>
  <si>
    <t>salidas almacen</t>
  </si>
  <si>
    <t>productos varios</t>
  </si>
  <si>
    <t>Julio</t>
  </si>
  <si>
    <t>Alb&amp;cia  24-29/06/10</t>
  </si>
  <si>
    <t>GLP 24-25/06/10</t>
  </si>
  <si>
    <t>Gerado Pulido 21-25/06/10</t>
  </si>
  <si>
    <t>Atosa 28/6/10</t>
  </si>
  <si>
    <t>Granjero Feliz 30/6/10</t>
  </si>
  <si>
    <t>fact 55906</t>
  </si>
  <si>
    <t>canal de cerdo merma desc 28.9kg</t>
  </si>
  <si>
    <t>Gerardo Pulido 30/6/10</t>
  </si>
  <si>
    <t>ADEUDO TOTAL AL 30 DE JUNIO DE 2010</t>
  </si>
  <si>
    <t>ADEUDO EN DOLARES  CALCULADOS A $13.00</t>
  </si>
  <si>
    <t>ADEUDO EN PESOS</t>
  </si>
  <si>
    <t>FISCAL</t>
  </si>
  <si>
    <t>NO FISCAL</t>
  </si>
  <si>
    <t>DESGLOSE POR PROVEEDORES</t>
  </si>
  <si>
    <t>YARTO DOLARES</t>
  </si>
  <si>
    <t>SUKARNE</t>
  </si>
  <si>
    <t>ATOSA</t>
  </si>
  <si>
    <t>GRANJERO FELIZ</t>
  </si>
  <si>
    <t>GERARDO PULIDO</t>
  </si>
  <si>
    <t>GUADALUPE LEDO PARRA</t>
  </si>
  <si>
    <t>ALB&amp;CIA  varios</t>
  </si>
  <si>
    <t>ALMACEN CENTRAL CONGELADOS</t>
  </si>
  <si>
    <t xml:space="preserve">INVENTARIO GENERAL </t>
  </si>
  <si>
    <t>DIA</t>
  </si>
  <si>
    <t>30 DE JUNIO 2010</t>
  </si>
  <si>
    <t xml:space="preserve">CANTIDAD </t>
  </si>
  <si>
    <t>UD</t>
  </si>
  <si>
    <t>$ COMPRA</t>
  </si>
  <si>
    <t>precio</t>
  </si>
  <si>
    <t>BUCHE MAPLE</t>
  </si>
  <si>
    <t>CONTRA (GOOSENECK) SWIFT</t>
  </si>
  <si>
    <t>CORBATA CURLYS</t>
  </si>
  <si>
    <t xml:space="preserve">CORBATA FARMLAND </t>
  </si>
  <si>
    <t>CORBATA FARMLAND JBO</t>
  </si>
  <si>
    <t>CORBATA SEABOARD</t>
  </si>
  <si>
    <t>CUERO SIN GRASA FARMLAND</t>
  </si>
  <si>
    <t>CUERO SIN GRASA SMITHFIELD</t>
  </si>
  <si>
    <t>ESPALDILLA DE CARNERO TAYLOR/ALLIANCE</t>
  </si>
  <si>
    <t>ESPALDILLA DE CORDERO Tatiara</t>
  </si>
  <si>
    <t>FILETE DE PESCADO BASA</t>
  </si>
  <si>
    <t>LENGUA DE CERDO  Swift</t>
  </si>
  <si>
    <t>MENUDO AURORA</t>
  </si>
  <si>
    <t>MENUDO EXCEL</t>
  </si>
  <si>
    <t>MENUDO IBP</t>
  </si>
  <si>
    <t>PATITAS  Farmalnd</t>
  </si>
  <si>
    <t>SESOS DE COPA FARMLAND</t>
  </si>
  <si>
    <t>SESOS DE MARQUETA FARMLAND</t>
  </si>
  <si>
    <t xml:space="preserve"> </t>
  </si>
  <si>
    <t>30 de junio 2010</t>
  </si>
  <si>
    <t>Teorico</t>
  </si>
  <si>
    <t>Real</t>
  </si>
  <si>
    <t>Diferencia</t>
  </si>
  <si>
    <t>BUCHE</t>
  </si>
  <si>
    <t>CONTRA</t>
  </si>
  <si>
    <t>CARNERO</t>
  </si>
  <si>
    <t>a2232</t>
  </si>
  <si>
    <t>INVENTARIO OBRADOR</t>
  </si>
  <si>
    <t>CERDO</t>
  </si>
  <si>
    <t>VALOR $</t>
  </si>
  <si>
    <t>Pernil c/piel Seaboard</t>
  </si>
  <si>
    <t>Pernil c/piel Smithfield</t>
  </si>
  <si>
    <t>SUBTOTAL</t>
  </si>
  <si>
    <t>CORTES CERDO</t>
  </si>
  <si>
    <t>Bisteck</t>
  </si>
  <si>
    <t>Cabezas de cerdo</t>
  </si>
  <si>
    <t>Carne enchilada</t>
  </si>
  <si>
    <t>Codillo de canal</t>
  </si>
  <si>
    <t>Codillo de combo</t>
  </si>
  <si>
    <t>Descarne economico</t>
  </si>
  <si>
    <t>Descarne especial</t>
  </si>
  <si>
    <t>Espaldilla sin hueso</t>
  </si>
  <si>
    <t>Espinazo cabeza</t>
  </si>
  <si>
    <t>Espinazo colas</t>
  </si>
  <si>
    <t>Filetes de cerdo</t>
  </si>
  <si>
    <t>Jamon con hueso</t>
  </si>
  <si>
    <t>Jamon con 1/2 grasa</t>
  </si>
  <si>
    <t>Jamon con grasa</t>
  </si>
  <si>
    <t>Jamon sin hueso limpio</t>
  </si>
  <si>
    <t>Patas</t>
  </si>
  <si>
    <t>Pechos</t>
  </si>
  <si>
    <t>Pulpa para molida</t>
  </si>
  <si>
    <t>TOTAL CERDO</t>
  </si>
  <si>
    <t>RES</t>
  </si>
  <si>
    <t>Medias</t>
  </si>
  <si>
    <t>Pata</t>
  </si>
  <si>
    <t>CORTES RES</t>
  </si>
  <si>
    <t>Banderas</t>
  </si>
  <si>
    <t>TOTAL RES</t>
  </si>
  <si>
    <t>CONGELADO</t>
  </si>
  <si>
    <t>cajas</t>
  </si>
  <si>
    <t>Buche  Maple</t>
  </si>
  <si>
    <t>Corbata Curlys</t>
  </si>
  <si>
    <t>Cuero s/g belly Farmland</t>
  </si>
  <si>
    <t>Cuero s/g belly Smithfield</t>
  </si>
  <si>
    <t>Espaldilla de Cordero T</t>
  </si>
  <si>
    <t>Lengua de cerdo Swift</t>
  </si>
  <si>
    <t>Menudo Excel</t>
  </si>
  <si>
    <t>Menudo IBP</t>
  </si>
  <si>
    <t>Sesos en copa Farmland</t>
  </si>
  <si>
    <t>TOTAL CONGELADO</t>
  </si>
  <si>
    <t>VARIOS</t>
  </si>
  <si>
    <t>Chile para carne enchilada</t>
  </si>
  <si>
    <t>TOTAL OBRADOR</t>
  </si>
  <si>
    <t>INVENTARIO COMERCIO</t>
  </si>
  <si>
    <t>CERDO MAYOREO Y CORTES</t>
  </si>
  <si>
    <t>Combos de Pierna Premium</t>
  </si>
  <si>
    <t>Combos de Pierna Seaboard</t>
  </si>
  <si>
    <t>Grasa de capote</t>
  </si>
  <si>
    <t>Caña de lomo</t>
  </si>
  <si>
    <t>Carnero</t>
  </si>
  <si>
    <t>Corbata Farmland chica</t>
  </si>
  <si>
    <t>Patita Farmland</t>
  </si>
  <si>
    <t>Tripas</t>
  </si>
  <si>
    <t>TOTAL COMERCIO</t>
  </si>
  <si>
    <t>INVENTARIO SUCURSAL HERRADURA</t>
  </si>
  <si>
    <t>CAJAS</t>
  </si>
  <si>
    <t>PESO unit</t>
  </si>
  <si>
    <t>PESO TOTAL</t>
  </si>
  <si>
    <t>PRECIO</t>
  </si>
  <si>
    <t>CAPOTE</t>
  </si>
  <si>
    <t>SUELTO</t>
  </si>
  <si>
    <t>CHORIZO</t>
  </si>
  <si>
    <t xml:space="preserve">CHULETA </t>
  </si>
  <si>
    <t>1 PZA</t>
  </si>
  <si>
    <t>CODILLO</t>
  </si>
  <si>
    <t>COMBO SEABORD</t>
  </si>
  <si>
    <t>COSTILLA FARLAND</t>
  </si>
  <si>
    <t>CUERO DE PIERNA</t>
  </si>
  <si>
    <t>CUERO PAPEL</t>
  </si>
  <si>
    <t>CUERO SMITHFIELD</t>
  </si>
  <si>
    <t>DESCARNE</t>
  </si>
  <si>
    <t>ESPINAZO</t>
  </si>
  <si>
    <t>GRASA</t>
  </si>
  <si>
    <t>JAMON</t>
  </si>
  <si>
    <t>5 PZAS</t>
  </si>
  <si>
    <t>JAMON REBANADO</t>
  </si>
  <si>
    <t>LENGUA</t>
  </si>
  <si>
    <t>LONGANIZA</t>
  </si>
  <si>
    <t xml:space="preserve">MANTECA </t>
  </si>
  <si>
    <t>MOLIDA MIXTA</t>
  </si>
  <si>
    <t>NORTEÑO</t>
  </si>
  <si>
    <t>PANZA</t>
  </si>
  <si>
    <t xml:space="preserve">PANZA </t>
  </si>
  <si>
    <t>PAPADA</t>
  </si>
  <si>
    <t>PATA DE RES</t>
  </si>
  <si>
    <t>PECHO</t>
  </si>
  <si>
    <t>PIERNA CON CUERO</t>
  </si>
  <si>
    <t>1/2 COMBO</t>
  </si>
  <si>
    <t>PIERNA CON GRASA</t>
  </si>
  <si>
    <t>PIERNA LIMPIA</t>
  </si>
  <si>
    <t>RETAZO</t>
  </si>
  <si>
    <t>RETAZO DE JAMON</t>
  </si>
  <si>
    <t>SESOS</t>
  </si>
  <si>
    <t>SESOS MARQUETA</t>
  </si>
  <si>
    <t>5 BOTES</t>
  </si>
  <si>
    <t>TOCINO</t>
  </si>
  <si>
    <t>TRIPAS</t>
  </si>
  <si>
    <t>9 PZAS(BOLSAS)</t>
  </si>
  <si>
    <t xml:space="preserve">T O T A L </t>
  </si>
</sst>
</file>

<file path=xl/styles.xml><?xml version="1.0" encoding="utf-8"?>
<styleSheet xmlns="http://schemas.openxmlformats.org/spreadsheetml/2006/main">
  <numFmts count="6">
    <numFmt numFmtId="170" formatCode="_-&quot;$&quot;* #,##0.00_-;\-&quot;$&quot;* #,##0.00_-;_-&quot;$&quot;* &quot;-&quot;??_-;_-@_-"/>
    <numFmt numFmtId="172" formatCode="&quot;$&quot;#,##0.00"/>
    <numFmt numFmtId="173" formatCode="&quot;$&quot;#,##0.000"/>
    <numFmt numFmtId="174" formatCode="#,##0_ ;\-#,##0\ "/>
    <numFmt numFmtId="175" formatCode="_-&quot;$&quot;* #,##0.000_-;\-&quot;$&quot;* #,##0.000_-;_-&quot;$&quot;* &quot;-&quot;??_-;_-@_-"/>
    <numFmt numFmtId="176" formatCode="dd/mm/yyyy;@"/>
  </numFmts>
  <fonts count="17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b/>
      <sz val="12"/>
      <name val="Arial"/>
      <family val="2"/>
    </font>
    <font>
      <b/>
      <sz val="8"/>
      <name val="Arial"/>
      <family val="2"/>
    </font>
    <font>
      <sz val="7"/>
      <name val="Arial"/>
    </font>
    <font>
      <b/>
      <i/>
      <sz val="16"/>
      <name val="Arial"/>
      <family val="2"/>
    </font>
    <font>
      <b/>
      <i/>
      <sz val="10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11"/>
      <name val="Arial"/>
      <family val="2"/>
    </font>
    <font>
      <sz val="8"/>
      <name val="Arial"/>
    </font>
    <font>
      <sz val="8"/>
      <name val="Arial"/>
      <family val="2"/>
    </font>
    <font>
      <b/>
      <sz val="14"/>
      <color indexed="8"/>
      <name val="Calibri"/>
      <family val="2"/>
    </font>
    <font>
      <b/>
      <sz val="11"/>
      <color indexed="8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6" tint="0.39997558519241921"/>
        <bgColor indexed="64"/>
      </patternFill>
    </fill>
  </fills>
  <borders count="3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70" fontId="1" fillId="0" borderId="0" applyFont="0" applyFill="0" applyBorder="0" applyAlignment="0" applyProtection="0"/>
  </cellStyleXfs>
  <cellXfs count="217">
    <xf numFmtId="0" fontId="0" fillId="0" borderId="0" xfId="0"/>
    <xf numFmtId="0" fontId="2" fillId="0" borderId="0" xfId="0" applyFont="1"/>
    <xf numFmtId="4" fontId="0" fillId="0" borderId="0" xfId="0" applyNumberFormat="1"/>
    <xf numFmtId="14" fontId="2" fillId="0" borderId="1" xfId="0" applyNumberFormat="1" applyFont="1" applyBorder="1" applyAlignment="1">
      <alignment horizontal="right"/>
    </xf>
    <xf numFmtId="170" fontId="0" fillId="0" borderId="0" xfId="1" applyFont="1" applyAlignment="1">
      <alignment horizontal="right"/>
    </xf>
    <xf numFmtId="170" fontId="0" fillId="0" borderId="0" xfId="1" applyFont="1"/>
    <xf numFmtId="14" fontId="2" fillId="0" borderId="0" xfId="0" quotePrefix="1" applyNumberFormat="1" applyFont="1"/>
    <xf numFmtId="172" fontId="0" fillId="0" borderId="0" xfId="0" applyNumberFormat="1"/>
    <xf numFmtId="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70" fontId="2" fillId="0" borderId="0" xfId="1" applyFont="1" applyAlignment="1">
      <alignment horizontal="center"/>
    </xf>
    <xf numFmtId="172" fontId="2" fillId="0" borderId="0" xfId="0" applyNumberFormat="1" applyFont="1" applyAlignment="1">
      <alignment horizontal="center"/>
    </xf>
    <xf numFmtId="0" fontId="3" fillId="0" borderId="0" xfId="0" quotePrefix="1" applyFont="1"/>
    <xf numFmtId="4" fontId="0" fillId="0" borderId="1" xfId="0" applyNumberFormat="1" applyBorder="1"/>
    <xf numFmtId="0" fontId="0" fillId="0" borderId="1" xfId="0" applyBorder="1"/>
    <xf numFmtId="0" fontId="3" fillId="0" borderId="0" xfId="0" applyFont="1"/>
    <xf numFmtId="170" fontId="2" fillId="0" borderId="0" xfId="1" applyFont="1"/>
    <xf numFmtId="4" fontId="0" fillId="0" borderId="2" xfId="0" applyNumberFormat="1" applyBorder="1"/>
    <xf numFmtId="0" fontId="0" fillId="0" borderId="2" xfId="0" applyBorder="1"/>
    <xf numFmtId="4" fontId="0" fillId="0" borderId="0" xfId="0" applyNumberFormat="1" applyBorder="1"/>
    <xf numFmtId="0" fontId="0" fillId="0" borderId="0" xfId="0" applyBorder="1"/>
    <xf numFmtId="0" fontId="2" fillId="0" borderId="0" xfId="0" applyFont="1" applyAlignment="1">
      <alignment horizontal="right"/>
    </xf>
    <xf numFmtId="4" fontId="2" fillId="0" borderId="0" xfId="0" applyNumberFormat="1" applyFont="1"/>
    <xf numFmtId="172" fontId="2" fillId="0" borderId="0" xfId="0" applyNumberFormat="1" applyFont="1"/>
    <xf numFmtId="0" fontId="0" fillId="0" borderId="0" xfId="0" applyFill="1"/>
    <xf numFmtId="17" fontId="0" fillId="0" borderId="0" xfId="0" applyNumberFormat="1" applyFill="1"/>
    <xf numFmtId="4" fontId="0" fillId="0" borderId="0" xfId="0" applyNumberFormat="1" applyFill="1"/>
    <xf numFmtId="3" fontId="0" fillId="0" borderId="0" xfId="0" applyNumberFormat="1" applyFill="1"/>
    <xf numFmtId="15" fontId="0" fillId="0" borderId="0" xfId="0" applyNumberFormat="1" applyFill="1"/>
    <xf numFmtId="172" fontId="0" fillId="0" borderId="0" xfId="0" applyNumberFormat="1" applyFill="1"/>
    <xf numFmtId="173" fontId="0" fillId="0" borderId="0" xfId="0" applyNumberFormat="1" applyFill="1"/>
    <xf numFmtId="0" fontId="0" fillId="0" borderId="3" xfId="0" applyBorder="1"/>
    <xf numFmtId="0" fontId="0" fillId="0" borderId="3" xfId="0" applyFill="1" applyBorder="1"/>
    <xf numFmtId="4" fontId="0" fillId="0" borderId="3" xfId="0" applyNumberFormat="1" applyFill="1" applyBorder="1"/>
    <xf numFmtId="3" fontId="0" fillId="0" borderId="3" xfId="0" applyNumberFormat="1" applyFill="1" applyBorder="1"/>
    <xf numFmtId="15" fontId="0" fillId="0" borderId="3" xfId="0" applyNumberFormat="1" applyFill="1" applyBorder="1"/>
    <xf numFmtId="172" fontId="0" fillId="0" borderId="3" xfId="0" applyNumberFormat="1" applyFill="1" applyBorder="1"/>
    <xf numFmtId="173" fontId="0" fillId="0" borderId="3" xfId="0" applyNumberFormat="1" applyFill="1" applyBorder="1"/>
    <xf numFmtId="0" fontId="0" fillId="0" borderId="5" xfId="0" applyFill="1" applyBorder="1"/>
    <xf numFmtId="0" fontId="0" fillId="0" borderId="0" xfId="0" applyFill="1" applyBorder="1"/>
    <xf numFmtId="4" fontId="3" fillId="0" borderId="0" xfId="0" applyNumberFormat="1" applyFont="1" applyFill="1" applyBorder="1"/>
    <xf numFmtId="4" fontId="0" fillId="0" borderId="0" xfId="0" applyNumberFormat="1" applyFill="1" applyBorder="1"/>
    <xf numFmtId="15" fontId="0" fillId="0" borderId="0" xfId="0" applyNumberFormat="1" applyFill="1" applyBorder="1"/>
    <xf numFmtId="172" fontId="0" fillId="0" borderId="0" xfId="0" applyNumberFormat="1" applyFill="1" applyBorder="1"/>
    <xf numFmtId="173" fontId="0" fillId="0" borderId="0" xfId="0" applyNumberFormat="1" applyFill="1" applyBorder="1"/>
    <xf numFmtId="173" fontId="1" fillId="0" borderId="0" xfId="0" applyNumberFormat="1" applyFont="1" applyFill="1" applyBorder="1"/>
    <xf numFmtId="14" fontId="0" fillId="0" borderId="6" xfId="0" applyNumberFormat="1" applyFill="1" applyBorder="1"/>
    <xf numFmtId="0" fontId="0" fillId="2" borderId="6" xfId="0" applyFill="1" applyBorder="1" applyAlignment="1">
      <alignment horizontal="center" textRotation="255"/>
    </xf>
    <xf numFmtId="0" fontId="0" fillId="2" borderId="0" xfId="0" applyFill="1" applyBorder="1" applyAlignment="1">
      <alignment horizontal="center" textRotation="255"/>
    </xf>
    <xf numFmtId="4" fontId="3" fillId="0" borderId="3" xfId="0" applyNumberFormat="1" applyFont="1" applyFill="1" applyBorder="1"/>
    <xf numFmtId="173" fontId="1" fillId="0" borderId="3" xfId="0" applyNumberFormat="1" applyFont="1" applyFill="1" applyBorder="1"/>
    <xf numFmtId="14" fontId="0" fillId="0" borderId="7" xfId="0" applyNumberFormat="1" applyFill="1" applyBorder="1"/>
    <xf numFmtId="0" fontId="0" fillId="3" borderId="0" xfId="0" applyFill="1" applyAlignment="1">
      <alignment horizontal="center" textRotation="255"/>
    </xf>
    <xf numFmtId="0" fontId="0" fillId="0" borderId="8" xfId="0" applyFill="1" applyBorder="1"/>
    <xf numFmtId="0" fontId="0" fillId="0" borderId="9" xfId="0" applyFill="1" applyBorder="1"/>
    <xf numFmtId="173" fontId="1" fillId="2" borderId="0" xfId="0" applyNumberFormat="1" applyFont="1" applyFill="1" applyBorder="1"/>
    <xf numFmtId="172" fontId="0" fillId="0" borderId="0" xfId="0" applyNumberFormat="1" applyBorder="1"/>
    <xf numFmtId="0" fontId="0" fillId="0" borderId="10" xfId="0" applyFill="1" applyBorder="1"/>
    <xf numFmtId="172" fontId="0" fillId="0" borderId="3" xfId="0" applyNumberFormat="1" applyBorder="1"/>
    <xf numFmtId="0" fontId="0" fillId="4" borderId="6" xfId="0" applyFill="1" applyBorder="1" applyAlignment="1">
      <alignment textRotation="255"/>
    </xf>
    <xf numFmtId="0" fontId="0" fillId="4" borderId="0" xfId="0" applyFill="1" applyBorder="1" applyAlignment="1">
      <alignment textRotation="255"/>
    </xf>
    <xf numFmtId="17" fontId="0" fillId="0" borderId="0" xfId="0" quotePrefix="1" applyNumberFormat="1" applyFill="1"/>
    <xf numFmtId="170" fontId="0" fillId="0" borderId="0" xfId="1" applyFont="1" applyFill="1"/>
    <xf numFmtId="170" fontId="0" fillId="7" borderId="0" xfId="1" applyFont="1" applyFill="1"/>
    <xf numFmtId="174" fontId="0" fillId="7" borderId="0" xfId="1" applyNumberFormat="1" applyFont="1" applyFill="1"/>
    <xf numFmtId="14" fontId="0" fillId="7" borderId="0" xfId="1" applyNumberFormat="1" applyFont="1" applyFill="1"/>
    <xf numFmtId="0" fontId="1" fillId="8" borderId="0" xfId="0" applyFont="1" applyFill="1"/>
    <xf numFmtId="174" fontId="0" fillId="0" borderId="0" xfId="1" applyNumberFormat="1" applyFont="1"/>
    <xf numFmtId="170" fontId="0" fillId="2" borderId="0" xfId="1" applyFont="1" applyFill="1"/>
    <xf numFmtId="175" fontId="0" fillId="7" borderId="0" xfId="1" applyNumberFormat="1" applyFont="1" applyFill="1"/>
    <xf numFmtId="0" fontId="0" fillId="7" borderId="0" xfId="0" applyFill="1"/>
    <xf numFmtId="174" fontId="0" fillId="2" borderId="0" xfId="1" applyNumberFormat="1" applyFont="1" applyFill="1"/>
    <xf numFmtId="0" fontId="1" fillId="0" borderId="0" xfId="0" applyFont="1" applyFill="1"/>
    <xf numFmtId="170" fontId="0" fillId="9" borderId="0" xfId="1" applyFont="1" applyFill="1"/>
    <xf numFmtId="170" fontId="3" fillId="0" borderId="0" xfId="1" applyFont="1"/>
    <xf numFmtId="170" fontId="3" fillId="7" borderId="0" xfId="1" applyFont="1" applyFill="1"/>
    <xf numFmtId="170" fontId="3" fillId="0" borderId="0" xfId="1" applyFont="1" applyFill="1"/>
    <xf numFmtId="170" fontId="4" fillId="0" borderId="0" xfId="1" applyFont="1"/>
    <xf numFmtId="170" fontId="5" fillId="0" borderId="0" xfId="1" applyFont="1"/>
    <xf numFmtId="15" fontId="6" fillId="0" borderId="0" xfId="0" applyNumberFormat="1" applyFont="1"/>
    <xf numFmtId="0" fontId="2" fillId="0" borderId="11" xfId="0" applyFont="1" applyBorder="1"/>
    <xf numFmtId="0" fontId="2" fillId="0" borderId="12" xfId="0" applyFont="1" applyBorder="1"/>
    <xf numFmtId="4" fontId="2" fillId="0" borderId="13" xfId="0" applyNumberFormat="1" applyFont="1" applyBorder="1"/>
    <xf numFmtId="0" fontId="2" fillId="0" borderId="13" xfId="0" applyFont="1" applyBorder="1"/>
    <xf numFmtId="0" fontId="2" fillId="0" borderId="0" xfId="0" applyFont="1" applyFill="1" applyBorder="1"/>
    <xf numFmtId="4" fontId="3" fillId="0" borderId="13" xfId="0" applyNumberFormat="1" applyFont="1" applyBorder="1"/>
    <xf numFmtId="0" fontId="3" fillId="0" borderId="13" xfId="0" applyFont="1" applyBorder="1"/>
    <xf numFmtId="170" fontId="0" fillId="0" borderId="13" xfId="1" applyFont="1" applyFill="1" applyBorder="1"/>
    <xf numFmtId="170" fontId="0" fillId="0" borderId="13" xfId="1" applyFont="1" applyBorder="1"/>
    <xf numFmtId="170" fontId="0" fillId="0" borderId="0" xfId="0" applyNumberFormat="1"/>
    <xf numFmtId="4" fontId="0" fillId="0" borderId="13" xfId="0" applyNumberFormat="1" applyBorder="1"/>
    <xf numFmtId="0" fontId="0" fillId="0" borderId="13" xfId="0" applyBorder="1"/>
    <xf numFmtId="0" fontId="0" fillId="0" borderId="0" xfId="0" quotePrefix="1"/>
    <xf numFmtId="0" fontId="7" fillId="0" borderId="0" xfId="0" applyFont="1"/>
    <xf numFmtId="0" fontId="2" fillId="0" borderId="14" xfId="0" applyFont="1" applyBorder="1"/>
    <xf numFmtId="4" fontId="0" fillId="0" borderId="14" xfId="0" applyNumberFormat="1" applyBorder="1"/>
    <xf numFmtId="0" fontId="0" fillId="0" borderId="14" xfId="0" applyBorder="1"/>
    <xf numFmtId="170" fontId="0" fillId="0" borderId="14" xfId="1" applyFont="1" applyFill="1" applyBorder="1"/>
    <xf numFmtId="170" fontId="0" fillId="0" borderId="14" xfId="1" applyFont="1" applyBorder="1"/>
    <xf numFmtId="0" fontId="2" fillId="0" borderId="0" xfId="0" applyFont="1" applyBorder="1"/>
    <xf numFmtId="170" fontId="0" fillId="0" borderId="0" xfId="1" applyFont="1" applyFill="1" applyBorder="1"/>
    <xf numFmtId="170" fontId="0" fillId="0" borderId="0" xfId="1" applyFont="1" applyBorder="1"/>
    <xf numFmtId="170" fontId="0" fillId="0" borderId="0" xfId="0" applyNumberFormat="1" applyBorder="1"/>
    <xf numFmtId="170" fontId="3" fillId="0" borderId="0" xfId="0" applyNumberFormat="1" applyFont="1"/>
    <xf numFmtId="4" fontId="8" fillId="0" borderId="0" xfId="0" applyNumberFormat="1" applyFont="1"/>
    <xf numFmtId="0" fontId="9" fillId="0" borderId="0" xfId="0" applyFont="1"/>
    <xf numFmtId="0" fontId="10" fillId="0" borderId="0" xfId="0" applyFont="1"/>
    <xf numFmtId="0" fontId="5" fillId="0" borderId="0" xfId="0" applyFont="1"/>
    <xf numFmtId="176" fontId="5" fillId="0" borderId="0" xfId="0" applyNumberFormat="1" applyFont="1" applyBorder="1"/>
    <xf numFmtId="14" fontId="5" fillId="0" borderId="0" xfId="0" quotePrefix="1" applyNumberFormat="1" applyFont="1" applyBorder="1"/>
    <xf numFmtId="14" fontId="5" fillId="0" borderId="0" xfId="0" applyNumberFormat="1" applyFont="1" applyBorder="1"/>
    <xf numFmtId="0" fontId="5" fillId="0" borderId="15" xfId="0" applyFont="1" applyFill="1" applyBorder="1"/>
    <xf numFmtId="0" fontId="5" fillId="0" borderId="14" xfId="0" applyFont="1" applyFill="1" applyBorder="1"/>
    <xf numFmtId="0" fontId="5" fillId="0" borderId="13" xfId="0" applyFont="1" applyFill="1" applyBorder="1"/>
    <xf numFmtId="0" fontId="5" fillId="0" borderId="13" xfId="0" applyFont="1" applyFill="1" applyBorder="1" applyAlignment="1">
      <alignment horizontal="center"/>
    </xf>
    <xf numFmtId="4" fontId="11" fillId="0" borderId="15" xfId="0" applyNumberFormat="1" applyFont="1" applyBorder="1"/>
    <xf numFmtId="0" fontId="11" fillId="0" borderId="14" xfId="0" applyFont="1" applyBorder="1"/>
    <xf numFmtId="4" fontId="11" fillId="0" borderId="13" xfId="0" applyNumberFormat="1" applyFont="1" applyBorder="1"/>
    <xf numFmtId="0" fontId="11" fillId="0" borderId="13" xfId="0" applyFont="1" applyBorder="1"/>
    <xf numFmtId="172" fontId="11" fillId="0" borderId="13" xfId="0" applyNumberFormat="1" applyFont="1" applyBorder="1"/>
    <xf numFmtId="0" fontId="11" fillId="0" borderId="13" xfId="0" applyNumberFormat="1" applyFont="1" applyBorder="1"/>
    <xf numFmtId="4" fontId="11" fillId="0" borderId="11" xfId="0" applyNumberFormat="1" applyFont="1" applyBorder="1"/>
    <xf numFmtId="0" fontId="11" fillId="0" borderId="2" xfId="0" applyFont="1" applyBorder="1"/>
    <xf numFmtId="4" fontId="11" fillId="0" borderId="16" xfId="0" applyNumberFormat="1" applyFont="1" applyBorder="1"/>
    <xf numFmtId="0" fontId="11" fillId="0" borderId="17" xfId="0" applyFont="1" applyBorder="1"/>
    <xf numFmtId="1" fontId="11" fillId="0" borderId="13" xfId="0" applyNumberFormat="1" applyFont="1" applyBorder="1"/>
    <xf numFmtId="2" fontId="11" fillId="0" borderId="13" xfId="0" applyNumberFormat="1" applyFont="1" applyBorder="1"/>
    <xf numFmtId="4" fontId="11" fillId="0" borderId="18" xfId="0" applyNumberFormat="1" applyFont="1" applyBorder="1"/>
    <xf numFmtId="0" fontId="11" fillId="0" borderId="19" xfId="0" applyFont="1" applyBorder="1"/>
    <xf numFmtId="0" fontId="11" fillId="0" borderId="11" xfId="0" applyFont="1" applyBorder="1"/>
    <xf numFmtId="4" fontId="11" fillId="0" borderId="20" xfId="0" applyNumberFormat="1" applyFont="1" applyBorder="1"/>
    <xf numFmtId="0" fontId="11" fillId="0" borderId="15" xfId="0" applyFont="1" applyBorder="1"/>
    <xf numFmtId="4" fontId="12" fillId="0" borderId="13" xfId="0" applyNumberFormat="1" applyFont="1" applyBorder="1"/>
    <xf numFmtId="0" fontId="12" fillId="0" borderId="11" xfId="0" applyFont="1" applyBorder="1"/>
    <xf numFmtId="1" fontId="12" fillId="0" borderId="13" xfId="0" applyNumberFormat="1" applyFont="1" applyBorder="1"/>
    <xf numFmtId="2" fontId="12" fillId="0" borderId="13" xfId="0" applyNumberFormat="1" applyFont="1" applyBorder="1"/>
    <xf numFmtId="172" fontId="12" fillId="0" borderId="13" xfId="0" applyNumberFormat="1" applyFont="1" applyFill="1" applyBorder="1"/>
    <xf numFmtId="0" fontId="12" fillId="0" borderId="0" xfId="0" applyFont="1"/>
    <xf numFmtId="4" fontId="11" fillId="0" borderId="13" xfId="0" applyNumberFormat="1" applyFont="1" applyFill="1" applyBorder="1"/>
    <xf numFmtId="0" fontId="11" fillId="0" borderId="13" xfId="0" applyFont="1" applyFill="1" applyBorder="1"/>
    <xf numFmtId="0" fontId="11" fillId="0" borderId="0" xfId="0" applyFont="1"/>
    <xf numFmtId="0" fontId="0" fillId="0" borderId="11" xfId="0" applyBorder="1"/>
    <xf numFmtId="4" fontId="11" fillId="0" borderId="21" xfId="0" applyNumberFormat="1" applyFont="1" applyBorder="1"/>
    <xf numFmtId="0" fontId="11" fillId="0" borderId="12" xfId="0" applyFont="1" applyBorder="1"/>
    <xf numFmtId="3" fontId="11" fillId="0" borderId="18" xfId="0" applyNumberFormat="1" applyFont="1" applyBorder="1"/>
    <xf numFmtId="172" fontId="11" fillId="0" borderId="18" xfId="0" applyNumberFormat="1" applyFont="1" applyBorder="1"/>
    <xf numFmtId="0" fontId="5" fillId="0" borderId="0" xfId="0" applyFont="1" applyAlignment="1">
      <alignment horizontal="right"/>
    </xf>
    <xf numFmtId="4" fontId="5" fillId="0" borderId="13" xfId="0" applyNumberFormat="1" applyFont="1" applyBorder="1"/>
    <xf numFmtId="172" fontId="5" fillId="0" borderId="13" xfId="0" applyNumberFormat="1" applyFont="1" applyBorder="1"/>
    <xf numFmtId="0" fontId="11" fillId="0" borderId="0" xfId="0" applyFont="1" applyBorder="1"/>
    <xf numFmtId="170" fontId="2" fillId="0" borderId="0" xfId="1" quotePrefix="1" applyFont="1"/>
    <xf numFmtId="0" fontId="2" fillId="0" borderId="22" xfId="0" applyFont="1" applyBorder="1"/>
    <xf numFmtId="4" fontId="0" fillId="0" borderId="23" xfId="0" applyNumberFormat="1" applyBorder="1"/>
    <xf numFmtId="0" fontId="0" fillId="0" borderId="23" xfId="0" applyBorder="1"/>
    <xf numFmtId="170" fontId="0" fillId="0" borderId="23" xfId="1" applyFont="1" applyBorder="1"/>
    <xf numFmtId="170" fontId="0" fillId="0" borderId="24" xfId="1" applyFont="1" applyBorder="1"/>
    <xf numFmtId="0" fontId="2" fillId="0" borderId="25" xfId="0" applyFont="1" applyBorder="1"/>
    <xf numFmtId="4" fontId="2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70" fontId="2" fillId="0" borderId="0" xfId="1" applyFont="1" applyBorder="1" applyAlignment="1">
      <alignment horizontal="center"/>
    </xf>
    <xf numFmtId="170" fontId="2" fillId="0" borderId="26" xfId="1" applyFont="1" applyBorder="1" applyAlignment="1">
      <alignment horizontal="center"/>
    </xf>
    <xf numFmtId="0" fontId="3" fillId="0" borderId="25" xfId="0" applyFont="1" applyBorder="1"/>
    <xf numFmtId="4" fontId="3" fillId="0" borderId="0" xfId="0" applyNumberFormat="1" applyFont="1" applyBorder="1" applyAlignment="1">
      <alignment horizontal="right"/>
    </xf>
    <xf numFmtId="0" fontId="3" fillId="0" borderId="0" xfId="0" applyFont="1" applyBorder="1" applyAlignment="1">
      <alignment horizontal="right"/>
    </xf>
    <xf numFmtId="170" fontId="3" fillId="0" borderId="0" xfId="1" applyFont="1" applyBorder="1" applyAlignment="1">
      <alignment horizontal="center"/>
    </xf>
    <xf numFmtId="170" fontId="0" fillId="0" borderId="26" xfId="1" applyFont="1" applyBorder="1"/>
    <xf numFmtId="170" fontId="2" fillId="0" borderId="26" xfId="1" applyFont="1" applyBorder="1"/>
    <xf numFmtId="4" fontId="2" fillId="0" borderId="0" xfId="0" applyNumberFormat="1" applyFont="1" applyBorder="1" applyAlignment="1">
      <alignment horizontal="right"/>
    </xf>
    <xf numFmtId="0" fontId="0" fillId="0" borderId="0" xfId="0" applyBorder="1" applyAlignment="1">
      <alignment horizontal="right"/>
    </xf>
    <xf numFmtId="170" fontId="3" fillId="0" borderId="26" xfId="1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14" fillId="0" borderId="0" xfId="0" applyFont="1" applyBorder="1" applyAlignment="1">
      <alignment horizontal="right"/>
    </xf>
    <xf numFmtId="170" fontId="3" fillId="0" borderId="0" xfId="1" applyFont="1" applyBorder="1" applyAlignment="1">
      <alignment horizontal="right"/>
    </xf>
    <xf numFmtId="170" fontId="3" fillId="0" borderId="26" xfId="1" applyFont="1" applyBorder="1" applyAlignment="1">
      <alignment horizontal="right"/>
    </xf>
    <xf numFmtId="0" fontId="0" fillId="0" borderId="25" xfId="0" applyBorder="1"/>
    <xf numFmtId="170" fontId="2" fillId="0" borderId="0" xfId="1" applyFont="1" applyBorder="1"/>
    <xf numFmtId="170" fontId="2" fillId="0" borderId="0" xfId="1" applyFont="1" applyBorder="1" applyAlignment="1">
      <alignment horizontal="right"/>
    </xf>
    <xf numFmtId="0" fontId="0" fillId="0" borderId="27" xfId="0" applyBorder="1"/>
    <xf numFmtId="0" fontId="0" fillId="0" borderId="28" xfId="0" applyBorder="1"/>
    <xf numFmtId="170" fontId="0" fillId="0" borderId="28" xfId="1" applyFont="1" applyBorder="1"/>
    <xf numFmtId="170" fontId="0" fillId="0" borderId="29" xfId="1" applyFont="1" applyBorder="1"/>
    <xf numFmtId="0" fontId="0" fillId="0" borderId="22" xfId="0" applyBorder="1"/>
    <xf numFmtId="0" fontId="3" fillId="0" borderId="0" xfId="0" applyFont="1" applyBorder="1"/>
    <xf numFmtId="4" fontId="3" fillId="0" borderId="0" xfId="0" applyNumberFormat="1" applyFont="1" applyFill="1" applyBorder="1" applyAlignment="1">
      <alignment horizontal="right"/>
    </xf>
    <xf numFmtId="170" fontId="3" fillId="0" borderId="0" xfId="1" applyFont="1" applyBorder="1"/>
    <xf numFmtId="170" fontId="3" fillId="0" borderId="26" xfId="1" applyFont="1" applyBorder="1"/>
    <xf numFmtId="0" fontId="3" fillId="0" borderId="0" xfId="0" applyFont="1" applyFill="1" applyBorder="1"/>
    <xf numFmtId="0" fontId="0" fillId="0" borderId="0" xfId="0" applyFont="1" applyFill="1" applyBorder="1"/>
    <xf numFmtId="0" fontId="15" fillId="0" borderId="0" xfId="0" applyFont="1"/>
    <xf numFmtId="0" fontId="0" fillId="0" borderId="0" xfId="0"/>
    <xf numFmtId="15" fontId="16" fillId="0" borderId="0" xfId="0" applyNumberFormat="1" applyFont="1"/>
    <xf numFmtId="170" fontId="0" fillId="0" borderId="0" xfId="1" applyFont="1"/>
    <xf numFmtId="0" fontId="0" fillId="0" borderId="30" xfId="0" applyBorder="1"/>
    <xf numFmtId="0" fontId="0" fillId="0" borderId="31" xfId="0" applyBorder="1"/>
    <xf numFmtId="170" fontId="0" fillId="0" borderId="31" xfId="1" applyFont="1" applyBorder="1"/>
    <xf numFmtId="170" fontId="0" fillId="0" borderId="32" xfId="1" applyFont="1" applyBorder="1"/>
    <xf numFmtId="0" fontId="0" fillId="0" borderId="5" xfId="0" applyBorder="1"/>
    <xf numFmtId="0" fontId="0" fillId="0" borderId="33" xfId="0" applyBorder="1"/>
    <xf numFmtId="0" fontId="0" fillId="0" borderId="6" xfId="0" applyBorder="1"/>
    <xf numFmtId="170" fontId="0" fillId="0" borderId="4" xfId="1" applyFont="1" applyBorder="1"/>
    <xf numFmtId="0" fontId="0" fillId="0" borderId="4" xfId="0" applyBorder="1"/>
    <xf numFmtId="0" fontId="0" fillId="0" borderId="5" xfId="0" applyFill="1" applyBorder="1"/>
    <xf numFmtId="0" fontId="0" fillId="0" borderId="6" xfId="0" applyFill="1" applyBorder="1"/>
    <xf numFmtId="170" fontId="0" fillId="0" borderId="4" xfId="1" applyFont="1" applyFill="1" applyBorder="1"/>
    <xf numFmtId="0" fontId="0" fillId="0" borderId="4" xfId="0" applyFill="1" applyBorder="1"/>
    <xf numFmtId="0" fontId="0" fillId="0" borderId="34" xfId="0" applyBorder="1"/>
    <xf numFmtId="0" fontId="15" fillId="0" borderId="30" xfId="0" applyFont="1" applyFill="1" applyBorder="1"/>
    <xf numFmtId="170" fontId="0" fillId="0" borderId="35" xfId="1" applyFont="1" applyBorder="1"/>
    <xf numFmtId="0" fontId="0" fillId="0" borderId="0" xfId="0" applyBorder="1"/>
    <xf numFmtId="170" fontId="0" fillId="0" borderId="0" xfId="1" applyFont="1" applyBorder="1"/>
    <xf numFmtId="0" fontId="0" fillId="2" borderId="4" xfId="0" applyFill="1" applyBorder="1" applyAlignment="1">
      <alignment horizontal="center" textRotation="255"/>
    </xf>
    <xf numFmtId="0" fontId="0" fillId="3" borderId="0" xfId="0" applyFill="1" applyAlignment="1">
      <alignment horizontal="center" textRotation="255"/>
    </xf>
    <xf numFmtId="0" fontId="0" fillId="5" borderId="0" xfId="0" applyFill="1" applyAlignment="1">
      <alignment horizontal="center" textRotation="255"/>
    </xf>
    <xf numFmtId="0" fontId="0" fillId="6" borderId="0" xfId="0" applyFill="1" applyAlignment="1">
      <alignment horizontal="center" textRotation="255"/>
    </xf>
    <xf numFmtId="4" fontId="3" fillId="10" borderId="0" xfId="0" applyNumberFormat="1" applyFont="1" applyFill="1" applyBorder="1"/>
    <xf numFmtId="4" fontId="0" fillId="10" borderId="0" xfId="0" applyNumberFormat="1" applyFill="1" applyBorder="1"/>
    <xf numFmtId="4" fontId="12" fillId="10" borderId="0" xfId="0" applyNumberFormat="1" applyFont="1" applyFill="1" applyBorder="1"/>
  </cellXfs>
  <cellStyles count="2">
    <cellStyle name="Moneda" xfId="1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0</xdr:rowOff>
    </xdr:from>
    <xdr:to>
      <xdr:col>0</xdr:col>
      <xdr:colOff>1304925</xdr:colOff>
      <xdr:row>7</xdr:row>
      <xdr:rowOff>85725</xdr:rowOff>
    </xdr:to>
    <xdr:pic>
      <xdr:nvPicPr>
        <xdr:cNvPr id="1025" name="Picture 1" descr="logo_cicodelpa_final_BR[1]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525" y="0"/>
          <a:ext cx="1295400" cy="1219200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104775</xdr:rowOff>
    </xdr:from>
    <xdr:to>
      <xdr:col>0</xdr:col>
      <xdr:colOff>904875</xdr:colOff>
      <xdr:row>5</xdr:row>
      <xdr:rowOff>38100</xdr:rowOff>
    </xdr:to>
    <xdr:pic>
      <xdr:nvPicPr>
        <xdr:cNvPr id="2049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04775"/>
          <a:ext cx="904875" cy="904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104775</xdr:rowOff>
    </xdr:from>
    <xdr:to>
      <xdr:col>0</xdr:col>
      <xdr:colOff>1066800</xdr:colOff>
      <xdr:row>5</xdr:row>
      <xdr:rowOff>38100</xdr:rowOff>
    </xdr:to>
    <xdr:pic>
      <xdr:nvPicPr>
        <xdr:cNvPr id="2050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04775"/>
          <a:ext cx="1066800" cy="904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28575</xdr:rowOff>
    </xdr:from>
    <xdr:to>
      <xdr:col>0</xdr:col>
      <xdr:colOff>1123950</xdr:colOff>
      <xdr:row>6</xdr:row>
      <xdr:rowOff>104775</xdr:rowOff>
    </xdr:to>
    <xdr:pic>
      <xdr:nvPicPr>
        <xdr:cNvPr id="3073" name="Picture 1" descr="logo_cicodelpa_final_BR[1]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525" y="28575"/>
          <a:ext cx="1114425" cy="1047750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28575</xdr:rowOff>
    </xdr:from>
    <xdr:to>
      <xdr:col>0</xdr:col>
      <xdr:colOff>1123950</xdr:colOff>
      <xdr:row>6</xdr:row>
      <xdr:rowOff>104775</xdr:rowOff>
    </xdr:to>
    <xdr:pic>
      <xdr:nvPicPr>
        <xdr:cNvPr id="4097" name="Picture 1" descr="logo_cicodelpa_final_BR[1]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525" y="28575"/>
          <a:ext cx="1114425" cy="1047750"/>
        </a:xfrm>
        <a:prstGeom prst="rect">
          <a:avLst/>
        </a:prstGeom>
        <a:noFill/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rosy\Configuraci&#243;n%20local\Archivos%20temporales%20de%20Internet\Content.IE5\2ARQ3NRS\Kardex\2010\JUNIO%202010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eneral"/>
      <sheetName val="Bolsa 25X35"/>
      <sheetName val="Bolsa 30X40"/>
      <sheetName val="Bolsa 35X45"/>
      <sheetName val="Bolsa 40X60"/>
      <sheetName val="BUCHE MAPLE"/>
      <sheetName val="CABEZA DE LOMO MAPLE"/>
      <sheetName val="Cabeza de Lomo"/>
      <sheetName val="CABEZA DE LOMO COMBOS"/>
      <sheetName val="CAÑA DE L.MAPLE"/>
      <sheetName val="Cabeza Puerco Premium"/>
      <sheetName val="CARNERO"/>
      <sheetName val="CONTRA SWIFT"/>
      <sheetName val="Contra Excel"/>
      <sheetName val="CONTRA IBP"/>
      <sheetName val="CORBATA CURLY.S"/>
      <sheetName val="CORBATA Farmland chica"/>
      <sheetName val="CORBATA FARMLAND GDE."/>
      <sheetName val="Corbata seaboard"/>
      <sheetName val="costilla Rupari"/>
      <sheetName val="CUERO SIN GRASA MAPLE"/>
      <sheetName val="CUERO PAPEL BELLY"/>
      <sheetName val="Cuero SMITHFIELD"/>
      <sheetName val="Espaldilla de CORDERO"/>
      <sheetName val="ESPALDILLA DE CARNERO "/>
      <sheetName val="Filete de pescado"/>
      <sheetName val="Filete pescado BASA"/>
      <sheetName val="GRASA DE PUERCO"/>
      <sheetName val="LENGUA DE CERDO "/>
      <sheetName val="Lengua de Res"/>
      <sheetName val="Manteca"/>
      <sheetName val="Marrana en Combo"/>
      <sheetName val="Menudo Aurora"/>
      <sheetName val="MENUDO EXCEL 86M"/>
      <sheetName val="Menudo IBP"/>
      <sheetName val="NANA "/>
      <sheetName val="PATITAS DE CERDO"/>
      <sheetName val="CANAL DE CERDO"/>
      <sheetName val="PERNIL CON PIEL"/>
      <sheetName val="Pulpa Negra"/>
      <sheetName val="SESOS EN COPA "/>
      <sheetName val="Sesos marqueta"/>
      <sheetName val="Trompa Farmland"/>
      <sheetName val="Tocino IBP"/>
    </sheetNames>
    <sheetDataSet>
      <sheetData sheetId="0" refreshError="1"/>
      <sheetData sheetId="1">
        <row r="5">
          <cell r="C5" t="str">
            <v>BOLSA 25X35</v>
          </cell>
        </row>
        <row r="208">
          <cell r="G208">
            <v>0</v>
          </cell>
          <cell r="H208">
            <v>0</v>
          </cell>
        </row>
      </sheetData>
      <sheetData sheetId="2">
        <row r="5">
          <cell r="C5" t="str">
            <v>BOLSA 30X40</v>
          </cell>
        </row>
        <row r="207">
          <cell r="G207">
            <v>0</v>
          </cell>
          <cell r="H207">
            <v>0</v>
          </cell>
        </row>
      </sheetData>
      <sheetData sheetId="3">
        <row r="5">
          <cell r="C5" t="str">
            <v>BOLSA 35X45</v>
          </cell>
        </row>
        <row r="208">
          <cell r="G208">
            <v>0</v>
          </cell>
          <cell r="H208">
            <v>0</v>
          </cell>
        </row>
      </sheetData>
      <sheetData sheetId="4">
        <row r="5">
          <cell r="C5" t="str">
            <v>BOLSA 40X60</v>
          </cell>
        </row>
        <row r="208">
          <cell r="G208">
            <v>0</v>
          </cell>
          <cell r="H208">
            <v>0</v>
          </cell>
        </row>
      </sheetData>
      <sheetData sheetId="5">
        <row r="5">
          <cell r="C5" t="str">
            <v>BUCHE MAPLE 10kg</v>
          </cell>
        </row>
        <row r="212">
          <cell r="G212">
            <v>14090</v>
          </cell>
          <cell r="H212">
            <v>1409</v>
          </cell>
        </row>
      </sheetData>
      <sheetData sheetId="6">
        <row r="5">
          <cell r="C5" t="str">
            <v>CABEZA DE LOMO MAPLE</v>
          </cell>
        </row>
        <row r="211">
          <cell r="G211">
            <v>0</v>
          </cell>
          <cell r="H211">
            <v>0</v>
          </cell>
        </row>
      </sheetData>
      <sheetData sheetId="7">
        <row r="5">
          <cell r="C5" t="str">
            <v>CABEZA DE LOMO</v>
          </cell>
        </row>
        <row r="207">
          <cell r="G207">
            <v>0</v>
          </cell>
          <cell r="H207">
            <v>0</v>
          </cell>
        </row>
      </sheetData>
      <sheetData sheetId="8" refreshError="1"/>
      <sheetData sheetId="9">
        <row r="1">
          <cell r="C1" t="str">
            <v>CAÑA DE LOMO MAPLE</v>
          </cell>
        </row>
        <row r="73">
          <cell r="G73">
            <v>0</v>
          </cell>
          <cell r="H73">
            <v>0</v>
          </cell>
        </row>
      </sheetData>
      <sheetData sheetId="10">
        <row r="5">
          <cell r="C5" t="str">
            <v>CABEZA PUERCO PREMIUM</v>
          </cell>
        </row>
        <row r="208">
          <cell r="G208">
            <v>0</v>
          </cell>
          <cell r="H208">
            <v>0</v>
          </cell>
        </row>
      </sheetData>
      <sheetData sheetId="11">
        <row r="5">
          <cell r="C5" t="str">
            <v>CARNERO DOWN  UNDER</v>
          </cell>
        </row>
        <row r="208">
          <cell r="G208">
            <v>0</v>
          </cell>
          <cell r="H208">
            <v>0</v>
          </cell>
        </row>
      </sheetData>
      <sheetData sheetId="12">
        <row r="5">
          <cell r="C5" t="str">
            <v>CONTRA (GOOSENECK) SWIFT</v>
          </cell>
        </row>
        <row r="198">
          <cell r="G198">
            <v>10146.949999999997</v>
          </cell>
          <cell r="H198">
            <v>347</v>
          </cell>
        </row>
      </sheetData>
      <sheetData sheetId="13">
        <row r="5">
          <cell r="C5" t="str">
            <v>CONTRA EXCEL</v>
          </cell>
        </row>
        <row r="208">
          <cell r="G208">
            <v>0</v>
          </cell>
          <cell r="H208">
            <v>0</v>
          </cell>
        </row>
      </sheetData>
      <sheetData sheetId="14">
        <row r="5">
          <cell r="C5" t="str">
            <v>CONTRA (GOOSENECK) IBP</v>
          </cell>
        </row>
        <row r="196">
          <cell r="G196">
            <v>0</v>
          </cell>
          <cell r="H196">
            <v>0</v>
          </cell>
        </row>
      </sheetData>
      <sheetData sheetId="15">
        <row r="5">
          <cell r="C5" t="str">
            <v>CORBATA CURLY'S  13.61</v>
          </cell>
        </row>
        <row r="209">
          <cell r="G209">
            <v>3851.6300000000006</v>
          </cell>
          <cell r="H209">
            <v>283</v>
          </cell>
        </row>
      </sheetData>
      <sheetData sheetId="16">
        <row r="5">
          <cell r="C5" t="str">
            <v>CORBATA  FARMLAND chica 13.00</v>
          </cell>
        </row>
        <row r="209">
          <cell r="G209">
            <v>2808</v>
          </cell>
          <cell r="H209">
            <v>216</v>
          </cell>
        </row>
      </sheetData>
      <sheetData sheetId="17">
        <row r="5">
          <cell r="C5" t="str">
            <v>CORBATA FARMLAND GDE. 13.61</v>
          </cell>
        </row>
        <row r="210">
          <cell r="G210">
            <v>4668.2300000000005</v>
          </cell>
          <cell r="H210">
            <v>343</v>
          </cell>
        </row>
      </sheetData>
      <sheetData sheetId="18">
        <row r="5">
          <cell r="C5" t="str">
            <v>CORBATA  SEABOARD</v>
          </cell>
        </row>
        <row r="207">
          <cell r="G207">
            <v>12637.199999999997</v>
          </cell>
          <cell r="H207">
            <v>745</v>
          </cell>
        </row>
      </sheetData>
      <sheetData sheetId="19">
        <row r="208">
          <cell r="G208">
            <v>0</v>
          </cell>
          <cell r="H208">
            <v>0</v>
          </cell>
        </row>
      </sheetData>
      <sheetData sheetId="20">
        <row r="1">
          <cell r="C1" t="str">
            <v>CUERO SIN GRASA MAPLE 27.22</v>
          </cell>
        </row>
        <row r="71">
          <cell r="G71">
            <v>0</v>
          </cell>
          <cell r="H71">
            <v>0</v>
          </cell>
        </row>
      </sheetData>
      <sheetData sheetId="21">
        <row r="5">
          <cell r="C5" t="str">
            <v>CUERO PAPEL BELLY FARMLAND 27.22</v>
          </cell>
        </row>
        <row r="217">
          <cell r="G217">
            <v>15950.919999999998</v>
          </cell>
          <cell r="H217">
            <v>586</v>
          </cell>
        </row>
      </sheetData>
      <sheetData sheetId="22">
        <row r="5">
          <cell r="C5" t="str">
            <v>CUERO SMITHFIELD 27.22</v>
          </cell>
        </row>
        <row r="209">
          <cell r="G209">
            <v>12164.840000000002</v>
          </cell>
          <cell r="H209">
            <v>447</v>
          </cell>
        </row>
      </sheetData>
      <sheetData sheetId="23">
        <row r="5">
          <cell r="C5" t="str">
            <v>ESPALDILLA DE CORDERO TATIARA</v>
          </cell>
        </row>
        <row r="207">
          <cell r="G207">
            <v>2275.3799999999997</v>
          </cell>
          <cell r="H207">
            <v>107</v>
          </cell>
        </row>
      </sheetData>
      <sheetData sheetId="24">
        <row r="5">
          <cell r="C5" t="str">
            <v>ESPALDILLA DE CARNERO TAYLOR PRESTON</v>
          </cell>
        </row>
        <row r="207">
          <cell r="G207">
            <v>9849.5400000000009</v>
          </cell>
          <cell r="H207">
            <v>540</v>
          </cell>
        </row>
      </sheetData>
      <sheetData sheetId="25">
        <row r="5">
          <cell r="C5" t="str">
            <v>FILETE DE PESCADO</v>
          </cell>
        </row>
        <row r="207">
          <cell r="G207">
            <v>0</v>
          </cell>
          <cell r="H207">
            <v>0</v>
          </cell>
        </row>
      </sheetData>
      <sheetData sheetId="26">
        <row r="5">
          <cell r="C5" t="str">
            <v>FILETE DE PESCADO BASA 10.0</v>
          </cell>
        </row>
        <row r="207">
          <cell r="G207">
            <v>1450</v>
          </cell>
          <cell r="H207">
            <v>145</v>
          </cell>
        </row>
      </sheetData>
      <sheetData sheetId="27" refreshError="1"/>
      <sheetData sheetId="28">
        <row r="5">
          <cell r="C5" t="str">
            <v>LENGUA. DE CERDO  SWIFT  13.61</v>
          </cell>
        </row>
        <row r="214">
          <cell r="G214">
            <v>2284.8799999999997</v>
          </cell>
          <cell r="H214">
            <v>168</v>
          </cell>
        </row>
      </sheetData>
      <sheetData sheetId="29">
        <row r="5">
          <cell r="C5" t="str">
            <v xml:space="preserve">L. DE RES NATIONAL </v>
          </cell>
        </row>
        <row r="211">
          <cell r="G211">
            <v>0</v>
          </cell>
          <cell r="H211">
            <v>0</v>
          </cell>
        </row>
      </sheetData>
      <sheetData sheetId="30">
        <row r="5">
          <cell r="C5" t="str">
            <v>MANTECA</v>
          </cell>
        </row>
        <row r="208">
          <cell r="G208">
            <v>0</v>
          </cell>
          <cell r="H208">
            <v>0</v>
          </cell>
        </row>
      </sheetData>
      <sheetData sheetId="31">
        <row r="5">
          <cell r="C5" t="str">
            <v>MARRANA EN COMBO</v>
          </cell>
        </row>
        <row r="207">
          <cell r="G207">
            <v>0</v>
          </cell>
          <cell r="H207">
            <v>0</v>
          </cell>
        </row>
      </sheetData>
      <sheetData sheetId="32">
        <row r="5">
          <cell r="C5" t="str">
            <v>MENUDO AURORA  31.76</v>
          </cell>
        </row>
        <row r="207">
          <cell r="G207">
            <v>253.4199999999999</v>
          </cell>
          <cell r="H207">
            <v>8</v>
          </cell>
        </row>
      </sheetData>
      <sheetData sheetId="33">
        <row r="5">
          <cell r="C5" t="str">
            <v>MENUDO EXCEL 27.22</v>
          </cell>
        </row>
        <row r="212">
          <cell r="G212">
            <v>73820.639999999941</v>
          </cell>
          <cell r="H212">
            <v>2712</v>
          </cell>
        </row>
      </sheetData>
      <sheetData sheetId="34">
        <row r="5">
          <cell r="C5" t="str">
            <v>MENUDO IBP 22.68</v>
          </cell>
        </row>
        <row r="207">
          <cell r="G207">
            <v>952.56000000000051</v>
          </cell>
          <cell r="H207">
            <v>42</v>
          </cell>
        </row>
      </sheetData>
      <sheetData sheetId="35">
        <row r="5">
          <cell r="C5" t="str">
            <v xml:space="preserve">NANA </v>
          </cell>
        </row>
      </sheetData>
      <sheetData sheetId="36">
        <row r="6">
          <cell r="C6" t="str">
            <v xml:space="preserve">PATITAS DE CERDO FARMLAND 15.00 </v>
          </cell>
        </row>
        <row r="210">
          <cell r="G210">
            <v>1350</v>
          </cell>
          <cell r="H210">
            <v>90</v>
          </cell>
        </row>
      </sheetData>
      <sheetData sheetId="37">
        <row r="5">
          <cell r="C5" t="str">
            <v>CERDO CANAL</v>
          </cell>
        </row>
        <row r="207">
          <cell r="G207">
            <v>0</v>
          </cell>
          <cell r="H207">
            <v>0</v>
          </cell>
        </row>
      </sheetData>
      <sheetData sheetId="38">
        <row r="5">
          <cell r="C5" t="str">
            <v>PERNIL CON PIEL</v>
          </cell>
        </row>
        <row r="119">
          <cell r="G119">
            <v>3.637978807091713E-12</v>
          </cell>
          <cell r="H119">
            <v>0</v>
          </cell>
        </row>
      </sheetData>
      <sheetData sheetId="39">
        <row r="5">
          <cell r="C5" t="str">
            <v>PULPA NEGRA SWIFT</v>
          </cell>
        </row>
        <row r="207">
          <cell r="G207">
            <v>0</v>
          </cell>
          <cell r="H207">
            <v>0</v>
          </cell>
        </row>
      </sheetData>
      <sheetData sheetId="40">
        <row r="5">
          <cell r="C5" t="str">
            <v>SESOS EN COPA FARMLAND 5.45</v>
          </cell>
        </row>
        <row r="187">
          <cell r="G187">
            <v>9756.9499999999989</v>
          </cell>
          <cell r="H187">
            <v>1793</v>
          </cell>
        </row>
      </sheetData>
      <sheetData sheetId="41">
        <row r="5">
          <cell r="C5" t="str">
            <v>SESOS MARQUETA farmland 13.61</v>
          </cell>
        </row>
        <row r="208">
          <cell r="G208">
            <v>4055.7800000000007</v>
          </cell>
          <cell r="H208">
            <v>298</v>
          </cell>
        </row>
      </sheetData>
      <sheetData sheetId="42">
        <row r="5">
          <cell r="C5" t="str">
            <v>TROMPA FARMLAND</v>
          </cell>
        </row>
        <row r="207">
          <cell r="G207">
            <v>0</v>
          </cell>
          <cell r="H207">
            <v>0</v>
          </cell>
        </row>
      </sheetData>
      <sheetData sheetId="43">
        <row r="5">
          <cell r="C5" t="str">
            <v>TOCINO IBP</v>
          </cell>
        </row>
        <row r="207">
          <cell r="G207">
            <v>0</v>
          </cell>
          <cell r="H207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U71"/>
  <sheetViews>
    <sheetView tabSelected="1" zoomScale="75" workbookViewId="0">
      <selection activeCell="F70" sqref="F70"/>
    </sheetView>
  </sheetViews>
  <sheetFormatPr baseColWidth="10" defaultRowHeight="12.75"/>
  <cols>
    <col min="1" max="1" width="4.140625" customWidth="1"/>
    <col min="2" max="2" width="16.85546875" style="2" customWidth="1"/>
    <col min="4" max="4" width="14.42578125" style="2" customWidth="1"/>
    <col min="6" max="6" width="13.140625" style="2" bestFit="1" customWidth="1"/>
    <col min="9" max="9" width="12.85546875" customWidth="1"/>
    <col min="11" max="11" width="4" style="7" customWidth="1"/>
    <col min="12" max="12" width="7" style="7" customWidth="1"/>
    <col min="13" max="14" width="0" style="7" hidden="1" customWidth="1"/>
    <col min="15" max="15" width="12" hidden="1" customWidth="1"/>
    <col min="16" max="16" width="0" hidden="1" customWidth="1"/>
    <col min="18" max="18" width="5.85546875" hidden="1" customWidth="1"/>
    <col min="20" max="20" width="13" customWidth="1"/>
    <col min="21" max="21" width="14.85546875" customWidth="1"/>
  </cols>
  <sheetData>
    <row r="2" spans="1:21">
      <c r="B2" s="24" t="s">
        <v>121</v>
      </c>
      <c r="C2" s="24"/>
      <c r="D2" s="25"/>
      <c r="E2" s="25">
        <v>40330</v>
      </c>
      <c r="F2" s="26"/>
      <c r="G2" s="26"/>
      <c r="H2" s="26"/>
      <c r="I2" s="27"/>
      <c r="J2" s="28"/>
      <c r="K2" s="24"/>
      <c r="L2" s="24"/>
      <c r="M2" s="29"/>
      <c r="N2" s="30"/>
      <c r="O2" s="29"/>
      <c r="P2" s="29"/>
      <c r="Q2" s="29"/>
      <c r="R2" s="29"/>
      <c r="S2" s="29"/>
      <c r="T2" s="29"/>
      <c r="U2" s="29"/>
    </row>
    <row r="3" spans="1:21">
      <c r="B3" s="24"/>
      <c r="C3" s="24"/>
      <c r="D3" s="24"/>
      <c r="E3" s="24"/>
      <c r="F3" s="26"/>
      <c r="G3" s="26"/>
      <c r="H3" s="26"/>
      <c r="I3" s="27"/>
      <c r="J3" s="28"/>
      <c r="K3" s="24"/>
      <c r="L3" s="24"/>
      <c r="M3" s="29"/>
      <c r="N3" s="30"/>
      <c r="O3" s="29"/>
      <c r="P3" s="29"/>
      <c r="Q3" s="29"/>
      <c r="R3" s="29"/>
      <c r="S3" s="29"/>
      <c r="T3" s="29"/>
      <c r="U3" s="29"/>
    </row>
    <row r="4" spans="1:21" ht="13.5" thickBot="1">
      <c r="A4" s="31"/>
      <c r="B4" s="32" t="s">
        <v>122</v>
      </c>
      <c r="C4" s="32" t="s">
        <v>123</v>
      </c>
      <c r="D4" s="32" t="s">
        <v>124</v>
      </c>
      <c r="E4" s="32" t="s">
        <v>125</v>
      </c>
      <c r="F4" s="33" t="s">
        <v>126</v>
      </c>
      <c r="G4" s="33" t="s">
        <v>127</v>
      </c>
      <c r="H4" s="33" t="s">
        <v>128</v>
      </c>
      <c r="I4" s="34" t="s">
        <v>129</v>
      </c>
      <c r="J4" s="35" t="s">
        <v>130</v>
      </c>
      <c r="K4" s="32" t="s">
        <v>131</v>
      </c>
      <c r="L4" s="32" t="s">
        <v>132</v>
      </c>
      <c r="M4" s="36" t="s">
        <v>133</v>
      </c>
      <c r="N4" s="37" t="s">
        <v>134</v>
      </c>
      <c r="O4" s="36" t="s">
        <v>135</v>
      </c>
      <c r="P4" s="36" t="s">
        <v>136</v>
      </c>
      <c r="Q4" s="36" t="s">
        <v>137</v>
      </c>
      <c r="R4" s="36" t="s">
        <v>138</v>
      </c>
      <c r="S4" s="36" t="s">
        <v>139</v>
      </c>
      <c r="T4" s="36" t="s">
        <v>140</v>
      </c>
      <c r="U4" s="36" t="s">
        <v>141</v>
      </c>
    </row>
    <row r="5" spans="1:21">
      <c r="A5" s="210"/>
      <c r="B5" s="38" t="s">
        <v>142</v>
      </c>
      <c r="C5" s="39" t="s">
        <v>143</v>
      </c>
      <c r="D5" s="39" t="s">
        <v>144</v>
      </c>
      <c r="E5" s="39" t="s">
        <v>145</v>
      </c>
      <c r="F5" s="40">
        <v>19363.25</v>
      </c>
      <c r="G5" s="41">
        <v>19151.16</v>
      </c>
      <c r="H5" s="41">
        <f t="shared" ref="H5:H13" si="0">G5-F5</f>
        <v>-212.09000000000015</v>
      </c>
      <c r="I5" s="39" t="s">
        <v>146</v>
      </c>
      <c r="J5" s="42">
        <v>40331</v>
      </c>
      <c r="K5" s="39" t="s">
        <v>147</v>
      </c>
      <c r="L5" s="39" t="s">
        <v>148</v>
      </c>
      <c r="M5" s="43"/>
      <c r="N5" s="44">
        <v>0.94</v>
      </c>
      <c r="O5" s="43">
        <v>18560</v>
      </c>
      <c r="P5" s="43">
        <v>7154.5</v>
      </c>
      <c r="Q5" s="45">
        <v>12.78</v>
      </c>
      <c r="R5" s="43">
        <v>0.1</v>
      </c>
      <c r="S5" s="43">
        <f t="shared" ref="S5:S10" si="1">IF(M5&gt;0,M5,((N5*2.2046*Q5)+(O5+P5)/F5)+R5)</f>
        <v>27.912306090999188</v>
      </c>
      <c r="T5" s="43">
        <f t="shared" ref="T5:T13" si="2">S5*F5</f>
        <v>540472.96091654</v>
      </c>
      <c r="U5" s="46">
        <v>40332</v>
      </c>
    </row>
    <row r="6" spans="1:21">
      <c r="A6" s="210"/>
      <c r="B6" s="38" t="s">
        <v>142</v>
      </c>
      <c r="C6" s="39" t="s">
        <v>149</v>
      </c>
      <c r="D6" s="39" t="s">
        <v>149</v>
      </c>
      <c r="E6" s="39" t="s">
        <v>150</v>
      </c>
      <c r="F6" s="40">
        <v>18210.43</v>
      </c>
      <c r="G6" s="41">
        <v>18243.82</v>
      </c>
      <c r="H6" s="41">
        <f t="shared" si="0"/>
        <v>33.389999999999418</v>
      </c>
      <c r="I6" t="s">
        <v>151</v>
      </c>
      <c r="J6" s="42">
        <v>40331</v>
      </c>
      <c r="K6" s="39" t="s">
        <v>147</v>
      </c>
      <c r="L6" s="39" t="s">
        <v>148</v>
      </c>
      <c r="M6" s="43"/>
      <c r="N6" s="44">
        <v>0.94</v>
      </c>
      <c r="O6" s="43">
        <v>18560</v>
      </c>
      <c r="P6" s="43">
        <v>7154.5</v>
      </c>
      <c r="Q6" s="45">
        <v>12.78</v>
      </c>
      <c r="R6" s="43">
        <v>0.1</v>
      </c>
      <c r="S6" s="43">
        <f t="shared" si="1"/>
        <v>27.996376107566359</v>
      </c>
      <c r="T6" s="43">
        <f t="shared" si="2"/>
        <v>509826.04736050963</v>
      </c>
      <c r="U6" s="46">
        <v>40332</v>
      </c>
    </row>
    <row r="7" spans="1:21">
      <c r="A7" s="210"/>
      <c r="B7" s="38" t="s">
        <v>152</v>
      </c>
      <c r="C7" s="39" t="s">
        <v>153</v>
      </c>
      <c r="D7" s="39" t="s">
        <v>154</v>
      </c>
      <c r="E7" s="39" t="s">
        <v>155</v>
      </c>
      <c r="F7" s="214">
        <v>9724.1</v>
      </c>
      <c r="G7" s="41">
        <v>9660</v>
      </c>
      <c r="H7" s="41">
        <f t="shared" si="0"/>
        <v>-64.100000000000364</v>
      </c>
      <c r="I7" t="s">
        <v>156</v>
      </c>
      <c r="J7" s="42">
        <v>40331</v>
      </c>
      <c r="K7" s="39" t="s">
        <v>147</v>
      </c>
      <c r="L7" s="39"/>
      <c r="M7" s="43">
        <v>28</v>
      </c>
      <c r="N7" s="44"/>
      <c r="O7" s="43"/>
      <c r="P7" s="43"/>
      <c r="Q7" s="45"/>
      <c r="R7" s="43"/>
      <c r="S7" s="43">
        <f t="shared" si="1"/>
        <v>28</v>
      </c>
      <c r="T7" s="43">
        <f t="shared" si="2"/>
        <v>272274.8</v>
      </c>
      <c r="U7" s="46">
        <v>40346</v>
      </c>
    </row>
    <row r="8" spans="1:21">
      <c r="A8" s="210"/>
      <c r="B8" s="38" t="s">
        <v>157</v>
      </c>
      <c r="C8" s="39" t="s">
        <v>158</v>
      </c>
      <c r="D8" s="39" t="s">
        <v>159</v>
      </c>
      <c r="E8" s="39" t="s">
        <v>160</v>
      </c>
      <c r="F8" s="40">
        <v>4957.0600000000004</v>
      </c>
      <c r="G8" s="41">
        <v>4957.0600000000004</v>
      </c>
      <c r="H8" s="41">
        <f t="shared" si="0"/>
        <v>0</v>
      </c>
      <c r="I8" t="s">
        <v>161</v>
      </c>
      <c r="J8" s="42">
        <v>40332</v>
      </c>
      <c r="K8" s="39" t="s">
        <v>162</v>
      </c>
      <c r="L8" s="39"/>
      <c r="M8" s="43">
        <v>57.7</v>
      </c>
      <c r="N8" s="44"/>
      <c r="O8" s="43"/>
      <c r="P8" s="43"/>
      <c r="Q8" s="45"/>
      <c r="R8" s="43"/>
      <c r="S8" s="43">
        <f t="shared" si="1"/>
        <v>57.7</v>
      </c>
      <c r="T8" s="43">
        <f t="shared" si="2"/>
        <v>286022.36200000002</v>
      </c>
      <c r="U8" s="46">
        <v>40352</v>
      </c>
    </row>
    <row r="9" spans="1:21">
      <c r="A9" s="210"/>
      <c r="B9" s="38" t="s">
        <v>43</v>
      </c>
      <c r="C9" s="39" t="s">
        <v>144</v>
      </c>
      <c r="D9" s="39" t="s">
        <v>159</v>
      </c>
      <c r="E9" s="39" t="s">
        <v>163</v>
      </c>
      <c r="F9" s="40">
        <v>2025</v>
      </c>
      <c r="G9" s="41">
        <v>2025</v>
      </c>
      <c r="H9" s="41">
        <f t="shared" si="0"/>
        <v>0</v>
      </c>
      <c r="I9" t="s">
        <v>164</v>
      </c>
      <c r="J9" s="42">
        <v>40332</v>
      </c>
      <c r="K9" s="39" t="s">
        <v>162</v>
      </c>
      <c r="L9" s="39"/>
      <c r="M9" s="43">
        <v>13</v>
      </c>
      <c r="N9" s="44"/>
      <c r="O9" s="43"/>
      <c r="P9" s="43"/>
      <c r="Q9" s="45"/>
      <c r="R9" s="43"/>
      <c r="S9" s="43">
        <f t="shared" si="1"/>
        <v>13</v>
      </c>
      <c r="T9" s="43">
        <f t="shared" si="2"/>
        <v>26325</v>
      </c>
      <c r="U9" s="46" t="s">
        <v>164</v>
      </c>
    </row>
    <row r="10" spans="1:21">
      <c r="A10" s="210"/>
      <c r="B10" s="38" t="s">
        <v>165</v>
      </c>
      <c r="C10" s="39" t="s">
        <v>166</v>
      </c>
      <c r="D10" s="39" t="s">
        <v>167</v>
      </c>
      <c r="E10" s="39" t="s">
        <v>168</v>
      </c>
      <c r="F10" s="214">
        <v>1482</v>
      </c>
      <c r="G10" s="41">
        <v>1482</v>
      </c>
      <c r="H10" s="41">
        <f t="shared" si="0"/>
        <v>0</v>
      </c>
      <c r="I10" t="s">
        <v>169</v>
      </c>
      <c r="J10" s="42">
        <v>40332</v>
      </c>
      <c r="K10" s="39" t="s">
        <v>162</v>
      </c>
      <c r="L10" s="39"/>
      <c r="M10" s="43">
        <v>35</v>
      </c>
      <c r="N10" s="44"/>
      <c r="O10" s="43"/>
      <c r="P10" s="43"/>
      <c r="Q10" s="45"/>
      <c r="R10" s="43"/>
      <c r="S10" s="43">
        <f t="shared" si="1"/>
        <v>35</v>
      </c>
      <c r="T10" s="43">
        <f t="shared" si="2"/>
        <v>51870</v>
      </c>
      <c r="U10" s="46">
        <v>40341</v>
      </c>
    </row>
    <row r="11" spans="1:21">
      <c r="A11" s="210"/>
      <c r="B11" s="38" t="s">
        <v>142</v>
      </c>
      <c r="C11" s="39" t="s">
        <v>170</v>
      </c>
      <c r="D11" s="39" t="s">
        <v>171</v>
      </c>
      <c r="E11" s="39" t="s">
        <v>172</v>
      </c>
      <c r="F11" s="40">
        <f>45072*0.4536</f>
        <v>20444.659200000002</v>
      </c>
      <c r="G11" s="41">
        <v>20374.419999999998</v>
      </c>
      <c r="H11" s="41">
        <f t="shared" si="0"/>
        <v>-70.239200000003621</v>
      </c>
      <c r="I11" s="24" t="s">
        <v>173</v>
      </c>
      <c r="J11" s="42">
        <v>40334</v>
      </c>
      <c r="K11" s="39" t="s">
        <v>174</v>
      </c>
      <c r="L11" s="39" t="s">
        <v>175</v>
      </c>
      <c r="M11" s="43"/>
      <c r="N11" s="44">
        <v>0.97</v>
      </c>
      <c r="O11" s="43"/>
      <c r="P11" s="43"/>
      <c r="Q11" s="45">
        <v>13</v>
      </c>
      <c r="R11" s="43"/>
      <c r="S11" s="43">
        <f>N11/0.4536*Q11</f>
        <v>27.799823633156965</v>
      </c>
      <c r="T11" s="43">
        <f t="shared" si="2"/>
        <v>568357.92000000004</v>
      </c>
      <c r="U11" s="46">
        <v>40334</v>
      </c>
    </row>
    <row r="12" spans="1:21">
      <c r="A12" s="47"/>
      <c r="B12" s="38" t="s">
        <v>165</v>
      </c>
      <c r="C12" s="39" t="s">
        <v>166</v>
      </c>
      <c r="D12" s="39" t="s">
        <v>167</v>
      </c>
      <c r="E12" s="39" t="s">
        <v>176</v>
      </c>
      <c r="F12" s="214">
        <v>874</v>
      </c>
      <c r="G12" s="41">
        <v>874</v>
      </c>
      <c r="H12" s="41">
        <f t="shared" si="0"/>
        <v>0</v>
      </c>
      <c r="I12" s="24" t="s">
        <v>169</v>
      </c>
      <c r="J12" s="42">
        <v>40334</v>
      </c>
      <c r="K12" s="39" t="s">
        <v>174</v>
      </c>
      <c r="L12" s="39"/>
      <c r="M12" s="43">
        <v>35</v>
      </c>
      <c r="N12" s="44"/>
      <c r="O12" s="43"/>
      <c r="P12" s="43"/>
      <c r="Q12" s="45"/>
      <c r="R12" s="43"/>
      <c r="S12" s="43">
        <f>IF(M12&gt;0,M12,((N12*2.2046*Q12)+(O12+P12)/F12)+R12)</f>
        <v>35</v>
      </c>
      <c r="T12" s="43">
        <f t="shared" si="2"/>
        <v>30590</v>
      </c>
      <c r="U12" s="46">
        <v>40341</v>
      </c>
    </row>
    <row r="13" spans="1:21">
      <c r="A13" s="47"/>
      <c r="B13" s="38" t="s">
        <v>177</v>
      </c>
      <c r="C13" s="39" t="s">
        <v>166</v>
      </c>
      <c r="D13" s="39" t="s">
        <v>167</v>
      </c>
      <c r="E13" s="39" t="s">
        <v>178</v>
      </c>
      <c r="F13" s="214">
        <v>245</v>
      </c>
      <c r="G13" s="41">
        <v>245</v>
      </c>
      <c r="H13" s="41">
        <f t="shared" si="0"/>
        <v>0</v>
      </c>
      <c r="I13" s="39" t="s">
        <v>169</v>
      </c>
      <c r="J13" s="42">
        <v>40334</v>
      </c>
      <c r="K13" s="39" t="s">
        <v>174</v>
      </c>
      <c r="L13" s="39"/>
      <c r="M13" s="43">
        <v>32</v>
      </c>
      <c r="N13" s="44"/>
      <c r="O13" s="43"/>
      <c r="P13" s="43"/>
      <c r="Q13" s="45"/>
      <c r="R13" s="43"/>
      <c r="S13" s="43">
        <f>IF(M13&gt;0,M13,((N13*2.2046*Q13)+(O13+P13)/F13)+R13)</f>
        <v>32</v>
      </c>
      <c r="T13" s="43">
        <f t="shared" si="2"/>
        <v>7840</v>
      </c>
      <c r="U13" s="46">
        <v>40341</v>
      </c>
    </row>
    <row r="14" spans="1:21" ht="13.5" thickBot="1">
      <c r="A14" s="48"/>
      <c r="B14" s="38"/>
      <c r="C14" s="39"/>
      <c r="D14" s="39"/>
      <c r="E14" s="32"/>
      <c r="F14" s="49"/>
      <c r="G14" s="33"/>
      <c r="H14" s="33"/>
      <c r="I14" s="32"/>
      <c r="J14" s="35"/>
      <c r="K14" s="32"/>
      <c r="L14" s="32"/>
      <c r="M14" s="36"/>
      <c r="N14" s="37"/>
      <c r="O14" s="36"/>
      <c r="P14" s="36"/>
      <c r="Q14" s="50"/>
      <c r="R14" s="36"/>
      <c r="S14" s="36"/>
      <c r="T14" s="36"/>
      <c r="U14" s="51"/>
    </row>
    <row r="15" spans="1:21" ht="12" customHeight="1">
      <c r="A15" s="211"/>
      <c r="B15" s="53" t="s">
        <v>142</v>
      </c>
      <c r="C15" s="54" t="s">
        <v>179</v>
      </c>
      <c r="D15" s="54" t="s">
        <v>171</v>
      </c>
      <c r="E15" s="39" t="s">
        <v>150</v>
      </c>
      <c r="F15" s="40">
        <f>42077*0.4536</f>
        <v>19086.127199999999</v>
      </c>
      <c r="G15" s="41">
        <v>19009.169999999998</v>
      </c>
      <c r="H15" s="41">
        <f>G15-F15</f>
        <v>-76.957200000000739</v>
      </c>
      <c r="I15" s="39" t="s">
        <v>180</v>
      </c>
      <c r="J15" s="42">
        <v>40336</v>
      </c>
      <c r="K15" s="39" t="s">
        <v>181</v>
      </c>
      <c r="L15" s="39" t="s">
        <v>182</v>
      </c>
      <c r="M15" s="43"/>
      <c r="N15" s="44">
        <v>0.95</v>
      </c>
      <c r="O15" s="43"/>
      <c r="P15" s="43"/>
      <c r="Q15" s="55">
        <v>13</v>
      </c>
      <c r="R15" s="43"/>
      <c r="S15" s="43">
        <f>N15/0.4536*Q15</f>
        <v>27.22663139329806</v>
      </c>
      <c r="T15" s="43">
        <f t="shared" ref="T15:T27" si="3">S15*F15</f>
        <v>519650.94999999995</v>
      </c>
      <c r="U15" s="46">
        <v>40336</v>
      </c>
    </row>
    <row r="16" spans="1:21" ht="12" customHeight="1">
      <c r="A16" s="211"/>
      <c r="B16" s="38" t="s">
        <v>152</v>
      </c>
      <c r="C16" s="39" t="s">
        <v>183</v>
      </c>
      <c r="D16" s="39" t="s">
        <v>183</v>
      </c>
      <c r="E16" s="39" t="s">
        <v>184</v>
      </c>
      <c r="F16" s="214">
        <v>12980</v>
      </c>
      <c r="G16" s="41">
        <v>12980</v>
      </c>
      <c r="H16" s="41">
        <f t="shared" ref="H16:H27" si="4">G16-F16</f>
        <v>0</v>
      </c>
      <c r="I16" s="39" t="s">
        <v>185</v>
      </c>
      <c r="J16" s="42">
        <v>40336</v>
      </c>
      <c r="K16" s="39" t="s">
        <v>181</v>
      </c>
      <c r="L16" s="39"/>
      <c r="M16" s="43">
        <v>29</v>
      </c>
      <c r="N16" s="44"/>
      <c r="O16" s="43"/>
      <c r="P16" s="43"/>
      <c r="Q16" s="45"/>
      <c r="R16" s="43"/>
      <c r="S16" s="43">
        <f t="shared" ref="S16:S25" si="5">IF(M16&gt;0,M16,((N16*2.2046*Q16)+(O16+P16)/F16)+R16)</f>
        <v>29</v>
      </c>
      <c r="T16" s="43">
        <f t="shared" si="3"/>
        <v>376420</v>
      </c>
      <c r="U16" s="46">
        <v>40343</v>
      </c>
    </row>
    <row r="17" spans="1:21" ht="12" customHeight="1">
      <c r="A17" s="211"/>
      <c r="B17" s="38" t="s">
        <v>165</v>
      </c>
      <c r="C17" s="39" t="s">
        <v>166</v>
      </c>
      <c r="D17" s="39" t="s">
        <v>167</v>
      </c>
      <c r="E17" s="39" t="s">
        <v>186</v>
      </c>
      <c r="F17" s="214">
        <v>882</v>
      </c>
      <c r="G17" s="41">
        <v>882</v>
      </c>
      <c r="H17" s="41">
        <f t="shared" si="4"/>
        <v>0</v>
      </c>
      <c r="I17" s="39" t="s">
        <v>169</v>
      </c>
      <c r="J17" s="42">
        <v>40336</v>
      </c>
      <c r="K17" s="39" t="s">
        <v>181</v>
      </c>
      <c r="L17" s="39"/>
      <c r="M17" s="43">
        <v>34</v>
      </c>
      <c r="N17" s="44"/>
      <c r="O17" s="43"/>
      <c r="P17" s="43"/>
      <c r="Q17" s="45"/>
      <c r="R17" s="43"/>
      <c r="S17" s="43">
        <f t="shared" si="5"/>
        <v>34</v>
      </c>
      <c r="T17" s="43">
        <f t="shared" si="3"/>
        <v>29988</v>
      </c>
      <c r="U17" s="46">
        <v>40347</v>
      </c>
    </row>
    <row r="18" spans="1:21" ht="12" customHeight="1">
      <c r="A18" s="211"/>
      <c r="B18" s="38" t="s">
        <v>142</v>
      </c>
      <c r="C18" s="39" t="s">
        <v>143</v>
      </c>
      <c r="D18" s="39" t="s">
        <v>144</v>
      </c>
      <c r="E18" s="39" t="s">
        <v>145</v>
      </c>
      <c r="F18" s="40">
        <f>42502*0.4536</f>
        <v>19278.907200000001</v>
      </c>
      <c r="G18" s="41">
        <v>19160.71</v>
      </c>
      <c r="H18" s="41">
        <f t="shared" si="4"/>
        <v>-118.19720000000234</v>
      </c>
      <c r="I18" s="39" t="s">
        <v>187</v>
      </c>
      <c r="J18" s="42">
        <v>40338</v>
      </c>
      <c r="K18" s="39" t="s">
        <v>147</v>
      </c>
      <c r="L18" s="39" t="s">
        <v>188</v>
      </c>
      <c r="M18" s="43"/>
      <c r="N18" s="44">
        <v>0.86499999999999999</v>
      </c>
      <c r="O18" s="43">
        <v>18560</v>
      </c>
      <c r="P18" s="43">
        <v>6996.5</v>
      </c>
      <c r="Q18" s="45">
        <v>12.78</v>
      </c>
      <c r="R18" s="43">
        <v>0.1</v>
      </c>
      <c r="S18" s="43">
        <f t="shared" si="5"/>
        <v>25.796811362596198</v>
      </c>
      <c r="T18" s="43">
        <f t="shared" si="3"/>
        <v>497334.33231539768</v>
      </c>
      <c r="U18" s="46">
        <v>40338</v>
      </c>
    </row>
    <row r="19" spans="1:21" ht="12" customHeight="1">
      <c r="A19" s="211"/>
      <c r="B19" s="38" t="s">
        <v>142</v>
      </c>
      <c r="C19" s="39" t="s">
        <v>149</v>
      </c>
      <c r="D19" s="39" t="s">
        <v>149</v>
      </c>
      <c r="E19" s="39" t="s">
        <v>189</v>
      </c>
      <c r="F19" s="40">
        <f>42320*0.4536</f>
        <v>19196.351999999999</v>
      </c>
      <c r="G19" s="41">
        <v>19177.52</v>
      </c>
      <c r="H19" s="41">
        <f t="shared" si="4"/>
        <v>-18.831999999998516</v>
      </c>
      <c r="I19" s="39" t="s">
        <v>190</v>
      </c>
      <c r="J19" s="42">
        <v>40337</v>
      </c>
      <c r="K19" s="39" t="s">
        <v>191</v>
      </c>
      <c r="L19" s="39" t="s">
        <v>188</v>
      </c>
      <c r="M19" s="43"/>
      <c r="N19" s="44">
        <v>0.86499999999999999</v>
      </c>
      <c r="O19" s="43">
        <v>18560</v>
      </c>
      <c r="P19" s="43">
        <v>6996.5</v>
      </c>
      <c r="Q19" s="45">
        <v>12.845000000000001</v>
      </c>
      <c r="R19" s="43">
        <v>0.1</v>
      </c>
      <c r="S19" s="43">
        <f t="shared" si="5"/>
        <v>25.926465914258593</v>
      </c>
      <c r="T19" s="43">
        <f t="shared" si="3"/>
        <v>497693.56580610975</v>
      </c>
      <c r="U19" s="46">
        <v>40338</v>
      </c>
    </row>
    <row r="20" spans="1:21">
      <c r="A20" s="211"/>
      <c r="B20" s="38" t="s">
        <v>61</v>
      </c>
      <c r="C20" s="39" t="s">
        <v>144</v>
      </c>
      <c r="D20" s="39" t="s">
        <v>144</v>
      </c>
      <c r="E20" s="39" t="s">
        <v>192</v>
      </c>
      <c r="F20" s="40">
        <f>17536.04*0.4536</f>
        <v>7954.3477440000006</v>
      </c>
      <c r="G20" s="41">
        <v>7954.35</v>
      </c>
      <c r="H20" s="41">
        <f t="shared" si="4"/>
        <v>2.2559999997611158E-3</v>
      </c>
      <c r="I20" s="39" t="s">
        <v>193</v>
      </c>
      <c r="J20" s="42">
        <v>40339</v>
      </c>
      <c r="K20" s="39" t="s">
        <v>162</v>
      </c>
      <c r="L20" s="39"/>
      <c r="M20" s="43"/>
      <c r="N20" s="44">
        <v>1.3</v>
      </c>
      <c r="O20" s="43">
        <f>18560*(F20/(F20+F21+F22))</f>
        <v>8099.0538604948397</v>
      </c>
      <c r="P20" s="43">
        <f>6996.5*(F20/(F20+F21+F22))</f>
        <v>3053.0727551159562</v>
      </c>
      <c r="Q20" s="45">
        <v>12.615</v>
      </c>
      <c r="R20" s="43">
        <v>0.1</v>
      </c>
      <c r="S20" s="43">
        <f t="shared" si="5"/>
        <v>37.656354178852453</v>
      </c>
      <c r="T20" s="43">
        <f t="shared" si="3"/>
        <v>299531.73590982001</v>
      </c>
      <c r="U20" s="46">
        <v>40338</v>
      </c>
    </row>
    <row r="21" spans="1:21">
      <c r="A21" s="211"/>
      <c r="B21" s="38" t="s">
        <v>63</v>
      </c>
      <c r="C21" s="39" t="s">
        <v>144</v>
      </c>
      <c r="D21" s="39" t="s">
        <v>144</v>
      </c>
      <c r="E21" s="39" t="s">
        <v>194</v>
      </c>
      <c r="F21" s="40">
        <f>10500*0.4536</f>
        <v>4762.8</v>
      </c>
      <c r="G21" s="41">
        <v>4749.192</v>
      </c>
      <c r="H21" s="41">
        <f t="shared" si="4"/>
        <v>-13.608000000000175</v>
      </c>
      <c r="I21" s="39" t="s">
        <v>195</v>
      </c>
      <c r="J21" s="39" t="s">
        <v>195</v>
      </c>
      <c r="K21" s="39"/>
      <c r="M21" s="43"/>
      <c r="N21" s="44">
        <v>1.01</v>
      </c>
      <c r="O21" s="43">
        <f>18560*(F21/(F21+F22+F20))</f>
        <v>4849.4452302341806</v>
      </c>
      <c r="P21" s="43">
        <f>6996.5*(F21/(F21+F22+F20))</f>
        <v>1828.0788552442591</v>
      </c>
      <c r="Q21" s="45">
        <v>12.615</v>
      </c>
      <c r="R21" s="43">
        <v>0.1</v>
      </c>
      <c r="S21" s="43">
        <f t="shared" si="5"/>
        <v>29.591155768852452</v>
      </c>
      <c r="T21" s="43">
        <f t="shared" si="3"/>
        <v>140936.75669589048</v>
      </c>
      <c r="U21" s="46" t="s">
        <v>196</v>
      </c>
    </row>
    <row r="22" spans="1:21">
      <c r="A22" s="211"/>
      <c r="B22" s="38" t="s">
        <v>197</v>
      </c>
      <c r="C22" s="39" t="s">
        <v>144</v>
      </c>
      <c r="D22" s="39" t="s">
        <v>144</v>
      </c>
      <c r="E22" s="39" t="s">
        <v>198</v>
      </c>
      <c r="F22" s="40">
        <f>12150*0.4536</f>
        <v>5511.24</v>
      </c>
      <c r="G22" s="41">
        <v>5511.24</v>
      </c>
      <c r="H22" s="41">
        <f t="shared" si="4"/>
        <v>0</v>
      </c>
      <c r="I22" s="39" t="s">
        <v>195</v>
      </c>
      <c r="J22" s="39" t="s">
        <v>195</v>
      </c>
      <c r="K22" s="39"/>
      <c r="M22" s="43"/>
      <c r="N22" s="44">
        <v>1.1399999999999999</v>
      </c>
      <c r="O22" s="43">
        <f>18560*(F22/(F22+F20+F21))</f>
        <v>5611.5009092709806</v>
      </c>
      <c r="P22" s="43">
        <f>6996.5*(F22/(F22+F20+F21))</f>
        <v>2115.3483896397856</v>
      </c>
      <c r="Q22" s="45">
        <v>12.615</v>
      </c>
      <c r="R22" s="43">
        <v>0.1</v>
      </c>
      <c r="S22" s="43">
        <f t="shared" si="5"/>
        <v>33.206589538852448</v>
      </c>
      <c r="T22" s="43">
        <f t="shared" si="3"/>
        <v>183009.48453010517</v>
      </c>
      <c r="U22" s="46" t="s">
        <v>196</v>
      </c>
    </row>
    <row r="23" spans="1:21">
      <c r="A23" s="211"/>
      <c r="B23" s="38" t="s">
        <v>152</v>
      </c>
      <c r="C23" s="39" t="s">
        <v>153</v>
      </c>
      <c r="D23" s="39" t="s">
        <v>154</v>
      </c>
      <c r="E23" s="39" t="s">
        <v>155</v>
      </c>
      <c r="F23" s="214">
        <v>9887.2000000000007</v>
      </c>
      <c r="G23" s="41">
        <v>9820</v>
      </c>
      <c r="H23" s="41">
        <f t="shared" si="4"/>
        <v>-67.200000000000728</v>
      </c>
      <c r="I23" s="39" t="s">
        <v>199</v>
      </c>
      <c r="J23" s="42">
        <v>40338</v>
      </c>
      <c r="K23" s="39" t="s">
        <v>147</v>
      </c>
      <c r="M23" s="43">
        <v>28.9</v>
      </c>
      <c r="N23" s="44"/>
      <c r="O23" s="43"/>
      <c r="P23" s="43"/>
      <c r="Q23" s="45"/>
      <c r="R23" s="43"/>
      <c r="S23" s="43">
        <f t="shared" si="5"/>
        <v>28.9</v>
      </c>
      <c r="T23" s="43">
        <f t="shared" si="3"/>
        <v>285740.08</v>
      </c>
      <c r="U23" s="46">
        <v>40345</v>
      </c>
    </row>
    <row r="24" spans="1:21">
      <c r="A24" s="211"/>
      <c r="B24" s="38" t="s">
        <v>165</v>
      </c>
      <c r="C24" s="39" t="s">
        <v>200</v>
      </c>
      <c r="D24" s="39" t="s">
        <v>200</v>
      </c>
      <c r="E24" s="39" t="s">
        <v>201</v>
      </c>
      <c r="F24" s="214">
        <v>1001.5</v>
      </c>
      <c r="G24" s="41">
        <v>1001.5</v>
      </c>
      <c r="H24" s="41">
        <f t="shared" si="4"/>
        <v>0</v>
      </c>
      <c r="I24" s="39" t="s">
        <v>169</v>
      </c>
      <c r="J24" s="42">
        <v>40338</v>
      </c>
      <c r="K24" s="39" t="s">
        <v>147</v>
      </c>
      <c r="M24" s="43">
        <v>36</v>
      </c>
      <c r="N24" s="44"/>
      <c r="O24" s="43"/>
      <c r="P24" s="43"/>
      <c r="Q24" s="45"/>
      <c r="R24" s="43"/>
      <c r="S24" s="43">
        <f t="shared" si="5"/>
        <v>36</v>
      </c>
      <c r="T24" s="43">
        <f t="shared" si="3"/>
        <v>36054</v>
      </c>
      <c r="U24" s="46">
        <v>40347</v>
      </c>
    </row>
    <row r="25" spans="1:21">
      <c r="A25" s="211"/>
      <c r="B25" s="38" t="s">
        <v>165</v>
      </c>
      <c r="C25" s="39" t="s">
        <v>166</v>
      </c>
      <c r="D25" s="39" t="s">
        <v>167</v>
      </c>
      <c r="E25" s="39" t="s">
        <v>201</v>
      </c>
      <c r="F25" s="214">
        <v>1009</v>
      </c>
      <c r="G25" s="41">
        <v>1009</v>
      </c>
      <c r="H25" s="41">
        <f t="shared" si="4"/>
        <v>0</v>
      </c>
      <c r="I25" s="39" t="s">
        <v>169</v>
      </c>
      <c r="J25" s="42">
        <v>40339</v>
      </c>
      <c r="K25" s="39" t="s">
        <v>162</v>
      </c>
      <c r="M25" s="43">
        <v>35</v>
      </c>
      <c r="N25" s="44"/>
      <c r="O25" s="43"/>
      <c r="P25" s="43"/>
      <c r="Q25" s="45"/>
      <c r="R25" s="43"/>
      <c r="S25" s="43">
        <f t="shared" si="5"/>
        <v>35</v>
      </c>
      <c r="T25" s="43">
        <f t="shared" si="3"/>
        <v>35315</v>
      </c>
      <c r="U25" s="46">
        <v>40347</v>
      </c>
    </row>
    <row r="26" spans="1:21">
      <c r="A26" s="211"/>
      <c r="B26" s="38" t="s">
        <v>142</v>
      </c>
      <c r="C26" s="39" t="s">
        <v>170</v>
      </c>
      <c r="D26" s="39" t="s">
        <v>171</v>
      </c>
      <c r="E26" s="39" t="s">
        <v>202</v>
      </c>
      <c r="F26" s="40">
        <f>48786*0.4536</f>
        <v>22129.329600000001</v>
      </c>
      <c r="G26" s="41">
        <v>22110.84</v>
      </c>
      <c r="H26" s="41">
        <f t="shared" si="4"/>
        <v>-18.489600000000792</v>
      </c>
      <c r="I26" s="39">
        <v>53363</v>
      </c>
      <c r="J26" s="42">
        <v>40340</v>
      </c>
      <c r="K26" s="39" t="s">
        <v>203</v>
      </c>
      <c r="L26" s="39" t="s">
        <v>175</v>
      </c>
      <c r="M26" s="43"/>
      <c r="N26" s="44">
        <v>0.89500000000000002</v>
      </c>
      <c r="O26" s="43"/>
      <c r="P26" s="43"/>
      <c r="Q26" s="55">
        <v>13</v>
      </c>
      <c r="R26" s="43"/>
      <c r="S26" s="43">
        <f>N26/0.4536*Q26</f>
        <v>25.650352733686066</v>
      </c>
      <c r="T26" s="43">
        <f t="shared" si="3"/>
        <v>567625.11</v>
      </c>
      <c r="U26" s="46">
        <v>40340</v>
      </c>
    </row>
    <row r="27" spans="1:21">
      <c r="A27" s="211"/>
      <c r="B27" s="38" t="s">
        <v>152</v>
      </c>
      <c r="C27" s="39" t="s">
        <v>204</v>
      </c>
      <c r="D27" s="39" t="s">
        <v>205</v>
      </c>
      <c r="E27" s="39" t="s">
        <v>206</v>
      </c>
      <c r="F27" s="214">
        <v>2250</v>
      </c>
      <c r="G27" s="41">
        <v>2250</v>
      </c>
      <c r="H27" s="41">
        <f t="shared" si="4"/>
        <v>0</v>
      </c>
      <c r="I27" s="39" t="s">
        <v>207</v>
      </c>
      <c r="J27" s="42">
        <v>40341</v>
      </c>
      <c r="K27" s="39" t="s">
        <v>174</v>
      </c>
      <c r="L27" s="56"/>
      <c r="M27" s="43">
        <v>29.8</v>
      </c>
      <c r="N27" s="44"/>
      <c r="O27" s="43"/>
      <c r="P27" s="43"/>
      <c r="Q27" s="45"/>
      <c r="R27" s="43"/>
      <c r="S27" s="43">
        <f>IF(M27&gt;0,M27,((N27*2.2046*Q27)+(O27+P27)/F27)+R27)</f>
        <v>29.8</v>
      </c>
      <c r="T27" s="43">
        <f t="shared" si="3"/>
        <v>67050</v>
      </c>
      <c r="U27" s="46">
        <v>40348</v>
      </c>
    </row>
    <row r="28" spans="1:21" ht="13.5" thickBot="1">
      <c r="A28" s="52"/>
      <c r="B28" s="57"/>
      <c r="C28" s="32"/>
      <c r="D28" s="32"/>
      <c r="E28" s="32"/>
      <c r="F28" s="49"/>
      <c r="G28" s="33"/>
      <c r="H28" s="33"/>
      <c r="I28" s="32"/>
      <c r="J28" s="35"/>
      <c r="K28" s="32"/>
      <c r="L28" s="58"/>
      <c r="M28" s="36"/>
      <c r="N28" s="37"/>
      <c r="O28" s="36"/>
      <c r="P28" s="36"/>
      <c r="Q28" s="50"/>
      <c r="R28" s="36"/>
      <c r="S28" s="36"/>
      <c r="T28" s="36"/>
      <c r="U28" s="51"/>
    </row>
    <row r="29" spans="1:21">
      <c r="A29" s="59"/>
      <c r="B29" s="38" t="s">
        <v>142</v>
      </c>
      <c r="C29" s="39" t="s">
        <v>170</v>
      </c>
      <c r="D29" s="39" t="s">
        <v>171</v>
      </c>
      <c r="E29" s="39" t="s">
        <v>172</v>
      </c>
      <c r="F29" s="41">
        <f>44709*0.4536</f>
        <v>20280.002400000001</v>
      </c>
      <c r="G29" s="41">
        <v>20138.05</v>
      </c>
      <c r="H29" s="41">
        <f t="shared" ref="H29:H39" si="6">G29-F29</f>
        <v>-141.95240000000194</v>
      </c>
      <c r="I29" s="39">
        <v>53372</v>
      </c>
      <c r="J29" s="42">
        <v>40343</v>
      </c>
      <c r="K29" s="39" t="s">
        <v>181</v>
      </c>
      <c r="L29" s="39" t="s">
        <v>208</v>
      </c>
      <c r="M29" s="43"/>
      <c r="N29" s="44">
        <v>0.9</v>
      </c>
      <c r="O29" s="43"/>
      <c r="P29" s="43"/>
      <c r="Q29" s="55">
        <v>13</v>
      </c>
      <c r="R29" s="43"/>
      <c r="S29" s="43">
        <f>N29/0.4536*Q29</f>
        <v>25.793650793650794</v>
      </c>
      <c r="T29" s="43">
        <f t="shared" ref="T29:T39" si="7">S29*F29</f>
        <v>523095.30000000005</v>
      </c>
      <c r="U29" s="46">
        <v>40343</v>
      </c>
    </row>
    <row r="30" spans="1:21">
      <c r="A30" s="59"/>
      <c r="B30" s="38" t="s">
        <v>152</v>
      </c>
      <c r="C30" s="39" t="s">
        <v>183</v>
      </c>
      <c r="D30" s="39" t="s">
        <v>183</v>
      </c>
      <c r="E30" s="39" t="s">
        <v>209</v>
      </c>
      <c r="F30" s="215">
        <v>12900</v>
      </c>
      <c r="G30" s="41">
        <v>12900</v>
      </c>
      <c r="H30" s="41">
        <f t="shared" si="6"/>
        <v>0</v>
      </c>
      <c r="I30" s="39" t="s">
        <v>210</v>
      </c>
      <c r="J30" s="42">
        <v>40343</v>
      </c>
      <c r="K30" s="39" t="s">
        <v>181</v>
      </c>
      <c r="L30" s="39"/>
      <c r="M30" s="43">
        <v>29.3</v>
      </c>
      <c r="N30" s="44"/>
      <c r="O30" s="43"/>
      <c r="P30" s="43"/>
      <c r="Q30" s="45"/>
      <c r="R30" s="43"/>
      <c r="S30" s="43">
        <f t="shared" ref="S30:S35" si="8">IF(M30&gt;0,M30,((N30*2.2046*Q30)+(O30+P30)/F30)+R30)</f>
        <v>29.3</v>
      </c>
      <c r="T30" s="43">
        <f t="shared" si="7"/>
        <v>377970</v>
      </c>
      <c r="U30" s="46">
        <v>40350</v>
      </c>
    </row>
    <row r="31" spans="1:21">
      <c r="A31" s="59"/>
      <c r="B31" s="38" t="s">
        <v>142</v>
      </c>
      <c r="C31" s="39" t="s">
        <v>143</v>
      </c>
      <c r="D31" s="39" t="s">
        <v>144</v>
      </c>
      <c r="E31" s="39" t="s">
        <v>145</v>
      </c>
      <c r="F31" s="40">
        <f>41179*0.4536</f>
        <v>18678.794399999999</v>
      </c>
      <c r="G31" s="41">
        <v>18562.07</v>
      </c>
      <c r="H31" s="41">
        <f t="shared" si="6"/>
        <v>-116.72439999999915</v>
      </c>
      <c r="I31" s="39" t="s">
        <v>211</v>
      </c>
      <c r="J31" s="42">
        <v>40345</v>
      </c>
      <c r="K31" s="39" t="s">
        <v>147</v>
      </c>
      <c r="L31" s="39" t="s">
        <v>212</v>
      </c>
      <c r="M31" s="43"/>
      <c r="N31" s="44">
        <v>0.92</v>
      </c>
      <c r="O31" s="43">
        <v>18560</v>
      </c>
      <c r="P31" s="43">
        <v>7128.5</v>
      </c>
      <c r="Q31" s="45">
        <v>12.577999999999999</v>
      </c>
      <c r="R31" s="43">
        <v>0.1</v>
      </c>
      <c r="S31" s="43">
        <f t="shared" si="8"/>
        <v>26.986378221958109</v>
      </c>
      <c r="T31" s="43">
        <f t="shared" si="7"/>
        <v>504073.01040859305</v>
      </c>
      <c r="U31" s="46">
        <v>40345</v>
      </c>
    </row>
    <row r="32" spans="1:21">
      <c r="A32" s="59"/>
      <c r="B32" s="38" t="s">
        <v>142</v>
      </c>
      <c r="C32" s="39" t="s">
        <v>149</v>
      </c>
      <c r="D32" s="39" t="s">
        <v>149</v>
      </c>
      <c r="E32" s="39" t="s">
        <v>189</v>
      </c>
      <c r="F32" s="40">
        <f>42476*0.4536</f>
        <v>19267.113600000001</v>
      </c>
      <c r="G32" s="41">
        <v>19236.61</v>
      </c>
      <c r="H32" s="41">
        <f t="shared" si="6"/>
        <v>-30.503600000000006</v>
      </c>
      <c r="I32" t="s">
        <v>213</v>
      </c>
      <c r="J32" s="42">
        <v>40345</v>
      </c>
      <c r="K32" s="39" t="s">
        <v>147</v>
      </c>
      <c r="L32" s="39" t="s">
        <v>214</v>
      </c>
      <c r="M32" s="43"/>
      <c r="N32" s="44">
        <v>0.9</v>
      </c>
      <c r="O32" s="43">
        <v>18560</v>
      </c>
      <c r="P32" s="43">
        <v>7128.5</v>
      </c>
      <c r="Q32" s="45">
        <v>12.598000000000001</v>
      </c>
      <c r="R32" s="43">
        <v>0.1</v>
      </c>
      <c r="S32" s="43">
        <f t="shared" si="8"/>
        <v>26.429477940332166</v>
      </c>
      <c r="T32" s="43">
        <f t="shared" si="7"/>
        <v>509219.7538650739</v>
      </c>
      <c r="U32" s="46">
        <v>40345</v>
      </c>
    </row>
    <row r="33" spans="1:21">
      <c r="A33" s="59"/>
      <c r="B33" s="38" t="s">
        <v>152</v>
      </c>
      <c r="C33" s="39" t="s">
        <v>153</v>
      </c>
      <c r="D33" s="39" t="s">
        <v>154</v>
      </c>
      <c r="E33" s="39" t="s">
        <v>215</v>
      </c>
      <c r="F33" s="214">
        <v>10963</v>
      </c>
      <c r="G33" s="41">
        <v>10900</v>
      </c>
      <c r="H33" s="41">
        <f t="shared" si="6"/>
        <v>-63</v>
      </c>
      <c r="I33" t="s">
        <v>216</v>
      </c>
      <c r="J33" s="42">
        <v>40345</v>
      </c>
      <c r="K33" s="39" t="s">
        <v>147</v>
      </c>
      <c r="L33" s="39"/>
      <c r="M33" s="43">
        <v>29.3</v>
      </c>
      <c r="N33" s="44"/>
      <c r="O33" s="43"/>
      <c r="P33" s="43"/>
      <c r="Q33" s="45"/>
      <c r="R33" s="43"/>
      <c r="S33" s="43">
        <f t="shared" si="8"/>
        <v>29.3</v>
      </c>
      <c r="T33" s="43">
        <f t="shared" si="7"/>
        <v>321215.90000000002</v>
      </c>
      <c r="U33" s="46">
        <v>40353</v>
      </c>
    </row>
    <row r="34" spans="1:21">
      <c r="A34" s="59"/>
      <c r="B34" s="38" t="s">
        <v>165</v>
      </c>
      <c r="C34" s="39" t="s">
        <v>166</v>
      </c>
      <c r="D34" s="39" t="s">
        <v>167</v>
      </c>
      <c r="E34" s="39" t="s">
        <v>217</v>
      </c>
      <c r="F34" s="214">
        <v>616</v>
      </c>
      <c r="G34" s="41">
        <v>616</v>
      </c>
      <c r="H34" s="41">
        <f t="shared" si="6"/>
        <v>0</v>
      </c>
      <c r="I34" t="s">
        <v>169</v>
      </c>
      <c r="J34" s="42">
        <v>40346</v>
      </c>
      <c r="K34" s="39" t="s">
        <v>162</v>
      </c>
      <c r="L34" s="39"/>
      <c r="M34" s="43">
        <v>35</v>
      </c>
      <c r="N34" s="44"/>
      <c r="O34" s="43"/>
      <c r="P34" s="43"/>
      <c r="Q34" s="45"/>
      <c r="R34" s="43"/>
      <c r="S34" s="43">
        <f t="shared" si="8"/>
        <v>35</v>
      </c>
      <c r="T34" s="43">
        <f t="shared" si="7"/>
        <v>21560</v>
      </c>
      <c r="U34" s="46">
        <v>40355</v>
      </c>
    </row>
    <row r="35" spans="1:21">
      <c r="A35" s="59"/>
      <c r="B35" s="38" t="s">
        <v>177</v>
      </c>
      <c r="C35" s="39" t="s">
        <v>166</v>
      </c>
      <c r="D35" s="39" t="s">
        <v>167</v>
      </c>
      <c r="E35" s="39" t="s">
        <v>178</v>
      </c>
      <c r="F35" s="214">
        <v>117</v>
      </c>
      <c r="G35" s="41">
        <v>117</v>
      </c>
      <c r="H35" s="41">
        <f t="shared" si="6"/>
        <v>0</v>
      </c>
      <c r="I35" t="s">
        <v>169</v>
      </c>
      <c r="J35" s="42" t="s">
        <v>218</v>
      </c>
      <c r="K35" s="39"/>
      <c r="L35" s="39"/>
      <c r="M35" s="43">
        <v>30</v>
      </c>
      <c r="N35" s="44"/>
      <c r="O35" s="43"/>
      <c r="P35" s="43"/>
      <c r="Q35" s="45"/>
      <c r="R35" s="43"/>
      <c r="S35" s="43">
        <f t="shared" si="8"/>
        <v>30</v>
      </c>
      <c r="T35" s="43">
        <f t="shared" si="7"/>
        <v>3510</v>
      </c>
      <c r="U35" s="46" t="s">
        <v>164</v>
      </c>
    </row>
    <row r="36" spans="1:21">
      <c r="A36" s="59"/>
      <c r="B36" s="38" t="s">
        <v>142</v>
      </c>
      <c r="C36" s="39" t="s">
        <v>170</v>
      </c>
      <c r="D36" s="39" t="s">
        <v>171</v>
      </c>
      <c r="E36" s="39" t="s">
        <v>202</v>
      </c>
      <c r="F36" s="40">
        <f>49126*0.4536</f>
        <v>22283.553599999999</v>
      </c>
      <c r="G36" s="41">
        <v>22269.43</v>
      </c>
      <c r="H36" s="41">
        <f t="shared" si="6"/>
        <v>-14.123599999998987</v>
      </c>
      <c r="I36">
        <v>53455</v>
      </c>
      <c r="J36" s="42">
        <v>40347</v>
      </c>
      <c r="K36" s="39" t="s">
        <v>203</v>
      </c>
      <c r="L36" s="39" t="s">
        <v>219</v>
      </c>
      <c r="M36" s="43"/>
      <c r="N36" s="44">
        <v>0.98</v>
      </c>
      <c r="O36" s="43"/>
      <c r="P36" s="43"/>
      <c r="Q36" s="55">
        <v>12.8</v>
      </c>
      <c r="R36" s="43"/>
      <c r="S36" s="43">
        <f>N36/0.4536*Q36</f>
        <v>27.654320987654319</v>
      </c>
      <c r="T36" s="43">
        <f t="shared" si="7"/>
        <v>616236.54399999999</v>
      </c>
      <c r="U36" s="46">
        <v>40347</v>
      </c>
    </row>
    <row r="37" spans="1:21">
      <c r="A37" s="59"/>
      <c r="B37" s="38" t="s">
        <v>165</v>
      </c>
      <c r="C37" s="39" t="s">
        <v>200</v>
      </c>
      <c r="D37" s="39" t="s">
        <v>200</v>
      </c>
      <c r="E37" s="39" t="s">
        <v>201</v>
      </c>
      <c r="F37" s="214">
        <v>973.5</v>
      </c>
      <c r="G37" s="41">
        <v>973.5</v>
      </c>
      <c r="H37" s="41">
        <f t="shared" si="6"/>
        <v>0</v>
      </c>
      <c r="I37" s="39" t="s">
        <v>169</v>
      </c>
      <c r="J37" s="42">
        <v>40347</v>
      </c>
      <c r="K37" s="39" t="s">
        <v>203</v>
      </c>
      <c r="L37" s="39"/>
      <c r="M37" s="43">
        <v>36</v>
      </c>
      <c r="N37" s="44"/>
      <c r="O37" s="43"/>
      <c r="P37" s="43"/>
      <c r="Q37" s="45"/>
      <c r="R37" s="43"/>
      <c r="S37" s="43">
        <f>IF(M37&gt;0,M37,((N37*2.2046*Q37)+(O37+P37)/F37)+R37)</f>
        <v>36</v>
      </c>
      <c r="T37" s="43">
        <f t="shared" si="7"/>
        <v>35046</v>
      </c>
      <c r="U37" s="46">
        <v>40354</v>
      </c>
    </row>
    <row r="38" spans="1:21">
      <c r="A38" s="60"/>
      <c r="B38" s="38" t="s">
        <v>165</v>
      </c>
      <c r="C38" s="39" t="s">
        <v>166</v>
      </c>
      <c r="D38" s="39" t="s">
        <v>167</v>
      </c>
      <c r="E38" s="39" t="s">
        <v>201</v>
      </c>
      <c r="F38" s="214">
        <v>993</v>
      </c>
      <c r="G38" s="41">
        <v>993</v>
      </c>
      <c r="H38" s="41">
        <f t="shared" si="6"/>
        <v>0</v>
      </c>
      <c r="I38" s="39" t="s">
        <v>169</v>
      </c>
      <c r="J38" s="42">
        <v>40348</v>
      </c>
      <c r="K38" s="39" t="s">
        <v>174</v>
      </c>
      <c r="L38" s="39"/>
      <c r="M38" s="43">
        <v>35</v>
      </c>
      <c r="N38" s="44"/>
      <c r="O38" s="43"/>
      <c r="P38" s="43"/>
      <c r="Q38" s="45"/>
      <c r="R38" s="43"/>
      <c r="S38" s="43">
        <f>IF(M38&gt;0,M38,((N38*2.2046*Q38)+(O38+P38)/F38)+R38)</f>
        <v>35</v>
      </c>
      <c r="T38" s="43">
        <f t="shared" si="7"/>
        <v>34755</v>
      </c>
      <c r="U38" s="46">
        <v>40355</v>
      </c>
    </row>
    <row r="39" spans="1:21">
      <c r="A39" s="60"/>
      <c r="B39" s="38" t="s">
        <v>177</v>
      </c>
      <c r="C39" s="39" t="s">
        <v>166</v>
      </c>
      <c r="D39" s="39" t="s">
        <v>167</v>
      </c>
      <c r="E39" s="39" t="s">
        <v>186</v>
      </c>
      <c r="F39" s="214">
        <v>200.5</v>
      </c>
      <c r="G39" s="41">
        <v>200.5</v>
      </c>
      <c r="H39" s="41">
        <f t="shared" si="6"/>
        <v>0</v>
      </c>
      <c r="I39" s="39" t="s">
        <v>218</v>
      </c>
      <c r="J39" s="42" t="s">
        <v>218</v>
      </c>
      <c r="K39" s="39"/>
      <c r="L39" s="39"/>
      <c r="M39" s="43">
        <v>30</v>
      </c>
      <c r="N39" s="44"/>
      <c r="O39" s="43"/>
      <c r="P39" s="43"/>
      <c r="Q39" s="45"/>
      <c r="R39" s="43"/>
      <c r="S39" s="43">
        <f>IF(M39&gt;0,M39,((N39*2.2046*Q39)+(O39+P39)/F39)+R39)</f>
        <v>30</v>
      </c>
      <c r="T39" s="43">
        <f t="shared" si="7"/>
        <v>6015</v>
      </c>
      <c r="U39" s="46" t="s">
        <v>164</v>
      </c>
    </row>
    <row r="40" spans="1:21" ht="13.5" thickBot="1">
      <c r="A40" s="60"/>
      <c r="B40" s="57"/>
      <c r="C40" s="32"/>
      <c r="D40" s="32"/>
      <c r="E40" s="32"/>
      <c r="F40" s="49"/>
      <c r="G40" s="33"/>
      <c r="H40" s="33"/>
      <c r="I40" s="32"/>
      <c r="J40" s="35"/>
      <c r="K40" s="32"/>
      <c r="L40" s="32"/>
      <c r="M40" s="36"/>
      <c r="N40" s="37"/>
      <c r="O40" s="36"/>
      <c r="P40" s="36"/>
      <c r="Q40" s="50"/>
      <c r="R40" s="36"/>
      <c r="S40" s="36"/>
      <c r="T40" s="36"/>
      <c r="U40" s="51"/>
    </row>
    <row r="41" spans="1:21">
      <c r="A41" s="212"/>
      <c r="B41" s="38" t="s">
        <v>142</v>
      </c>
      <c r="C41" s="39" t="s">
        <v>170</v>
      </c>
      <c r="D41" s="39" t="s">
        <v>171</v>
      </c>
      <c r="E41" s="39" t="s">
        <v>172</v>
      </c>
      <c r="F41" s="41">
        <f>44530*0.4536</f>
        <v>20198.808000000001</v>
      </c>
      <c r="G41" s="41">
        <v>20147.12</v>
      </c>
      <c r="H41" s="41">
        <f t="shared" ref="H41:H52" si="9">G41-F41</f>
        <v>-51.688000000001921</v>
      </c>
      <c r="I41" s="39">
        <v>53461</v>
      </c>
      <c r="J41" s="42">
        <v>40350</v>
      </c>
      <c r="K41" s="39" t="s">
        <v>181</v>
      </c>
      <c r="L41" s="39" t="s">
        <v>220</v>
      </c>
      <c r="M41" s="43"/>
      <c r="N41" s="44">
        <v>0.95</v>
      </c>
      <c r="O41" s="43"/>
      <c r="P41" s="43"/>
      <c r="Q41" s="55">
        <v>12.8</v>
      </c>
      <c r="R41" s="43"/>
      <c r="S41" s="43">
        <f>N41/0.4536*Q41</f>
        <v>26.807760141093475</v>
      </c>
      <c r="T41" s="43">
        <f t="shared" ref="T41:T52" si="10">S41*F41</f>
        <v>541484.80000000005</v>
      </c>
      <c r="U41" s="46">
        <v>40350</v>
      </c>
    </row>
    <row r="42" spans="1:21">
      <c r="A42" s="212"/>
      <c r="B42" s="38" t="s">
        <v>152</v>
      </c>
      <c r="C42" s="39" t="s">
        <v>183</v>
      </c>
      <c r="D42" s="39" t="s">
        <v>183</v>
      </c>
      <c r="E42" s="39" t="s">
        <v>184</v>
      </c>
      <c r="F42" s="214">
        <v>12750</v>
      </c>
      <c r="G42" s="41">
        <v>12750</v>
      </c>
      <c r="H42" s="41">
        <f t="shared" si="9"/>
        <v>0</v>
      </c>
      <c r="I42" s="39" t="s">
        <v>221</v>
      </c>
      <c r="J42" s="42">
        <v>40350</v>
      </c>
      <c r="K42" s="39" t="s">
        <v>181</v>
      </c>
      <c r="L42" s="39"/>
      <c r="M42" s="43">
        <v>29.5</v>
      </c>
      <c r="N42" s="44"/>
      <c r="O42" s="43"/>
      <c r="P42" s="43"/>
      <c r="Q42" s="45"/>
      <c r="R42" s="43"/>
      <c r="S42" s="43">
        <f t="shared" ref="S42:S51" si="11">IF(M42&gt;0,M42,((N42*2.2046*Q42)+(O42+P42)/F42)+R42)</f>
        <v>29.5</v>
      </c>
      <c r="T42" s="43">
        <f t="shared" si="10"/>
        <v>376125</v>
      </c>
      <c r="U42" s="46">
        <v>40357</v>
      </c>
    </row>
    <row r="43" spans="1:21">
      <c r="A43" s="212"/>
      <c r="B43" s="38" t="s">
        <v>165</v>
      </c>
      <c r="C43" s="39" t="s">
        <v>166</v>
      </c>
      <c r="D43" s="39" t="s">
        <v>167</v>
      </c>
      <c r="E43" s="39" t="s">
        <v>186</v>
      </c>
      <c r="F43" s="214">
        <v>671</v>
      </c>
      <c r="G43" s="41">
        <v>671</v>
      </c>
      <c r="H43" s="41">
        <f t="shared" si="9"/>
        <v>0</v>
      </c>
      <c r="I43" s="39" t="s">
        <v>169</v>
      </c>
      <c r="J43" s="42">
        <v>40350</v>
      </c>
      <c r="K43" s="39" t="s">
        <v>181</v>
      </c>
      <c r="L43" s="39"/>
      <c r="M43" s="43">
        <v>35</v>
      </c>
      <c r="N43" s="44"/>
      <c r="O43" s="43"/>
      <c r="P43" s="43"/>
      <c r="Q43" s="45"/>
      <c r="R43" s="43"/>
      <c r="S43" s="43">
        <f t="shared" si="11"/>
        <v>35</v>
      </c>
      <c r="T43" s="43">
        <f t="shared" si="10"/>
        <v>23485</v>
      </c>
      <c r="U43" s="46">
        <v>40362</v>
      </c>
    </row>
    <row r="44" spans="1:21">
      <c r="A44" s="212"/>
      <c r="B44" s="38" t="s">
        <v>142</v>
      </c>
      <c r="C44" s="39" t="s">
        <v>143</v>
      </c>
      <c r="D44" s="39" t="s">
        <v>144</v>
      </c>
      <c r="E44" s="39" t="s">
        <v>145</v>
      </c>
      <c r="F44" s="40">
        <f>42131*0.4536</f>
        <v>19110.621599999999</v>
      </c>
      <c r="G44" s="41">
        <v>19024.32</v>
      </c>
      <c r="H44" s="41">
        <f t="shared" si="9"/>
        <v>-86.301599999998871</v>
      </c>
      <c r="I44" s="39" t="s">
        <v>222</v>
      </c>
      <c r="J44" s="42">
        <v>40352</v>
      </c>
      <c r="K44" s="39" t="s">
        <v>147</v>
      </c>
      <c r="L44" s="39" t="s">
        <v>223</v>
      </c>
      <c r="M44" s="43"/>
      <c r="N44" s="44">
        <v>0.9</v>
      </c>
      <c r="O44" s="43">
        <v>18560</v>
      </c>
      <c r="P44" s="43">
        <v>6957.5</v>
      </c>
      <c r="Q44" s="45">
        <v>12.739000000000001</v>
      </c>
      <c r="R44" s="43">
        <v>0.1</v>
      </c>
      <c r="S44" s="43">
        <f t="shared" si="11"/>
        <v>26.711211684344189</v>
      </c>
      <c r="T44" s="43">
        <f t="shared" si="10"/>
        <v>510467.8589770004</v>
      </c>
      <c r="U44" s="46">
        <v>40352</v>
      </c>
    </row>
    <row r="45" spans="1:21">
      <c r="A45" s="212"/>
      <c r="B45" s="38" t="s">
        <v>142</v>
      </c>
      <c r="C45" s="39" t="s">
        <v>149</v>
      </c>
      <c r="D45" s="39" t="s">
        <v>149</v>
      </c>
      <c r="E45" s="39" t="s">
        <v>150</v>
      </c>
      <c r="F45" s="40">
        <f>38571*0.4536</f>
        <v>17495.8056</v>
      </c>
      <c r="G45" s="41">
        <v>17370.32</v>
      </c>
      <c r="H45" s="41">
        <f t="shared" si="9"/>
        <v>-125.48559999999998</v>
      </c>
      <c r="I45" t="s">
        <v>224</v>
      </c>
      <c r="J45" s="42">
        <v>40352</v>
      </c>
      <c r="K45" s="39" t="s">
        <v>147</v>
      </c>
      <c r="L45" s="39" t="s">
        <v>225</v>
      </c>
      <c r="M45" s="43"/>
      <c r="N45" s="44">
        <v>0.88</v>
      </c>
      <c r="O45" s="43">
        <v>18560</v>
      </c>
      <c r="P45" s="43">
        <v>6957.5</v>
      </c>
      <c r="Q45" s="45">
        <v>12.698</v>
      </c>
      <c r="R45" s="43">
        <v>0.1</v>
      </c>
      <c r="S45" s="43">
        <f t="shared" si="11"/>
        <v>26.19322193260815</v>
      </c>
      <c r="T45" s="43">
        <f t="shared" si="10"/>
        <v>458271.51897056849</v>
      </c>
      <c r="U45" s="46">
        <v>40352</v>
      </c>
    </row>
    <row r="46" spans="1:21">
      <c r="A46" s="212"/>
      <c r="B46" s="38" t="s">
        <v>152</v>
      </c>
      <c r="C46" s="39" t="s">
        <v>226</v>
      </c>
      <c r="D46" s="39" t="s">
        <v>154</v>
      </c>
      <c r="E46" s="39" t="s">
        <v>209</v>
      </c>
      <c r="F46" s="215">
        <v>12200.1</v>
      </c>
      <c r="G46" s="41">
        <v>12200</v>
      </c>
      <c r="H46" s="41">
        <f t="shared" si="9"/>
        <v>-0.1000000000003638</v>
      </c>
      <c r="I46" t="s">
        <v>227</v>
      </c>
      <c r="J46" s="42">
        <v>40352</v>
      </c>
      <c r="K46" s="39" t="s">
        <v>147</v>
      </c>
      <c r="L46" s="39"/>
      <c r="M46" s="43">
        <v>29.6</v>
      </c>
      <c r="N46" s="44"/>
      <c r="O46" s="43"/>
      <c r="P46" s="43"/>
      <c r="Q46" s="45"/>
      <c r="R46" s="43"/>
      <c r="S46" s="43">
        <f t="shared" si="11"/>
        <v>29.6</v>
      </c>
      <c r="T46" s="43">
        <f t="shared" si="10"/>
        <v>361122.96</v>
      </c>
      <c r="U46" s="46">
        <v>40359</v>
      </c>
    </row>
    <row r="47" spans="1:21">
      <c r="A47" s="212"/>
      <c r="B47" s="38" t="s">
        <v>165</v>
      </c>
      <c r="C47" s="39" t="s">
        <v>200</v>
      </c>
      <c r="D47" s="39" t="s">
        <v>200</v>
      </c>
      <c r="E47" s="39" t="s">
        <v>176</v>
      </c>
      <c r="F47" s="215">
        <v>1485</v>
      </c>
      <c r="G47" s="41">
        <v>1480</v>
      </c>
      <c r="H47" s="41">
        <f t="shared" si="9"/>
        <v>-5</v>
      </c>
      <c r="I47" t="s">
        <v>169</v>
      </c>
      <c r="J47" s="42">
        <v>40353</v>
      </c>
      <c r="K47" s="39" t="s">
        <v>162</v>
      </c>
      <c r="L47" s="39"/>
      <c r="M47" s="43">
        <v>36</v>
      </c>
      <c r="N47" s="44"/>
      <c r="O47" s="43"/>
      <c r="P47" s="43"/>
      <c r="Q47" s="45"/>
      <c r="R47" s="43"/>
      <c r="S47" s="43">
        <f t="shared" si="11"/>
        <v>36</v>
      </c>
      <c r="T47" s="43">
        <f t="shared" si="10"/>
        <v>53460</v>
      </c>
      <c r="U47" s="46">
        <v>40361</v>
      </c>
    </row>
    <row r="48" spans="1:21" ht="14.25">
      <c r="A48" s="212"/>
      <c r="B48" s="38" t="s">
        <v>152</v>
      </c>
      <c r="C48" s="39" t="s">
        <v>204</v>
      </c>
      <c r="D48" s="39" t="s">
        <v>205</v>
      </c>
      <c r="E48" s="39" t="s">
        <v>228</v>
      </c>
      <c r="F48" s="216">
        <v>3540</v>
      </c>
      <c r="G48" s="41">
        <v>3540</v>
      </c>
      <c r="H48" s="41">
        <f t="shared" si="9"/>
        <v>0</v>
      </c>
      <c r="I48" t="s">
        <v>229</v>
      </c>
      <c r="J48" s="42">
        <v>40353</v>
      </c>
      <c r="K48" s="39" t="s">
        <v>162</v>
      </c>
      <c r="L48" s="39"/>
      <c r="M48" s="43">
        <v>30.3</v>
      </c>
      <c r="N48" s="44"/>
      <c r="O48" s="43"/>
      <c r="P48" s="43"/>
      <c r="Q48" s="45"/>
      <c r="R48" s="43"/>
      <c r="S48" s="43">
        <f t="shared" si="11"/>
        <v>30.3</v>
      </c>
      <c r="T48" s="43">
        <f t="shared" si="10"/>
        <v>107262</v>
      </c>
      <c r="U48" s="46">
        <v>40361</v>
      </c>
    </row>
    <row r="49" spans="1:21">
      <c r="A49" s="212"/>
      <c r="B49" s="38" t="s">
        <v>152</v>
      </c>
      <c r="C49" s="39" t="s">
        <v>204</v>
      </c>
      <c r="D49" s="39" t="s">
        <v>205</v>
      </c>
      <c r="E49" s="39" t="s">
        <v>230</v>
      </c>
      <c r="F49" s="215">
        <v>1765.9</v>
      </c>
      <c r="G49" s="41">
        <v>1765.9</v>
      </c>
      <c r="H49" s="41">
        <f t="shared" si="9"/>
        <v>0</v>
      </c>
      <c r="I49" t="s">
        <v>231</v>
      </c>
      <c r="J49" s="42">
        <v>40354</v>
      </c>
      <c r="K49" s="39"/>
      <c r="L49" s="39"/>
      <c r="M49" s="43">
        <v>30.3</v>
      </c>
      <c r="N49" s="44"/>
      <c r="O49" s="43"/>
      <c r="P49" s="43"/>
      <c r="Q49" s="45"/>
      <c r="R49" s="43"/>
      <c r="S49" s="43">
        <f t="shared" si="11"/>
        <v>30.3</v>
      </c>
      <c r="T49" s="43">
        <f t="shared" si="10"/>
        <v>53506.770000000004</v>
      </c>
      <c r="U49" s="46">
        <v>40361</v>
      </c>
    </row>
    <row r="50" spans="1:21">
      <c r="A50" s="212"/>
      <c r="B50" s="38" t="s">
        <v>165</v>
      </c>
      <c r="C50" s="39" t="s">
        <v>166</v>
      </c>
      <c r="D50" s="39" t="s">
        <v>167</v>
      </c>
      <c r="E50" s="39" t="s">
        <v>232</v>
      </c>
      <c r="F50" s="215">
        <v>1850</v>
      </c>
      <c r="G50" s="41">
        <v>1850</v>
      </c>
      <c r="H50" s="41">
        <f t="shared" si="9"/>
        <v>0</v>
      </c>
      <c r="I50" t="s">
        <v>169</v>
      </c>
      <c r="J50" s="42">
        <v>40354</v>
      </c>
      <c r="K50" s="39"/>
      <c r="L50" s="39"/>
      <c r="M50" s="43">
        <v>34</v>
      </c>
      <c r="N50" s="44"/>
      <c r="O50" s="43"/>
      <c r="P50" s="43"/>
      <c r="Q50" s="45"/>
      <c r="R50" s="43"/>
      <c r="S50" s="43">
        <f t="shared" si="11"/>
        <v>34</v>
      </c>
      <c r="T50" s="43">
        <f t="shared" si="10"/>
        <v>62900</v>
      </c>
      <c r="U50" s="46">
        <v>40362</v>
      </c>
    </row>
    <row r="51" spans="1:21">
      <c r="A51" s="212"/>
      <c r="B51" s="38" t="s">
        <v>233</v>
      </c>
      <c r="C51" s="39" t="s">
        <v>166</v>
      </c>
      <c r="D51" s="39" t="s">
        <v>167</v>
      </c>
      <c r="E51" s="39" t="s">
        <v>178</v>
      </c>
      <c r="F51" s="215">
        <v>171</v>
      </c>
      <c r="G51" s="41">
        <v>171</v>
      </c>
      <c r="H51" s="41">
        <f t="shared" si="9"/>
        <v>0</v>
      </c>
      <c r="I51" t="s">
        <v>218</v>
      </c>
      <c r="J51" s="42">
        <v>40354</v>
      </c>
      <c r="K51" s="39"/>
      <c r="L51" s="39"/>
      <c r="M51" s="43">
        <v>37</v>
      </c>
      <c r="N51" s="44"/>
      <c r="O51" s="43"/>
      <c r="P51" s="43"/>
      <c r="Q51" s="45"/>
      <c r="R51" s="43"/>
      <c r="S51" s="43">
        <f t="shared" si="11"/>
        <v>37</v>
      </c>
      <c r="T51" s="43">
        <f t="shared" si="10"/>
        <v>6327</v>
      </c>
      <c r="U51" s="46" t="s">
        <v>164</v>
      </c>
    </row>
    <row r="52" spans="1:21">
      <c r="A52" s="212"/>
      <c r="B52" s="38" t="s">
        <v>142</v>
      </c>
      <c r="C52" s="39" t="s">
        <v>170</v>
      </c>
      <c r="D52" s="39" t="s">
        <v>171</v>
      </c>
      <c r="E52" s="39" t="s">
        <v>202</v>
      </c>
      <c r="F52" s="41">
        <f>48853*0.4536</f>
        <v>22159.720799999999</v>
      </c>
      <c r="G52" s="41">
        <v>22077.21</v>
      </c>
      <c r="H52" s="41">
        <f t="shared" si="9"/>
        <v>-82.510800000000017</v>
      </c>
      <c r="I52" s="24">
        <v>53511</v>
      </c>
      <c r="J52" s="42">
        <v>40354</v>
      </c>
      <c r="K52" s="39" t="s">
        <v>203</v>
      </c>
      <c r="L52" s="39" t="s">
        <v>234</v>
      </c>
      <c r="M52" s="43"/>
      <c r="N52" s="44">
        <v>0.93</v>
      </c>
      <c r="O52" s="43"/>
      <c r="P52" s="43"/>
      <c r="Q52" s="55">
        <v>12.8</v>
      </c>
      <c r="R52" s="43"/>
      <c r="S52" s="43">
        <f>N52/0.4536*Q52</f>
        <v>26.243386243386244</v>
      </c>
      <c r="T52" s="43">
        <f t="shared" si="10"/>
        <v>581546.11199999996</v>
      </c>
      <c r="U52" s="46">
        <v>40354</v>
      </c>
    </row>
    <row r="53" spans="1:21" ht="13.5" thickBot="1">
      <c r="A53" s="212"/>
      <c r="B53" s="57"/>
      <c r="C53" s="32"/>
      <c r="D53" s="32"/>
      <c r="E53" s="32"/>
      <c r="F53" s="33"/>
      <c r="G53" s="33"/>
      <c r="H53" s="33"/>
      <c r="I53" s="34"/>
      <c r="J53" s="35"/>
      <c r="K53" s="32"/>
      <c r="L53" s="32"/>
      <c r="M53" s="36"/>
      <c r="N53" s="37"/>
      <c r="O53" s="36"/>
      <c r="P53" s="36"/>
      <c r="Q53" s="36"/>
      <c r="R53" s="36"/>
      <c r="S53" s="36"/>
      <c r="T53" s="36"/>
      <c r="U53" s="51"/>
    </row>
    <row r="54" spans="1:21">
      <c r="A54" s="213"/>
      <c r="B54" s="38" t="s">
        <v>142</v>
      </c>
      <c r="C54" s="39" t="s">
        <v>170</v>
      </c>
      <c r="D54" s="39" t="s">
        <v>171</v>
      </c>
      <c r="E54" s="39" t="s">
        <v>202</v>
      </c>
      <c r="F54" s="41">
        <f>48881*0.4536</f>
        <v>22172.421600000001</v>
      </c>
      <c r="G54" s="41">
        <v>22111.74</v>
      </c>
      <c r="H54" s="41">
        <f t="shared" ref="H54:H60" si="12">G54-F54</f>
        <v>-60.681599999999889</v>
      </c>
      <c r="I54" s="39">
        <v>53515</v>
      </c>
      <c r="J54" s="42">
        <v>40357</v>
      </c>
      <c r="K54" s="39" t="s">
        <v>181</v>
      </c>
      <c r="L54" s="39" t="s">
        <v>235</v>
      </c>
      <c r="M54" s="43"/>
      <c r="N54" s="44">
        <v>0.93</v>
      </c>
      <c r="O54" s="43"/>
      <c r="P54" s="43"/>
      <c r="Q54" s="55">
        <v>13</v>
      </c>
      <c r="R54" s="43"/>
      <c r="S54" s="43">
        <f>N54/0.4536*Q54</f>
        <v>26.653439153439152</v>
      </c>
      <c r="T54" s="43">
        <f t="shared" ref="T54:T60" si="13">S54*F54</f>
        <v>590971.29</v>
      </c>
      <c r="U54" s="46">
        <v>40357</v>
      </c>
    </row>
    <row r="55" spans="1:21">
      <c r="A55" s="213"/>
      <c r="B55" s="38" t="s">
        <v>152</v>
      </c>
      <c r="C55" s="39" t="s">
        <v>183</v>
      </c>
      <c r="D55" s="39" t="s">
        <v>183</v>
      </c>
      <c r="E55" s="39" t="s">
        <v>236</v>
      </c>
      <c r="F55" s="215">
        <v>12780</v>
      </c>
      <c r="G55" s="41">
        <v>12780</v>
      </c>
      <c r="H55" s="41">
        <f t="shared" si="12"/>
        <v>0</v>
      </c>
      <c r="I55" s="39" t="s">
        <v>221</v>
      </c>
      <c r="J55" s="42">
        <v>40357</v>
      </c>
      <c r="K55" s="39" t="s">
        <v>181</v>
      </c>
      <c r="L55" s="39"/>
      <c r="M55" s="43">
        <v>29.6</v>
      </c>
      <c r="N55" s="44"/>
      <c r="O55" s="43"/>
      <c r="P55" s="43"/>
      <c r="Q55" s="45"/>
      <c r="R55" s="43"/>
      <c r="S55" s="43">
        <f t="shared" ref="S55:S60" si="14">IF(M55&gt;0,M55,((N55*2.2046*Q55)+(O55+P55)/F55)+R55)</f>
        <v>29.6</v>
      </c>
      <c r="T55" s="43">
        <f t="shared" si="13"/>
        <v>378288</v>
      </c>
      <c r="U55" s="46">
        <v>40364</v>
      </c>
    </row>
    <row r="56" spans="1:21">
      <c r="A56" s="213"/>
      <c r="B56" s="38" t="s">
        <v>165</v>
      </c>
      <c r="C56" s="39" t="s">
        <v>200</v>
      </c>
      <c r="D56" s="39" t="s">
        <v>200</v>
      </c>
      <c r="E56" s="39" t="s">
        <v>176</v>
      </c>
      <c r="F56" s="215">
        <v>1240.5</v>
      </c>
      <c r="G56" s="41">
        <v>1240.5</v>
      </c>
      <c r="H56" s="41">
        <f t="shared" si="12"/>
        <v>0</v>
      </c>
      <c r="I56" s="39" t="s">
        <v>169</v>
      </c>
      <c r="J56" s="42">
        <v>40358</v>
      </c>
      <c r="K56" s="39" t="s">
        <v>191</v>
      </c>
      <c r="L56" s="39"/>
      <c r="M56" s="43">
        <v>36</v>
      </c>
      <c r="N56" s="44"/>
      <c r="O56" s="43"/>
      <c r="P56" s="43"/>
      <c r="Q56" s="45"/>
      <c r="R56" s="43"/>
      <c r="S56" s="43">
        <f t="shared" si="14"/>
        <v>36</v>
      </c>
      <c r="T56" s="43">
        <f t="shared" si="13"/>
        <v>44658</v>
      </c>
      <c r="U56" s="46">
        <v>40361</v>
      </c>
    </row>
    <row r="57" spans="1:21">
      <c r="A57" s="213"/>
      <c r="B57" s="38" t="s">
        <v>142</v>
      </c>
      <c r="C57" s="39" t="s">
        <v>143</v>
      </c>
      <c r="D57" s="39" t="s">
        <v>144</v>
      </c>
      <c r="E57" s="39" t="s">
        <v>145</v>
      </c>
      <c r="F57" s="40">
        <f>41806*0.4536</f>
        <v>18963.2016</v>
      </c>
      <c r="G57" s="41">
        <v>18913.5</v>
      </c>
      <c r="H57" s="41">
        <f t="shared" si="12"/>
        <v>-49.701600000000326</v>
      </c>
      <c r="I57" s="39" t="s">
        <v>237</v>
      </c>
      <c r="J57" s="42">
        <v>40359</v>
      </c>
      <c r="K57" s="39" t="s">
        <v>147</v>
      </c>
      <c r="L57" s="39" t="s">
        <v>238</v>
      </c>
      <c r="M57" s="43"/>
      <c r="N57" s="44">
        <v>0.92</v>
      </c>
      <c r="O57" s="43">
        <v>18560</v>
      </c>
      <c r="P57" s="43">
        <v>6964</v>
      </c>
      <c r="Q57" s="55">
        <v>12.9</v>
      </c>
      <c r="R57" s="43">
        <v>0.13</v>
      </c>
      <c r="S57" s="43">
        <f t="shared" si="14"/>
        <v>27.640168049242725</v>
      </c>
      <c r="T57" s="43">
        <f t="shared" si="13"/>
        <v>524146.07897566853</v>
      </c>
      <c r="U57" s="46">
        <v>40359</v>
      </c>
    </row>
    <row r="58" spans="1:21">
      <c r="A58" s="213"/>
      <c r="B58" s="38" t="s">
        <v>142</v>
      </c>
      <c r="C58" s="39" t="s">
        <v>149</v>
      </c>
      <c r="D58" s="39" t="s">
        <v>149</v>
      </c>
      <c r="E58" s="39" t="s">
        <v>150</v>
      </c>
      <c r="F58" s="40">
        <f>37896*0.4536</f>
        <v>17189.625599999999</v>
      </c>
      <c r="G58" s="41">
        <v>17140.32</v>
      </c>
      <c r="H58" s="41">
        <f t="shared" si="12"/>
        <v>-49.305599999999686</v>
      </c>
      <c r="I58" t="s">
        <v>239</v>
      </c>
      <c r="J58" s="42">
        <v>40359</v>
      </c>
      <c r="K58" s="39" t="s">
        <v>147</v>
      </c>
      <c r="L58" s="39" t="s">
        <v>240</v>
      </c>
      <c r="M58" s="43"/>
      <c r="N58" s="44">
        <v>0.9</v>
      </c>
      <c r="O58" s="43">
        <v>18560</v>
      </c>
      <c r="P58" s="43">
        <v>8584</v>
      </c>
      <c r="Q58" s="55">
        <v>12.9</v>
      </c>
      <c r="R58" s="43">
        <v>0.13</v>
      </c>
      <c r="S58" s="43">
        <f t="shared" si="14"/>
        <v>27.30449798441181</v>
      </c>
      <c r="T58" s="43">
        <f t="shared" si="13"/>
        <v>469354.09754799365</v>
      </c>
      <c r="U58" s="46">
        <v>40359</v>
      </c>
    </row>
    <row r="59" spans="1:21">
      <c r="A59" s="213"/>
      <c r="B59" s="38" t="s">
        <v>177</v>
      </c>
      <c r="C59" s="39" t="s">
        <v>166</v>
      </c>
      <c r="D59" s="39" t="s">
        <v>167</v>
      </c>
      <c r="E59" s="39" t="s">
        <v>201</v>
      </c>
      <c r="F59" s="214">
        <v>293</v>
      </c>
      <c r="G59" s="41">
        <v>293</v>
      </c>
      <c r="H59" s="41">
        <f t="shared" si="12"/>
        <v>0</v>
      </c>
      <c r="I59" t="s">
        <v>169</v>
      </c>
      <c r="J59" s="42">
        <v>40359</v>
      </c>
      <c r="K59" s="39" t="s">
        <v>147</v>
      </c>
      <c r="L59" s="39"/>
      <c r="M59" s="43">
        <v>30</v>
      </c>
      <c r="N59" s="44"/>
      <c r="O59" s="43"/>
      <c r="P59" s="43"/>
      <c r="Q59" s="45"/>
      <c r="R59" s="43"/>
      <c r="S59" s="43">
        <f t="shared" si="14"/>
        <v>30</v>
      </c>
      <c r="T59" s="43">
        <f t="shared" si="13"/>
        <v>8790</v>
      </c>
      <c r="U59" s="46">
        <v>40369</v>
      </c>
    </row>
    <row r="60" spans="1:21">
      <c r="A60" s="213"/>
      <c r="B60" s="38" t="s">
        <v>152</v>
      </c>
      <c r="C60" s="39" t="s">
        <v>153</v>
      </c>
      <c r="D60" s="39" t="s">
        <v>154</v>
      </c>
      <c r="E60" s="39" t="s">
        <v>209</v>
      </c>
      <c r="F60" s="214">
        <v>12218.9</v>
      </c>
      <c r="G60" s="41">
        <v>12190</v>
      </c>
      <c r="H60" s="41">
        <f t="shared" si="12"/>
        <v>-28.899999999999636</v>
      </c>
      <c r="I60" s="39"/>
      <c r="J60" s="42">
        <v>40359</v>
      </c>
      <c r="K60" s="39" t="s">
        <v>147</v>
      </c>
      <c r="L60" s="39"/>
      <c r="M60" s="43">
        <v>29.8</v>
      </c>
      <c r="N60" s="44"/>
      <c r="O60" s="43"/>
      <c r="P60" s="43"/>
      <c r="Q60" s="45"/>
      <c r="R60" s="43"/>
      <c r="S60" s="43">
        <f t="shared" si="14"/>
        <v>29.8</v>
      </c>
      <c r="T60" s="43">
        <f t="shared" si="13"/>
        <v>364123.22</v>
      </c>
      <c r="U60" s="46">
        <v>40366</v>
      </c>
    </row>
    <row r="61" spans="1:21" ht="13.5" thickBot="1">
      <c r="A61" s="213"/>
      <c r="B61" s="57"/>
      <c r="C61" s="32"/>
      <c r="D61" s="32"/>
      <c r="E61" s="32"/>
      <c r="F61" s="33"/>
      <c r="G61" s="33"/>
      <c r="H61" s="33"/>
      <c r="I61" s="34"/>
      <c r="J61" s="35"/>
      <c r="K61" s="32"/>
      <c r="L61" s="32"/>
      <c r="M61" s="36"/>
      <c r="N61" s="37"/>
      <c r="O61" s="36"/>
      <c r="P61" s="36"/>
      <c r="Q61" s="36"/>
      <c r="R61" s="36"/>
      <c r="S61" s="36"/>
      <c r="T61" s="36"/>
      <c r="U61" s="51"/>
    </row>
    <row r="62" spans="1:21">
      <c r="I62" s="24"/>
      <c r="J62" s="24"/>
      <c r="K62" s="29"/>
      <c r="L62" s="29"/>
      <c r="M62" s="29"/>
      <c r="N62" s="29"/>
      <c r="O62" s="24"/>
      <c r="P62" s="24"/>
      <c r="Q62" s="24"/>
      <c r="R62" s="24"/>
    </row>
    <row r="63" spans="1:21">
      <c r="E63" s="2"/>
      <c r="I63" s="24"/>
      <c r="J63" s="24"/>
      <c r="K63" s="29"/>
      <c r="L63" s="29"/>
      <c r="M63" s="29"/>
      <c r="N63" s="29"/>
      <c r="O63" s="24"/>
      <c r="P63" s="24"/>
      <c r="Q63" s="24"/>
      <c r="R63" s="24"/>
    </row>
    <row r="64" spans="1:21" hidden="1">
      <c r="I64" s="24"/>
      <c r="J64" s="24"/>
      <c r="K64" s="29"/>
      <c r="L64" s="29"/>
      <c r="M64" s="29"/>
      <c r="N64" s="29"/>
      <c r="O64" s="24"/>
      <c r="P64" s="24"/>
      <c r="Q64" s="24"/>
      <c r="R64" s="24"/>
    </row>
    <row r="65" spans="5:18" hidden="1">
      <c r="E65" t="s">
        <v>241</v>
      </c>
      <c r="F65" s="5">
        <f>1936+1821+1927+1919+795+476+551+1867+1926+1911+1749</f>
        <v>16878</v>
      </c>
      <c r="I65" s="24"/>
      <c r="J65" s="24"/>
      <c r="K65" s="29"/>
      <c r="L65" s="29"/>
      <c r="M65" s="29"/>
      <c r="N65" s="29"/>
      <c r="O65" s="24"/>
      <c r="P65" s="24"/>
      <c r="Q65" s="24"/>
      <c r="R65" s="24"/>
    </row>
    <row r="66" spans="5:18" hidden="1">
      <c r="I66" s="24"/>
      <c r="J66" s="24"/>
      <c r="K66" s="29"/>
      <c r="M66" s="29"/>
      <c r="N66" s="29"/>
      <c r="O66" s="24"/>
      <c r="P66" s="24"/>
      <c r="Q66" s="24"/>
      <c r="R66" s="24"/>
    </row>
    <row r="67" spans="5:18" hidden="1">
      <c r="E67" t="s">
        <v>242</v>
      </c>
      <c r="F67" s="5">
        <v>255765</v>
      </c>
      <c r="I67" s="24"/>
      <c r="J67" s="24"/>
      <c r="K67" s="29"/>
    </row>
    <row r="68" spans="5:18" hidden="1">
      <c r="E68" t="s">
        <v>243</v>
      </c>
      <c r="F68" s="5">
        <f>F67+F65</f>
        <v>272643</v>
      </c>
      <c r="I68" s="24"/>
      <c r="J68" s="24"/>
      <c r="K68" s="29"/>
    </row>
    <row r="69" spans="5:18" hidden="1">
      <c r="I69" s="24"/>
      <c r="J69" s="24"/>
      <c r="K69" s="29"/>
    </row>
    <row r="70" spans="5:18">
      <c r="I70" s="24"/>
      <c r="J70" s="24"/>
      <c r="K70" s="29"/>
    </row>
    <row r="71" spans="5:18">
      <c r="I71" s="24"/>
      <c r="J71" s="24"/>
      <c r="K71" s="29"/>
    </row>
  </sheetData>
  <mergeCells count="4">
    <mergeCell ref="A5:A11"/>
    <mergeCell ref="A15:A27"/>
    <mergeCell ref="A41:A53"/>
    <mergeCell ref="A54:A61"/>
  </mergeCells>
  <phoneticPr fontId="13" type="noConversion"/>
  <pageMargins left="0.75" right="0.75" top="1" bottom="1" header="0" footer="0"/>
  <pageSetup paperSize="9"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J87"/>
  <sheetViews>
    <sheetView topLeftCell="A53" workbookViewId="0">
      <selection activeCell="F23" sqref="F23"/>
    </sheetView>
  </sheetViews>
  <sheetFormatPr baseColWidth="10" defaultRowHeight="12.75"/>
  <cols>
    <col min="1" max="1" width="3.7109375" customWidth="1"/>
    <col min="2" max="2" width="4.85546875" customWidth="1"/>
    <col min="3" max="3" width="17.7109375" customWidth="1"/>
    <col min="4" max="4" width="29.85546875" customWidth="1"/>
    <col min="5" max="5" width="17.28515625" customWidth="1"/>
    <col min="6" max="6" width="19.28515625" customWidth="1"/>
    <col min="7" max="7" width="14.5703125" customWidth="1"/>
    <col min="8" max="8" width="13.7109375" customWidth="1"/>
  </cols>
  <sheetData>
    <row r="1" spans="1:10">
      <c r="A1" s="61" t="s">
        <v>244</v>
      </c>
      <c r="B1" s="24"/>
      <c r="C1" s="24"/>
      <c r="D1" s="26"/>
      <c r="E1" s="62"/>
      <c r="F1" s="62"/>
      <c r="G1" s="24"/>
      <c r="H1" s="24"/>
      <c r="I1" s="24"/>
      <c r="J1" s="24"/>
    </row>
    <row r="2" spans="1:10">
      <c r="A2" t="s">
        <v>245</v>
      </c>
      <c r="B2">
        <v>4</v>
      </c>
      <c r="C2" s="63">
        <v>922389.39</v>
      </c>
      <c r="D2" s="63" t="s">
        <v>246</v>
      </c>
      <c r="E2" s="64" t="s">
        <v>247</v>
      </c>
      <c r="F2" s="63" t="s">
        <v>248</v>
      </c>
      <c r="G2" s="65">
        <v>40340</v>
      </c>
      <c r="H2" s="63" t="s">
        <v>249</v>
      </c>
      <c r="I2" s="5"/>
      <c r="J2" s="24"/>
    </row>
    <row r="3" spans="1:10">
      <c r="B3">
        <v>4</v>
      </c>
      <c r="C3" s="63">
        <v>45992</v>
      </c>
      <c r="D3" s="63" t="s">
        <v>250</v>
      </c>
      <c r="E3" s="64" t="s">
        <v>251</v>
      </c>
      <c r="F3" s="63" t="s">
        <v>252</v>
      </c>
      <c r="G3" s="65">
        <v>40348</v>
      </c>
      <c r="H3" s="63" t="s">
        <v>253</v>
      </c>
      <c r="I3" s="5"/>
      <c r="J3" s="24"/>
    </row>
    <row r="4" spans="1:10">
      <c r="B4">
        <v>4</v>
      </c>
      <c r="C4" s="63">
        <v>47850</v>
      </c>
      <c r="D4" s="63" t="s">
        <v>254</v>
      </c>
      <c r="E4" s="64" t="s">
        <v>255</v>
      </c>
      <c r="F4" s="63" t="s">
        <v>256</v>
      </c>
      <c r="G4" s="63" t="s">
        <v>257</v>
      </c>
      <c r="H4" s="65">
        <v>40336</v>
      </c>
      <c r="I4" s="5"/>
      <c r="J4" s="24"/>
    </row>
    <row r="5" spans="1:10">
      <c r="A5" s="66" t="s">
        <v>258</v>
      </c>
      <c r="B5">
        <v>5</v>
      </c>
      <c r="C5" s="5">
        <f>43719.84*G5</f>
        <v>568357.91999999993</v>
      </c>
      <c r="D5" s="5" t="s">
        <v>259</v>
      </c>
      <c r="E5" s="67" t="s">
        <v>260</v>
      </c>
      <c r="F5" s="5" t="s">
        <v>261</v>
      </c>
      <c r="G5" s="68">
        <v>13</v>
      </c>
      <c r="H5" s="5"/>
      <c r="I5" s="5"/>
      <c r="J5" s="24"/>
    </row>
    <row r="6" spans="1:10">
      <c r="A6" s="66" t="s">
        <v>262</v>
      </c>
      <c r="B6">
        <v>6</v>
      </c>
      <c r="C6" s="5"/>
      <c r="D6" s="5"/>
      <c r="E6" s="67"/>
      <c r="F6" s="5"/>
      <c r="G6" s="5"/>
      <c r="H6" s="5"/>
      <c r="I6" s="5"/>
      <c r="J6" s="24"/>
    </row>
    <row r="7" spans="1:10">
      <c r="A7" t="s">
        <v>263</v>
      </c>
      <c r="B7" s="24">
        <v>7</v>
      </c>
      <c r="C7" s="63">
        <v>362194</v>
      </c>
      <c r="D7" s="63" t="s">
        <v>264</v>
      </c>
      <c r="E7" s="64" t="s">
        <v>265</v>
      </c>
      <c r="F7" s="63" t="s">
        <v>256</v>
      </c>
      <c r="G7" s="65">
        <v>40340</v>
      </c>
      <c r="H7" s="63" t="s">
        <v>266</v>
      </c>
      <c r="I7" s="5"/>
      <c r="J7" s="24"/>
    </row>
    <row r="8" spans="1:10">
      <c r="B8" s="24">
        <v>7</v>
      </c>
      <c r="C8" s="5">
        <f>39973.15*G8</f>
        <v>519650.95</v>
      </c>
      <c r="D8" s="5" t="s">
        <v>267</v>
      </c>
      <c r="E8" s="67" t="s">
        <v>180</v>
      </c>
      <c r="F8" s="5" t="s">
        <v>268</v>
      </c>
      <c r="G8" s="68">
        <v>13</v>
      </c>
      <c r="H8" s="5"/>
      <c r="I8" s="5"/>
      <c r="J8" s="24"/>
    </row>
    <row r="9" spans="1:10">
      <c r="A9" t="s">
        <v>269</v>
      </c>
      <c r="B9" s="24">
        <v>8</v>
      </c>
      <c r="C9" s="63">
        <v>79424</v>
      </c>
      <c r="D9" s="63" t="s">
        <v>270</v>
      </c>
      <c r="E9" s="64" t="s">
        <v>271</v>
      </c>
      <c r="F9" s="63" t="s">
        <v>272</v>
      </c>
      <c r="G9" s="63"/>
      <c r="H9" s="65">
        <v>40347</v>
      </c>
      <c r="I9" s="63" t="s">
        <v>273</v>
      </c>
      <c r="J9" s="24"/>
    </row>
    <row r="10" spans="1:10">
      <c r="B10" s="24">
        <v>8</v>
      </c>
      <c r="C10" s="63">
        <v>296926.5</v>
      </c>
      <c r="D10" s="63" t="s">
        <v>270</v>
      </c>
      <c r="E10" s="64" t="s">
        <v>274</v>
      </c>
      <c r="F10" s="63" t="s">
        <v>275</v>
      </c>
      <c r="G10" s="65">
        <v>40353</v>
      </c>
      <c r="H10" s="63" t="s">
        <v>276</v>
      </c>
      <c r="I10" s="5"/>
      <c r="J10" s="24"/>
    </row>
    <row r="11" spans="1:10">
      <c r="A11" t="s">
        <v>277</v>
      </c>
      <c r="B11" s="24">
        <v>9</v>
      </c>
      <c r="C11" s="63">
        <f>36764.23*G11</f>
        <v>469846.85940000002</v>
      </c>
      <c r="D11" s="63" t="s">
        <v>278</v>
      </c>
      <c r="E11" s="64" t="s">
        <v>279</v>
      </c>
      <c r="F11" s="63" t="s">
        <v>280</v>
      </c>
      <c r="G11" s="63">
        <v>12.78</v>
      </c>
      <c r="H11" s="65">
        <v>40340</v>
      </c>
      <c r="I11" s="63" t="s">
        <v>281</v>
      </c>
      <c r="J11" s="24"/>
    </row>
    <row r="12" spans="1:10">
      <c r="B12" s="24">
        <v>9</v>
      </c>
      <c r="C12" s="63">
        <f>36606.8*G12</f>
        <v>470214.34600000008</v>
      </c>
      <c r="D12" s="63" t="s">
        <v>282</v>
      </c>
      <c r="E12" s="64" t="s">
        <v>283</v>
      </c>
      <c r="F12" s="63" t="s">
        <v>284</v>
      </c>
      <c r="G12" s="69">
        <v>12.845000000000001</v>
      </c>
      <c r="H12" s="65">
        <v>40338</v>
      </c>
      <c r="I12" s="63" t="s">
        <v>285</v>
      </c>
      <c r="J12" s="24"/>
    </row>
    <row r="13" spans="1:10">
      <c r="B13" s="24">
        <v>9</v>
      </c>
      <c r="C13" s="63">
        <f>44470.8*G13</f>
        <v>560999.14199999999</v>
      </c>
      <c r="D13" s="63" t="s">
        <v>286</v>
      </c>
      <c r="E13" s="64" t="s">
        <v>287</v>
      </c>
      <c r="F13" s="63" t="s">
        <v>288</v>
      </c>
      <c r="G13" s="69">
        <v>12.615</v>
      </c>
      <c r="H13" s="65">
        <v>40346</v>
      </c>
      <c r="I13" s="63" t="s">
        <v>289</v>
      </c>
      <c r="J13" s="24"/>
    </row>
    <row r="14" spans="1:10">
      <c r="A14" t="s">
        <v>290</v>
      </c>
      <c r="B14" s="24">
        <v>10</v>
      </c>
      <c r="C14" s="63">
        <v>270480</v>
      </c>
      <c r="D14" s="63" t="s">
        <v>291</v>
      </c>
      <c r="E14" s="64" t="s">
        <v>156</v>
      </c>
      <c r="F14" s="63" t="s">
        <v>256</v>
      </c>
      <c r="G14" s="63" t="s">
        <v>292</v>
      </c>
      <c r="H14" s="65">
        <v>40341</v>
      </c>
      <c r="I14" s="63" t="s">
        <v>293</v>
      </c>
      <c r="J14" s="24"/>
    </row>
    <row r="15" spans="1:10">
      <c r="A15" t="s">
        <v>245</v>
      </c>
      <c r="B15" s="24">
        <v>11</v>
      </c>
      <c r="C15" s="5">
        <f>43663.47*G15</f>
        <v>567625.11</v>
      </c>
      <c r="D15" s="5" t="s">
        <v>294</v>
      </c>
      <c r="E15" s="67">
        <v>53363</v>
      </c>
      <c r="F15" s="5" t="s">
        <v>295</v>
      </c>
      <c r="G15" s="68">
        <v>13</v>
      </c>
      <c r="H15" s="5"/>
      <c r="I15" s="5"/>
      <c r="J15" s="24"/>
    </row>
    <row r="16" spans="1:10">
      <c r="A16" s="66" t="s">
        <v>258</v>
      </c>
      <c r="B16" s="24">
        <v>12</v>
      </c>
      <c r="C16" s="63">
        <f>7840+30590+51870+55615</f>
        <v>145915</v>
      </c>
      <c r="D16" s="63" t="s">
        <v>296</v>
      </c>
      <c r="E16" s="64" t="s">
        <v>169</v>
      </c>
      <c r="F16" s="63" t="s">
        <v>252</v>
      </c>
      <c r="G16" s="63" t="s">
        <v>297</v>
      </c>
      <c r="H16" s="63"/>
      <c r="I16" s="63" t="s">
        <v>298</v>
      </c>
      <c r="J16" s="24"/>
    </row>
    <row r="17" spans="1:10">
      <c r="A17" s="66" t="s">
        <v>262</v>
      </c>
      <c r="B17" s="24">
        <v>13</v>
      </c>
      <c r="C17" s="5"/>
      <c r="D17" s="5"/>
      <c r="E17" s="67"/>
      <c r="F17" s="5"/>
      <c r="G17" s="5"/>
      <c r="H17" s="5"/>
      <c r="I17" s="5"/>
      <c r="J17" s="24"/>
    </row>
    <row r="18" spans="1:10">
      <c r="A18" t="s">
        <v>263</v>
      </c>
      <c r="B18" s="24">
        <v>14</v>
      </c>
      <c r="C18" s="63">
        <v>376420</v>
      </c>
      <c r="D18" s="63" t="s">
        <v>299</v>
      </c>
      <c r="E18" s="64" t="s">
        <v>300</v>
      </c>
      <c r="F18" s="63" t="s">
        <v>256</v>
      </c>
      <c r="G18" s="65">
        <v>40351</v>
      </c>
      <c r="H18" s="63" t="s">
        <v>301</v>
      </c>
      <c r="I18" s="5"/>
      <c r="J18" s="24"/>
    </row>
    <row r="19" spans="1:10">
      <c r="B19" s="24">
        <v>14</v>
      </c>
      <c r="C19" s="5">
        <f>40238.1*G19</f>
        <v>523095.3</v>
      </c>
      <c r="D19" s="5" t="s">
        <v>302</v>
      </c>
      <c r="E19" s="67">
        <v>53372</v>
      </c>
      <c r="F19" s="5" t="s">
        <v>303</v>
      </c>
      <c r="G19" s="68">
        <v>13</v>
      </c>
      <c r="H19" s="5"/>
      <c r="I19" s="5"/>
      <c r="J19" s="24"/>
    </row>
    <row r="20" spans="1:10">
      <c r="A20" t="s">
        <v>269</v>
      </c>
      <c r="B20" s="24">
        <v>15</v>
      </c>
      <c r="C20" s="63">
        <f>37884.68*G20</f>
        <v>476513.50503999996</v>
      </c>
      <c r="D20" s="63" t="s">
        <v>304</v>
      </c>
      <c r="E20" s="64" t="s">
        <v>305</v>
      </c>
      <c r="F20" s="63" t="s">
        <v>306</v>
      </c>
      <c r="G20" s="69">
        <v>12.577999999999999</v>
      </c>
      <c r="H20" s="65">
        <v>40347</v>
      </c>
      <c r="I20" s="63" t="s">
        <v>307</v>
      </c>
      <c r="J20" s="24"/>
    </row>
    <row r="21" spans="1:10">
      <c r="A21" t="s">
        <v>277</v>
      </c>
      <c r="B21" s="24">
        <v>16</v>
      </c>
      <c r="C21" s="63">
        <f>38228.4*G21</f>
        <v>481601.38320000004</v>
      </c>
      <c r="D21" s="63" t="s">
        <v>308</v>
      </c>
      <c r="E21" s="64" t="s">
        <v>309</v>
      </c>
      <c r="F21" s="63" t="s">
        <v>310</v>
      </c>
      <c r="G21" s="69">
        <v>12.598000000000001</v>
      </c>
      <c r="H21" s="65">
        <v>40347</v>
      </c>
      <c r="I21" s="63" t="s">
        <v>311</v>
      </c>
      <c r="J21" s="24"/>
    </row>
    <row r="22" spans="1:10">
      <c r="B22">
        <v>16</v>
      </c>
      <c r="C22" s="5"/>
      <c r="D22" s="5"/>
      <c r="E22" s="67"/>
      <c r="F22" s="5"/>
      <c r="G22" s="5"/>
      <c r="H22" s="5"/>
      <c r="I22" s="5"/>
      <c r="J22" s="24"/>
    </row>
    <row r="23" spans="1:10">
      <c r="B23">
        <v>16</v>
      </c>
      <c r="C23" s="63">
        <v>283798</v>
      </c>
      <c r="D23" s="63" t="s">
        <v>312</v>
      </c>
      <c r="E23" s="64" t="s">
        <v>199</v>
      </c>
      <c r="F23" s="63" t="s">
        <v>256</v>
      </c>
      <c r="G23" s="63" t="s">
        <v>313</v>
      </c>
      <c r="H23" s="65">
        <v>40346</v>
      </c>
      <c r="I23" s="63" t="s">
        <v>314</v>
      </c>
      <c r="J23" s="24"/>
    </row>
    <row r="24" spans="1:10">
      <c r="A24" t="s">
        <v>290</v>
      </c>
      <c r="B24">
        <v>17</v>
      </c>
      <c r="C24" s="5"/>
      <c r="D24" s="5"/>
      <c r="E24" s="67"/>
      <c r="F24" s="5"/>
      <c r="G24" s="5"/>
      <c r="H24" s="5"/>
      <c r="I24" s="5"/>
      <c r="J24" s="24"/>
    </row>
    <row r="25" spans="1:10">
      <c r="B25" s="70">
        <v>18</v>
      </c>
      <c r="C25" s="63">
        <v>36054</v>
      </c>
      <c r="D25" s="63" t="s">
        <v>315</v>
      </c>
      <c r="E25" s="71" t="s">
        <v>316</v>
      </c>
      <c r="F25" s="63" t="s">
        <v>252</v>
      </c>
      <c r="G25" s="65">
        <v>40359</v>
      </c>
      <c r="H25" s="63" t="s">
        <v>317</v>
      </c>
      <c r="I25" s="5"/>
      <c r="J25" s="24"/>
    </row>
    <row r="26" spans="1:10">
      <c r="A26" t="s">
        <v>245</v>
      </c>
      <c r="B26" s="24">
        <v>18</v>
      </c>
      <c r="C26" s="63">
        <v>880548.57</v>
      </c>
      <c r="D26" s="63" t="s">
        <v>318</v>
      </c>
      <c r="E26" s="64" t="s">
        <v>319</v>
      </c>
      <c r="F26" s="63" t="s">
        <v>320</v>
      </c>
      <c r="G26" s="65">
        <v>40357</v>
      </c>
      <c r="H26" s="63" t="s">
        <v>321</v>
      </c>
      <c r="I26" s="5"/>
      <c r="J26" s="24"/>
    </row>
    <row r="27" spans="1:10">
      <c r="B27">
        <v>18</v>
      </c>
      <c r="C27" s="5">
        <f>48143.48*G27</f>
        <v>625865.24</v>
      </c>
      <c r="D27" s="62" t="s">
        <v>322</v>
      </c>
      <c r="E27" s="67">
        <v>53455</v>
      </c>
      <c r="F27" s="5" t="s">
        <v>323</v>
      </c>
      <c r="G27" s="68">
        <v>13</v>
      </c>
      <c r="H27" s="5"/>
      <c r="I27" s="5"/>
      <c r="J27" s="24"/>
    </row>
    <row r="28" spans="1:10">
      <c r="A28" s="66" t="s">
        <v>258</v>
      </c>
      <c r="B28">
        <v>19</v>
      </c>
      <c r="C28" s="63">
        <v>67050</v>
      </c>
      <c r="D28" s="63" t="s">
        <v>324</v>
      </c>
      <c r="E28" s="64" t="s">
        <v>207</v>
      </c>
      <c r="F28" s="63" t="s">
        <v>256</v>
      </c>
      <c r="G28" s="63" t="s">
        <v>325</v>
      </c>
      <c r="H28" s="63"/>
      <c r="I28" s="63" t="s">
        <v>326</v>
      </c>
      <c r="J28" s="24"/>
    </row>
    <row r="29" spans="1:10">
      <c r="A29" s="66" t="s">
        <v>258</v>
      </c>
      <c r="B29">
        <v>19</v>
      </c>
      <c r="C29" s="5">
        <f>29988+35315-29988</f>
        <v>35315</v>
      </c>
      <c r="D29" s="5" t="s">
        <v>327</v>
      </c>
      <c r="E29" s="64" t="s">
        <v>169</v>
      </c>
      <c r="F29" s="63" t="s">
        <v>252</v>
      </c>
      <c r="G29" s="63" t="s">
        <v>328</v>
      </c>
      <c r="H29" s="63"/>
      <c r="I29" s="5"/>
      <c r="J29" s="24"/>
    </row>
    <row r="30" spans="1:10">
      <c r="A30" s="66" t="s">
        <v>262</v>
      </c>
      <c r="B30">
        <v>20</v>
      </c>
      <c r="C30" s="5"/>
      <c r="D30" s="5"/>
      <c r="E30" s="67"/>
      <c r="F30" s="5"/>
      <c r="G30" s="5"/>
      <c r="H30" s="5"/>
      <c r="I30" s="5"/>
      <c r="J30" s="24"/>
    </row>
    <row r="31" spans="1:10">
      <c r="A31" s="72" t="s">
        <v>263</v>
      </c>
      <c r="B31">
        <v>21</v>
      </c>
      <c r="C31" s="5">
        <f>42303.5*G31</f>
        <v>549945.5</v>
      </c>
      <c r="D31" s="5" t="s">
        <v>329</v>
      </c>
      <c r="E31" s="67">
        <v>53461</v>
      </c>
      <c r="F31" s="5" t="s">
        <v>330</v>
      </c>
      <c r="G31" s="68">
        <v>13</v>
      </c>
      <c r="H31" s="5"/>
      <c r="I31" s="5"/>
      <c r="J31" s="24"/>
    </row>
    <row r="32" spans="1:10">
      <c r="A32" t="s">
        <v>263</v>
      </c>
      <c r="B32">
        <v>21</v>
      </c>
      <c r="C32" s="5">
        <v>529483.9</v>
      </c>
      <c r="D32" s="73" t="s">
        <v>331</v>
      </c>
      <c r="E32" s="67" t="s">
        <v>332</v>
      </c>
      <c r="F32" s="5" t="s">
        <v>333</v>
      </c>
      <c r="G32" s="5"/>
      <c r="H32" s="5"/>
      <c r="I32" s="5"/>
      <c r="J32" s="24"/>
    </row>
    <row r="33" spans="1:10">
      <c r="B33">
        <v>21</v>
      </c>
      <c r="C33" s="5">
        <v>377970</v>
      </c>
      <c r="D33" s="5" t="s">
        <v>334</v>
      </c>
      <c r="E33" s="67" t="s">
        <v>335</v>
      </c>
      <c r="F33" s="5" t="s">
        <v>256</v>
      </c>
      <c r="G33" s="5"/>
      <c r="H33" s="5"/>
      <c r="I33" s="5"/>
      <c r="J33" s="24"/>
    </row>
    <row r="34" spans="1:10">
      <c r="B34">
        <v>21</v>
      </c>
      <c r="C34" s="5"/>
      <c r="D34" s="5"/>
      <c r="E34" s="67"/>
      <c r="F34" s="5"/>
      <c r="G34" s="5"/>
      <c r="H34" s="5"/>
      <c r="I34" s="5"/>
      <c r="J34" s="24"/>
    </row>
    <row r="35" spans="1:10">
      <c r="A35" t="s">
        <v>269</v>
      </c>
      <c r="B35" s="24">
        <v>22</v>
      </c>
      <c r="C35" s="63">
        <f>37917.9*G35</f>
        <v>483036.12810000003</v>
      </c>
      <c r="D35" s="63" t="s">
        <v>336</v>
      </c>
      <c r="E35" s="64" t="s">
        <v>337</v>
      </c>
      <c r="F35" s="63" t="s">
        <v>338</v>
      </c>
      <c r="G35" s="69">
        <v>12.739000000000001</v>
      </c>
      <c r="H35" s="65">
        <v>40353</v>
      </c>
      <c r="I35" s="63" t="s">
        <v>339</v>
      </c>
      <c r="J35" s="24"/>
    </row>
    <row r="36" spans="1:10">
      <c r="B36" s="24">
        <v>22</v>
      </c>
      <c r="C36" s="63">
        <f>33942.48*G36</f>
        <v>431001.61104000005</v>
      </c>
      <c r="D36" s="63" t="s">
        <v>340</v>
      </c>
      <c r="E36" s="64" t="s">
        <v>341</v>
      </c>
      <c r="F36" s="63" t="s">
        <v>342</v>
      </c>
      <c r="G36" s="69">
        <v>12.698</v>
      </c>
      <c r="H36" s="65">
        <v>40352</v>
      </c>
      <c r="I36" s="63" t="s">
        <v>343</v>
      </c>
      <c r="J36" s="24"/>
    </row>
    <row r="37" spans="1:10">
      <c r="A37" t="s">
        <v>277</v>
      </c>
      <c r="B37" s="24">
        <v>23</v>
      </c>
      <c r="C37" s="5">
        <v>312347.36</v>
      </c>
      <c r="D37" s="73" t="s">
        <v>344</v>
      </c>
      <c r="E37" s="67" t="s">
        <v>161</v>
      </c>
      <c r="F37" s="5" t="s">
        <v>345</v>
      </c>
      <c r="G37" s="5"/>
      <c r="H37" s="5"/>
      <c r="I37" s="5"/>
      <c r="J37" s="24"/>
    </row>
    <row r="38" spans="1:10">
      <c r="A38" t="s">
        <v>290</v>
      </c>
      <c r="B38" s="24">
        <v>24</v>
      </c>
      <c r="C38" s="63">
        <v>319370</v>
      </c>
      <c r="D38" s="63" t="s">
        <v>346</v>
      </c>
      <c r="E38" s="64" t="s">
        <v>216</v>
      </c>
      <c r="F38" s="63" t="s">
        <v>256</v>
      </c>
      <c r="G38" s="63" t="s">
        <v>347</v>
      </c>
      <c r="H38" s="65">
        <v>40353</v>
      </c>
      <c r="I38" s="63" t="s">
        <v>348</v>
      </c>
      <c r="J38" s="24"/>
    </row>
    <row r="39" spans="1:10">
      <c r="A39" t="s">
        <v>245</v>
      </c>
      <c r="B39">
        <v>25</v>
      </c>
      <c r="C39" s="5">
        <f>45433.29*G39</f>
        <v>590632.77</v>
      </c>
      <c r="D39" s="74" t="s">
        <v>349</v>
      </c>
      <c r="E39" s="67">
        <v>53511</v>
      </c>
      <c r="F39" s="5" t="s">
        <v>350</v>
      </c>
      <c r="G39" s="68">
        <v>13</v>
      </c>
      <c r="H39" s="5"/>
      <c r="I39" s="5"/>
      <c r="J39" s="24"/>
    </row>
    <row r="40" spans="1:10">
      <c r="B40" s="70">
        <v>25</v>
      </c>
      <c r="C40" s="75">
        <v>35046</v>
      </c>
      <c r="D40" s="75" t="s">
        <v>351</v>
      </c>
      <c r="E40" s="71" t="s">
        <v>316</v>
      </c>
      <c r="F40" s="63" t="s">
        <v>252</v>
      </c>
      <c r="G40" s="65">
        <v>40359</v>
      </c>
      <c r="H40" s="63" t="s">
        <v>317</v>
      </c>
      <c r="I40" s="5"/>
      <c r="J40" s="24"/>
    </row>
    <row r="41" spans="1:10">
      <c r="A41" s="66" t="s">
        <v>258</v>
      </c>
      <c r="B41">
        <v>26</v>
      </c>
      <c r="C41" s="74">
        <f>25070+40770</f>
        <v>65840</v>
      </c>
      <c r="D41" s="74" t="s">
        <v>352</v>
      </c>
      <c r="E41" s="67" t="s">
        <v>169</v>
      </c>
      <c r="F41" s="5" t="s">
        <v>252</v>
      </c>
      <c r="G41" s="5"/>
      <c r="H41" s="5"/>
      <c r="I41" s="5"/>
      <c r="J41" s="24"/>
    </row>
    <row r="42" spans="1:10">
      <c r="A42" s="66" t="s">
        <v>262</v>
      </c>
      <c r="B42">
        <v>27</v>
      </c>
      <c r="C42" s="74"/>
      <c r="D42" s="74"/>
      <c r="E42" s="67"/>
      <c r="F42" s="5"/>
      <c r="G42" s="5"/>
      <c r="H42" s="5"/>
      <c r="I42" s="5"/>
      <c r="J42" s="24"/>
    </row>
    <row r="43" spans="1:10">
      <c r="A43" t="s">
        <v>263</v>
      </c>
      <c r="B43">
        <v>28</v>
      </c>
      <c r="C43" s="74">
        <f>12750*29.5</f>
        <v>376125</v>
      </c>
      <c r="D43" s="74" t="s">
        <v>353</v>
      </c>
      <c r="E43" s="67" t="s">
        <v>354</v>
      </c>
      <c r="F43" s="5" t="s">
        <v>256</v>
      </c>
      <c r="G43" s="5"/>
      <c r="H43" s="5"/>
      <c r="I43" s="5"/>
      <c r="J43" s="24"/>
    </row>
    <row r="44" spans="1:10">
      <c r="B44">
        <v>28</v>
      </c>
      <c r="C44" s="76">
        <f>45459.33*G44</f>
        <v>590971.29</v>
      </c>
      <c r="D44" s="74" t="s">
        <v>355</v>
      </c>
      <c r="E44" s="67">
        <v>53515</v>
      </c>
      <c r="F44" s="5" t="s">
        <v>356</v>
      </c>
      <c r="G44" s="68">
        <v>13</v>
      </c>
      <c r="H44" s="5"/>
      <c r="I44" s="5"/>
      <c r="J44" s="24"/>
    </row>
    <row r="45" spans="1:10">
      <c r="A45" t="s">
        <v>269</v>
      </c>
      <c r="B45">
        <v>29</v>
      </c>
      <c r="C45" s="74"/>
      <c r="D45" s="74"/>
      <c r="E45" s="67"/>
      <c r="F45" s="5"/>
      <c r="G45" s="5"/>
      <c r="H45" s="5"/>
      <c r="I45" s="5"/>
      <c r="J45" s="24"/>
    </row>
    <row r="46" spans="1:10">
      <c r="A46" t="s">
        <v>277</v>
      </c>
      <c r="B46" s="24">
        <v>30</v>
      </c>
      <c r="C46" s="75">
        <f>38461.52*G46</f>
        <v>495576.68519999995</v>
      </c>
      <c r="D46" s="75" t="s">
        <v>357</v>
      </c>
      <c r="E46" s="64" t="s">
        <v>358</v>
      </c>
      <c r="F46" s="63" t="s">
        <v>359</v>
      </c>
      <c r="G46" s="69">
        <v>12.885</v>
      </c>
      <c r="H46" s="63" t="s">
        <v>360</v>
      </c>
      <c r="I46" s="5"/>
      <c r="J46" s="24"/>
    </row>
    <row r="47" spans="1:10">
      <c r="B47" s="24">
        <v>30</v>
      </c>
      <c r="C47" s="75">
        <f>34106.4*G47</f>
        <v>439460.96400000004</v>
      </c>
      <c r="D47" s="75" t="s">
        <v>361</v>
      </c>
      <c r="E47" s="64" t="s">
        <v>362</v>
      </c>
      <c r="F47" s="63" t="s">
        <v>363</v>
      </c>
      <c r="G47" s="69">
        <v>12.885</v>
      </c>
      <c r="H47" s="63" t="s">
        <v>364</v>
      </c>
      <c r="I47" s="5"/>
      <c r="J47" s="24"/>
    </row>
    <row r="48" spans="1:10">
      <c r="B48">
        <v>30</v>
      </c>
      <c r="C48" s="74">
        <v>361120</v>
      </c>
      <c r="D48" s="74" t="s">
        <v>365</v>
      </c>
      <c r="E48" s="67" t="s">
        <v>227</v>
      </c>
      <c r="F48" s="5" t="s">
        <v>256</v>
      </c>
      <c r="G48" s="5"/>
      <c r="H48" s="5"/>
      <c r="I48" s="5"/>
      <c r="J48" s="24"/>
    </row>
    <row r="49" spans="1:10">
      <c r="A49" s="24"/>
      <c r="B49">
        <v>30</v>
      </c>
      <c r="C49" s="74">
        <v>116637.08</v>
      </c>
      <c r="D49" s="74" t="s">
        <v>366</v>
      </c>
      <c r="E49" s="67" t="s">
        <v>367</v>
      </c>
      <c r="F49" s="5" t="s">
        <v>368</v>
      </c>
      <c r="G49" s="5"/>
      <c r="H49" s="5"/>
      <c r="I49" s="5"/>
      <c r="J49" s="24"/>
    </row>
    <row r="50" spans="1:10">
      <c r="A50" t="s">
        <v>369</v>
      </c>
      <c r="C50" s="74"/>
      <c r="D50" s="67"/>
      <c r="E50" s="5"/>
      <c r="F50" s="5"/>
      <c r="G50" s="5"/>
      <c r="H50" s="5"/>
      <c r="I50" s="5"/>
      <c r="J50" s="24"/>
    </row>
    <row r="51" spans="1:10">
      <c r="A51" t="s">
        <v>290</v>
      </c>
      <c r="B51">
        <v>1</v>
      </c>
      <c r="C51" s="74"/>
      <c r="D51" s="5"/>
      <c r="E51" s="67"/>
      <c r="F51" s="5"/>
      <c r="G51" s="5"/>
      <c r="H51" s="5"/>
      <c r="I51" s="5"/>
      <c r="J51" s="24"/>
    </row>
    <row r="52" spans="1:10">
      <c r="A52" t="s">
        <v>245</v>
      </c>
      <c r="B52" s="70">
        <v>2</v>
      </c>
      <c r="C52" s="75">
        <f>53460+44658</f>
        <v>98118</v>
      </c>
      <c r="D52" s="75" t="s">
        <v>370</v>
      </c>
      <c r="E52" s="71" t="s">
        <v>316</v>
      </c>
      <c r="F52" s="63" t="s">
        <v>252</v>
      </c>
      <c r="G52" s="65">
        <v>40359</v>
      </c>
      <c r="H52" s="63" t="s">
        <v>317</v>
      </c>
      <c r="I52" s="5"/>
      <c r="J52" s="24"/>
    </row>
    <row r="53" spans="1:10">
      <c r="B53">
        <v>2</v>
      </c>
      <c r="C53" s="74">
        <f>107262+53507</f>
        <v>160769</v>
      </c>
      <c r="D53" s="74" t="s">
        <v>371</v>
      </c>
      <c r="E53" s="67" t="s">
        <v>229</v>
      </c>
      <c r="F53" s="5" t="s">
        <v>256</v>
      </c>
      <c r="G53" s="5"/>
      <c r="H53" s="5"/>
      <c r="I53" s="5"/>
      <c r="J53" s="24"/>
    </row>
    <row r="54" spans="1:10">
      <c r="A54" s="66" t="s">
        <v>258</v>
      </c>
      <c r="B54">
        <v>3</v>
      </c>
      <c r="C54" s="74">
        <f>23485+69227</f>
        <v>92712</v>
      </c>
      <c r="D54" s="74" t="s">
        <v>372</v>
      </c>
      <c r="E54" s="67" t="s">
        <v>169</v>
      </c>
      <c r="F54" s="5" t="s">
        <v>252</v>
      </c>
      <c r="G54" s="5"/>
      <c r="H54" s="5"/>
      <c r="I54" s="5"/>
      <c r="J54" s="24"/>
    </row>
    <row r="55" spans="1:10">
      <c r="A55" s="66" t="s">
        <v>262</v>
      </c>
      <c r="B55">
        <v>4</v>
      </c>
      <c r="C55" s="5"/>
      <c r="D55" s="74"/>
      <c r="E55" s="67"/>
      <c r="F55" s="5"/>
      <c r="G55" s="5"/>
      <c r="H55" s="5"/>
      <c r="I55" s="5"/>
      <c r="J55" s="24"/>
    </row>
    <row r="56" spans="1:10">
      <c r="A56" t="s">
        <v>263</v>
      </c>
      <c r="B56">
        <v>5</v>
      </c>
      <c r="C56" s="74"/>
      <c r="D56" s="74"/>
      <c r="E56" s="67"/>
      <c r="F56" s="5"/>
      <c r="G56" s="5"/>
      <c r="H56" s="5"/>
      <c r="I56" s="5"/>
      <c r="J56" s="24"/>
    </row>
    <row r="57" spans="1:10">
      <c r="B57">
        <v>5</v>
      </c>
      <c r="C57" s="76">
        <v>378288</v>
      </c>
      <c r="D57" s="74" t="s">
        <v>373</v>
      </c>
      <c r="E57" s="67" t="s">
        <v>221</v>
      </c>
      <c r="F57" s="5" t="s">
        <v>256</v>
      </c>
      <c r="G57" s="5"/>
      <c r="H57" s="5"/>
      <c r="I57" s="5"/>
      <c r="J57" s="24"/>
    </row>
    <row r="58" spans="1:10">
      <c r="A58" t="s">
        <v>269</v>
      </c>
      <c r="B58">
        <v>6</v>
      </c>
      <c r="C58" s="74"/>
      <c r="D58" s="74"/>
      <c r="E58" s="67"/>
      <c r="F58" s="5"/>
      <c r="G58" s="5"/>
      <c r="H58" s="5"/>
      <c r="I58" s="5"/>
      <c r="J58" s="24"/>
    </row>
    <row r="59" spans="1:10">
      <c r="A59" t="s">
        <v>277</v>
      </c>
      <c r="B59">
        <v>7</v>
      </c>
      <c r="C59" s="74"/>
      <c r="D59" s="74"/>
      <c r="E59" s="67"/>
      <c r="F59" s="5"/>
      <c r="G59" s="5"/>
      <c r="H59" s="5"/>
      <c r="I59" s="5"/>
      <c r="J59" s="24"/>
    </row>
    <row r="60" spans="1:10">
      <c r="B60">
        <v>7</v>
      </c>
      <c r="C60" s="74"/>
      <c r="D60" s="74"/>
      <c r="E60" s="67"/>
      <c r="F60" s="5"/>
      <c r="G60" s="5"/>
      <c r="H60" s="5"/>
      <c r="I60" s="5"/>
      <c r="J60" s="24"/>
    </row>
    <row r="61" spans="1:10">
      <c r="A61" t="s">
        <v>290</v>
      </c>
      <c r="B61">
        <v>8</v>
      </c>
      <c r="C61" s="76">
        <v>363262</v>
      </c>
      <c r="D61" s="74" t="s">
        <v>374</v>
      </c>
      <c r="E61" s="67" t="s">
        <v>375</v>
      </c>
      <c r="F61" s="5" t="s">
        <v>376</v>
      </c>
      <c r="G61" s="5"/>
      <c r="H61" s="5"/>
      <c r="I61" s="5"/>
      <c r="J61" s="24"/>
    </row>
    <row r="62" spans="1:10">
      <c r="A62" t="s">
        <v>245</v>
      </c>
      <c r="B62">
        <v>9</v>
      </c>
      <c r="C62" s="74"/>
      <c r="D62" s="74"/>
      <c r="E62" s="67"/>
      <c r="F62" s="5"/>
      <c r="G62" s="5"/>
      <c r="H62" s="5"/>
      <c r="I62" s="5"/>
      <c r="J62" s="24"/>
    </row>
    <row r="63" spans="1:10">
      <c r="A63" s="66" t="s">
        <v>258</v>
      </c>
      <c r="B63">
        <v>10</v>
      </c>
      <c r="C63" s="74">
        <v>8790</v>
      </c>
      <c r="D63" s="74" t="s">
        <v>377</v>
      </c>
      <c r="E63" s="67" t="s">
        <v>169</v>
      </c>
      <c r="F63" s="5" t="s">
        <v>252</v>
      </c>
      <c r="G63" s="5"/>
      <c r="H63" s="5"/>
      <c r="I63" s="5"/>
      <c r="J63" s="24"/>
    </row>
    <row r="64" spans="1:10">
      <c r="A64" s="66" t="s">
        <v>262</v>
      </c>
      <c r="B64">
        <v>11</v>
      </c>
      <c r="C64" s="77"/>
      <c r="D64" s="77"/>
      <c r="E64" s="67"/>
      <c r="F64" s="5"/>
      <c r="G64" s="5"/>
      <c r="H64" s="5"/>
      <c r="I64" s="5"/>
      <c r="J64" s="24"/>
    </row>
    <row r="65" spans="1:10">
      <c r="A65" t="s">
        <v>263</v>
      </c>
      <c r="B65">
        <v>12</v>
      </c>
      <c r="C65" s="74"/>
      <c r="D65" s="74"/>
      <c r="E65" s="67"/>
      <c r="F65" s="5"/>
      <c r="G65" s="5"/>
      <c r="H65" s="5"/>
      <c r="I65" s="5"/>
      <c r="J65" s="24"/>
    </row>
    <row r="66" spans="1:10">
      <c r="A66" t="s">
        <v>269</v>
      </c>
      <c r="B66">
        <v>13</v>
      </c>
      <c r="C66" s="5"/>
      <c r="D66" s="5"/>
      <c r="E66" s="67"/>
      <c r="F66" s="5"/>
      <c r="G66" s="5"/>
      <c r="H66" s="5"/>
      <c r="I66" s="5"/>
      <c r="J66" s="24"/>
    </row>
    <row r="67" spans="1:10" ht="15.75">
      <c r="A67" t="s">
        <v>277</v>
      </c>
      <c r="B67">
        <v>14</v>
      </c>
      <c r="C67" s="78">
        <f>SUM(C53:C63)+C48+C44+C43+C41+C39+C37+C33+C32+C31+C29+C27+C19+C15+C8+C5+C49</f>
        <v>7714803.4200000009</v>
      </c>
      <c r="D67" s="78" t="s">
        <v>378</v>
      </c>
      <c r="E67" s="67"/>
      <c r="F67" s="5"/>
      <c r="G67" s="5"/>
      <c r="H67" s="5"/>
      <c r="I67" s="5"/>
      <c r="J67" s="24"/>
    </row>
    <row r="68" spans="1:10" ht="15.75">
      <c r="A68" t="s">
        <v>290</v>
      </c>
      <c r="B68">
        <v>15</v>
      </c>
      <c r="C68" s="78">
        <f>C44+C39+C31+C27+C19+C15+C8+C5</f>
        <v>4536144.08</v>
      </c>
      <c r="D68" s="78" t="s">
        <v>379</v>
      </c>
      <c r="E68" s="67"/>
      <c r="F68" s="5"/>
      <c r="G68" s="5"/>
      <c r="H68" s="5"/>
      <c r="I68" s="5"/>
      <c r="J68" s="24"/>
    </row>
    <row r="69" spans="1:10" ht="15.75">
      <c r="A69" t="s">
        <v>245</v>
      </c>
      <c r="B69">
        <v>16</v>
      </c>
      <c r="C69" s="78">
        <f>C67-C68</f>
        <v>3178659.3400000008</v>
      </c>
      <c r="D69" s="78" t="s">
        <v>380</v>
      </c>
      <c r="E69" s="67"/>
      <c r="F69" s="5"/>
      <c r="G69" s="5"/>
      <c r="H69" s="5"/>
      <c r="I69" s="5"/>
      <c r="J69" s="24"/>
    </row>
    <row r="70" spans="1:10">
      <c r="A70" s="66" t="s">
        <v>258</v>
      </c>
      <c r="B70">
        <v>17</v>
      </c>
      <c r="C70" s="5"/>
      <c r="D70" s="5"/>
      <c r="E70" s="67"/>
      <c r="F70" s="5"/>
      <c r="G70" s="5"/>
      <c r="H70" s="5"/>
      <c r="I70" s="5"/>
      <c r="J70" s="24"/>
    </row>
    <row r="71" spans="1:10">
      <c r="A71" s="66" t="s">
        <v>262</v>
      </c>
      <c r="B71">
        <v>18</v>
      </c>
      <c r="C71" s="16">
        <f>C67-C72</f>
        <v>7167690.3400000008</v>
      </c>
      <c r="D71" s="16" t="s">
        <v>381</v>
      </c>
      <c r="E71" s="67"/>
      <c r="F71" s="5"/>
      <c r="G71" s="5"/>
      <c r="H71" s="5"/>
      <c r="I71" s="5"/>
      <c r="J71" s="24"/>
    </row>
    <row r="72" spans="1:10">
      <c r="A72" t="s">
        <v>263</v>
      </c>
      <c r="B72">
        <v>19</v>
      </c>
      <c r="C72" s="16">
        <f>C54+C53+C41+C29+C28+C63+C49</f>
        <v>547113.07999999996</v>
      </c>
      <c r="D72" s="16" t="s">
        <v>382</v>
      </c>
      <c r="E72" s="67"/>
      <c r="F72" s="5"/>
      <c r="G72" s="5"/>
      <c r="H72" s="5"/>
      <c r="I72" s="5"/>
      <c r="J72" s="24"/>
    </row>
    <row r="73" spans="1:10">
      <c r="A73" t="s">
        <v>269</v>
      </c>
      <c r="B73">
        <v>20</v>
      </c>
      <c r="C73" s="5"/>
      <c r="D73" s="5"/>
      <c r="E73" s="67"/>
      <c r="F73" s="5"/>
      <c r="G73" s="5"/>
      <c r="H73" s="5"/>
      <c r="I73" s="5"/>
      <c r="J73" s="24"/>
    </row>
    <row r="74" spans="1:10">
      <c r="A74" t="s">
        <v>277</v>
      </c>
      <c r="B74">
        <v>21</v>
      </c>
      <c r="C74" s="5"/>
      <c r="D74" s="5"/>
      <c r="E74" s="67"/>
      <c r="F74" s="5"/>
      <c r="G74" s="5"/>
      <c r="H74" s="5"/>
      <c r="I74" s="5"/>
      <c r="J74" s="24"/>
    </row>
    <row r="75" spans="1:10">
      <c r="A75" t="s">
        <v>290</v>
      </c>
      <c r="B75">
        <v>22</v>
      </c>
      <c r="C75" s="5"/>
      <c r="D75" s="5"/>
      <c r="E75" s="67"/>
      <c r="F75" s="5"/>
      <c r="G75" s="5"/>
      <c r="H75" s="5"/>
      <c r="I75" s="5"/>
      <c r="J75" s="24"/>
    </row>
    <row r="76" spans="1:10">
      <c r="A76" t="s">
        <v>245</v>
      </c>
      <c r="B76">
        <v>23</v>
      </c>
      <c r="C76" s="16" t="s">
        <v>383</v>
      </c>
      <c r="D76" s="5"/>
      <c r="E76" s="67"/>
      <c r="F76" s="5"/>
      <c r="G76" s="5"/>
      <c r="H76" s="5"/>
      <c r="I76" s="5"/>
      <c r="J76" s="24"/>
    </row>
    <row r="77" spans="1:10">
      <c r="A77" s="66" t="s">
        <v>258</v>
      </c>
      <c r="B77">
        <v>24</v>
      </c>
      <c r="C77" s="16">
        <f>C44+C39+C31+C27+C19+C15+C8+C5</f>
        <v>4536144.08</v>
      </c>
      <c r="D77" s="16" t="s">
        <v>384</v>
      </c>
      <c r="E77" s="67"/>
      <c r="F77" s="5"/>
      <c r="G77" s="5"/>
      <c r="H77" s="5"/>
      <c r="I77" s="5"/>
      <c r="J77" s="24"/>
    </row>
    <row r="78" spans="1:10">
      <c r="A78" s="66" t="s">
        <v>262</v>
      </c>
      <c r="B78">
        <v>25</v>
      </c>
      <c r="C78" s="16">
        <f>C37+C32</f>
        <v>841831.26</v>
      </c>
      <c r="D78" s="16" t="s">
        <v>385</v>
      </c>
      <c r="E78" s="67"/>
      <c r="F78" s="5"/>
      <c r="G78" s="5"/>
      <c r="H78" s="5"/>
      <c r="I78" s="5"/>
      <c r="J78" s="24"/>
    </row>
    <row r="79" spans="1:10">
      <c r="A79" t="s">
        <v>263</v>
      </c>
      <c r="B79">
        <v>26</v>
      </c>
      <c r="C79" s="16"/>
      <c r="D79" s="16"/>
      <c r="E79" s="67"/>
      <c r="F79" s="5"/>
      <c r="G79" s="5"/>
      <c r="H79" s="5"/>
      <c r="I79" s="5"/>
      <c r="J79" s="24"/>
    </row>
    <row r="80" spans="1:10">
      <c r="A80" t="s">
        <v>269</v>
      </c>
      <c r="B80">
        <v>27</v>
      </c>
      <c r="C80" s="16"/>
      <c r="D80" s="5"/>
      <c r="E80" s="67"/>
      <c r="F80" s="5"/>
      <c r="G80" s="5"/>
      <c r="H80" s="5"/>
      <c r="I80" s="5"/>
      <c r="J80" s="24"/>
    </row>
    <row r="81" spans="1:10">
      <c r="A81" t="s">
        <v>277</v>
      </c>
      <c r="B81">
        <v>28</v>
      </c>
      <c r="C81" s="5"/>
      <c r="D81" s="16"/>
      <c r="E81" s="67"/>
      <c r="F81" s="5"/>
      <c r="G81" s="5"/>
      <c r="H81" s="5"/>
      <c r="I81" s="5"/>
      <c r="J81" s="24"/>
    </row>
    <row r="82" spans="1:10">
      <c r="A82" t="s">
        <v>290</v>
      </c>
      <c r="B82">
        <v>29</v>
      </c>
      <c r="C82" s="16">
        <f>C57+C43+C33</f>
        <v>1132383</v>
      </c>
      <c r="D82" s="16" t="s">
        <v>386</v>
      </c>
      <c r="E82" s="67"/>
      <c r="F82" s="5"/>
      <c r="G82" s="5"/>
      <c r="H82" s="5"/>
      <c r="I82" s="5"/>
      <c r="J82" s="24"/>
    </row>
    <row r="83" spans="1:10">
      <c r="A83" t="s">
        <v>245</v>
      </c>
      <c r="B83">
        <v>30</v>
      </c>
      <c r="C83" s="16">
        <f>C61+C48</f>
        <v>724382</v>
      </c>
      <c r="D83" s="16" t="s">
        <v>387</v>
      </c>
      <c r="E83" s="67"/>
      <c r="F83" s="5"/>
      <c r="G83" s="5"/>
      <c r="H83" s="5"/>
      <c r="I83" s="5"/>
      <c r="J83" s="24"/>
    </row>
    <row r="84" spans="1:10">
      <c r="A84" s="66" t="s">
        <v>258</v>
      </c>
      <c r="B84">
        <v>31</v>
      </c>
      <c r="C84" s="16">
        <f>C54+C41+C29+C63</f>
        <v>202657</v>
      </c>
      <c r="D84" s="16" t="s">
        <v>388</v>
      </c>
      <c r="E84" s="67"/>
      <c r="F84" s="5"/>
      <c r="G84" s="5"/>
      <c r="H84" s="5"/>
      <c r="I84" s="5"/>
      <c r="J84" s="24"/>
    </row>
    <row r="85" spans="1:10">
      <c r="C85" s="16">
        <f>C53</f>
        <v>160769</v>
      </c>
      <c r="D85" s="16" t="s">
        <v>389</v>
      </c>
      <c r="E85" s="67"/>
      <c r="F85" s="5"/>
      <c r="G85" s="5"/>
      <c r="H85" s="5"/>
      <c r="I85" s="5"/>
      <c r="J85" s="24"/>
    </row>
    <row r="86" spans="1:10">
      <c r="C86" s="16">
        <f>C49</f>
        <v>116637.08</v>
      </c>
      <c r="D86" s="16" t="s">
        <v>390</v>
      </c>
      <c r="E86" s="67"/>
      <c r="F86" s="5"/>
      <c r="G86" s="5"/>
      <c r="H86" s="5"/>
      <c r="I86" s="5"/>
      <c r="J86" s="24"/>
    </row>
    <row r="87" spans="1:10">
      <c r="A87" s="24"/>
      <c r="B87" s="24"/>
      <c r="C87" s="24"/>
      <c r="D87" s="26"/>
      <c r="E87" s="62"/>
      <c r="F87" s="62"/>
      <c r="G87" s="24"/>
      <c r="H87" s="24"/>
      <c r="I87" s="24"/>
      <c r="J87" s="24"/>
    </row>
  </sheetData>
  <phoneticPr fontId="13" type="noConversion"/>
  <pageMargins left="0.75" right="0.75" top="1" bottom="1" header="0" footer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2:H33"/>
  <sheetViews>
    <sheetView workbookViewId="0">
      <selection activeCell="C11" sqref="C11"/>
    </sheetView>
  </sheetViews>
  <sheetFormatPr baseColWidth="10" defaultRowHeight="12.75"/>
  <cols>
    <col min="1" max="1" width="26.140625" customWidth="1"/>
    <col min="2" max="2" width="13.42578125" customWidth="1"/>
    <col min="4" max="4" width="9.5703125" customWidth="1"/>
    <col min="6" max="6" width="14.7109375" customWidth="1"/>
    <col min="7" max="7" width="11.42578125" hidden="1" customWidth="1"/>
  </cols>
  <sheetData>
    <row r="2" spans="1:8">
      <c r="B2" s="1" t="s">
        <v>391</v>
      </c>
      <c r="C2" s="22"/>
      <c r="D2" s="1"/>
    </row>
    <row r="3" spans="1:8">
      <c r="B3" s="1"/>
      <c r="C3" s="22"/>
      <c r="D3" s="1"/>
    </row>
    <row r="4" spans="1:8">
      <c r="B4" s="1"/>
      <c r="C4" s="22"/>
      <c r="D4" s="1"/>
    </row>
    <row r="5" spans="1:8">
      <c r="B5" s="1" t="s">
        <v>392</v>
      </c>
      <c r="C5" s="22"/>
      <c r="D5" s="1"/>
    </row>
    <row r="6" spans="1:8">
      <c r="B6" s="1"/>
      <c r="C6" s="22"/>
      <c r="D6" s="1"/>
    </row>
    <row r="7" spans="1:8">
      <c r="B7" s="79"/>
      <c r="C7" s="22" t="s">
        <v>393</v>
      </c>
      <c r="D7" s="79" t="s">
        <v>394</v>
      </c>
    </row>
    <row r="9" spans="1:8">
      <c r="A9" s="80" t="s">
        <v>3</v>
      </c>
      <c r="B9" s="81"/>
      <c r="C9" s="82" t="s">
        <v>395</v>
      </c>
      <c r="D9" s="83" t="s">
        <v>396</v>
      </c>
      <c r="E9" s="83" t="s">
        <v>397</v>
      </c>
      <c r="F9" s="83" t="s">
        <v>120</v>
      </c>
      <c r="G9" s="84" t="s">
        <v>398</v>
      </c>
    </row>
    <row r="10" spans="1:8">
      <c r="A10" s="80" t="s">
        <v>399</v>
      </c>
      <c r="B10" s="81"/>
      <c r="C10" s="85">
        <f>10*D10</f>
        <v>14090</v>
      </c>
      <c r="D10" s="86">
        <v>1409</v>
      </c>
      <c r="E10" s="87">
        <v>35.76</v>
      </c>
      <c r="F10" s="88">
        <f t="shared" ref="F10:F27" si="0">E10*C10</f>
        <v>503858.39999999997</v>
      </c>
      <c r="G10" s="89">
        <f>E10+0.5</f>
        <v>36.26</v>
      </c>
    </row>
    <row r="11" spans="1:8">
      <c r="A11" s="80" t="s">
        <v>400</v>
      </c>
      <c r="B11" s="81"/>
      <c r="C11" s="90">
        <v>10146.9</v>
      </c>
      <c r="D11" s="91">
        <v>347</v>
      </c>
      <c r="E11" s="87">
        <v>47</v>
      </c>
      <c r="F11" s="88">
        <f t="shared" si="0"/>
        <v>476904.3</v>
      </c>
      <c r="G11" s="89"/>
    </row>
    <row r="12" spans="1:8">
      <c r="A12" s="80" t="s">
        <v>401</v>
      </c>
      <c r="B12" s="81"/>
      <c r="C12" s="90">
        <v>3851.63</v>
      </c>
      <c r="D12" s="91">
        <v>283</v>
      </c>
      <c r="E12" s="87">
        <v>34</v>
      </c>
      <c r="F12" s="88">
        <f>E12*C12</f>
        <v>130955.42</v>
      </c>
      <c r="G12" s="89"/>
    </row>
    <row r="13" spans="1:8">
      <c r="A13" s="80" t="s">
        <v>402</v>
      </c>
      <c r="B13" s="81"/>
      <c r="C13" s="90">
        <v>4668.2299999999996</v>
      </c>
      <c r="D13" s="91">
        <v>343</v>
      </c>
      <c r="E13" s="87">
        <v>33.21</v>
      </c>
      <c r="F13" s="88">
        <f>E13*C13</f>
        <v>155031.91829999999</v>
      </c>
      <c r="G13" s="89"/>
    </row>
    <row r="14" spans="1:8">
      <c r="A14" s="80" t="s">
        <v>403</v>
      </c>
      <c r="B14" s="81"/>
      <c r="C14" s="90">
        <v>2808</v>
      </c>
      <c r="D14" s="91">
        <v>216</v>
      </c>
      <c r="E14" s="87">
        <v>25</v>
      </c>
      <c r="F14" s="88">
        <f t="shared" si="0"/>
        <v>70200</v>
      </c>
      <c r="G14" s="89"/>
      <c r="H14" s="92"/>
    </row>
    <row r="15" spans="1:8">
      <c r="A15" s="80" t="s">
        <v>404</v>
      </c>
      <c r="B15" s="81"/>
      <c r="C15" s="90">
        <v>12665.3</v>
      </c>
      <c r="D15" s="91">
        <v>745</v>
      </c>
      <c r="E15" s="87">
        <v>34.07</v>
      </c>
      <c r="F15" s="88">
        <f t="shared" si="0"/>
        <v>431506.77099999995</v>
      </c>
      <c r="G15" s="89">
        <f>E15+0.5</f>
        <v>34.57</v>
      </c>
    </row>
    <row r="16" spans="1:8">
      <c r="A16" s="80" t="s">
        <v>405</v>
      </c>
      <c r="B16" s="81"/>
      <c r="C16" s="90">
        <v>15950.92</v>
      </c>
      <c r="D16" s="91">
        <v>586</v>
      </c>
      <c r="E16" s="87">
        <v>15.35</v>
      </c>
      <c r="F16" s="88">
        <f t="shared" si="0"/>
        <v>244846.622</v>
      </c>
      <c r="G16" s="89"/>
    </row>
    <row r="17" spans="1:8">
      <c r="A17" s="80" t="s">
        <v>406</v>
      </c>
      <c r="B17" s="81"/>
      <c r="C17" s="90">
        <v>12167.34</v>
      </c>
      <c r="D17" s="91">
        <v>447</v>
      </c>
      <c r="E17" s="87">
        <v>14.5</v>
      </c>
      <c r="F17" s="88">
        <f t="shared" si="0"/>
        <v>176426.43</v>
      </c>
      <c r="G17" s="89"/>
      <c r="H17" s="93"/>
    </row>
    <row r="18" spans="1:8">
      <c r="A18" s="80" t="s">
        <v>407</v>
      </c>
      <c r="B18" s="81"/>
      <c r="C18" s="90">
        <f>2866.38+4247.28+2740.52</f>
        <v>9854.18</v>
      </c>
      <c r="D18" s="91">
        <f>165+207+168</f>
        <v>540</v>
      </c>
      <c r="E18" s="87">
        <v>57.7</v>
      </c>
      <c r="F18" s="88">
        <f t="shared" si="0"/>
        <v>568586.18599999999</v>
      </c>
      <c r="G18" s="89"/>
      <c r="H18" s="93"/>
    </row>
    <row r="19" spans="1:8">
      <c r="A19" s="80" t="s">
        <v>408</v>
      </c>
      <c r="B19" s="81"/>
      <c r="C19" s="90">
        <v>2270.79</v>
      </c>
      <c r="D19" s="91">
        <v>107</v>
      </c>
      <c r="E19" s="87">
        <v>62</v>
      </c>
      <c r="F19" s="88">
        <f t="shared" si="0"/>
        <v>140788.98000000001</v>
      </c>
      <c r="G19" s="89"/>
      <c r="H19" s="93"/>
    </row>
    <row r="20" spans="1:8">
      <c r="A20" s="80" t="s">
        <v>409</v>
      </c>
      <c r="B20" s="81"/>
      <c r="C20" s="90">
        <v>1450</v>
      </c>
      <c r="D20" s="91">
        <v>145</v>
      </c>
      <c r="E20" s="87">
        <v>44.5</v>
      </c>
      <c r="F20" s="88">
        <f t="shared" si="0"/>
        <v>64525</v>
      </c>
      <c r="G20" s="89"/>
      <c r="H20" s="93"/>
    </row>
    <row r="21" spans="1:8">
      <c r="A21" s="80" t="s">
        <v>410</v>
      </c>
      <c r="B21" s="81"/>
      <c r="C21" s="90">
        <v>2286.48</v>
      </c>
      <c r="D21" s="91">
        <v>168</v>
      </c>
      <c r="E21" s="87">
        <v>36.5</v>
      </c>
      <c r="F21" s="88">
        <f t="shared" si="0"/>
        <v>83456.52</v>
      </c>
      <c r="G21" s="89"/>
      <c r="H21" s="93"/>
    </row>
    <row r="22" spans="1:8">
      <c r="A22" s="80" t="s">
        <v>411</v>
      </c>
      <c r="B22" s="81"/>
      <c r="C22" s="90">
        <v>254.08</v>
      </c>
      <c r="D22" s="91">
        <v>8</v>
      </c>
      <c r="E22" s="87">
        <v>15</v>
      </c>
      <c r="F22" s="88">
        <f t="shared" si="0"/>
        <v>3811.2000000000003</v>
      </c>
      <c r="G22" s="89"/>
      <c r="H22" s="93"/>
    </row>
    <row r="23" spans="1:8">
      <c r="A23" s="80" t="s">
        <v>412</v>
      </c>
      <c r="B23" s="81"/>
      <c r="C23" s="90">
        <f>27.22*D23</f>
        <v>73820.639999999999</v>
      </c>
      <c r="D23" s="91">
        <v>2712</v>
      </c>
      <c r="E23" s="87">
        <v>14.2</v>
      </c>
      <c r="F23" s="88">
        <f t="shared" si="0"/>
        <v>1048253.088</v>
      </c>
      <c r="G23" s="89"/>
      <c r="H23" s="93"/>
    </row>
    <row r="24" spans="1:8">
      <c r="A24" s="80" t="s">
        <v>413</v>
      </c>
      <c r="B24" s="81"/>
      <c r="C24" s="90">
        <v>952.56</v>
      </c>
      <c r="D24" s="91">
        <v>42</v>
      </c>
      <c r="E24" s="87">
        <v>15</v>
      </c>
      <c r="F24" s="88">
        <f t="shared" si="0"/>
        <v>14288.4</v>
      </c>
      <c r="G24" s="89">
        <f>E24+0.5</f>
        <v>15.5</v>
      </c>
      <c r="H24" s="93"/>
    </row>
    <row r="25" spans="1:8">
      <c r="A25" s="80" t="s">
        <v>414</v>
      </c>
      <c r="B25" s="81"/>
      <c r="C25" s="90">
        <v>1350</v>
      </c>
      <c r="D25" s="91">
        <v>90</v>
      </c>
      <c r="E25" s="87">
        <v>13</v>
      </c>
      <c r="F25" s="88">
        <f t="shared" si="0"/>
        <v>17550</v>
      </c>
      <c r="G25" s="89"/>
      <c r="H25" s="93"/>
    </row>
    <row r="26" spans="1:8">
      <c r="A26" s="80" t="s">
        <v>415</v>
      </c>
      <c r="B26" s="81"/>
      <c r="C26" s="90">
        <v>9759.65</v>
      </c>
      <c r="D26" s="91">
        <v>1793</v>
      </c>
      <c r="E26" s="87">
        <v>37.659999999999997</v>
      </c>
      <c r="F26" s="88">
        <f>E26*C26</f>
        <v>367548.41899999994</v>
      </c>
      <c r="G26" s="89">
        <f>E26+0.5</f>
        <v>38.159999999999997</v>
      </c>
    </row>
    <row r="27" spans="1:8">
      <c r="A27" s="80" t="s">
        <v>416</v>
      </c>
      <c r="B27" s="81"/>
      <c r="C27" s="90">
        <v>4055.78</v>
      </c>
      <c r="D27" s="91">
        <v>298</v>
      </c>
      <c r="E27" s="87">
        <v>29.59</v>
      </c>
      <c r="F27" s="88">
        <f t="shared" si="0"/>
        <v>120010.53020000001</v>
      </c>
      <c r="G27" s="89">
        <f>E27+0.5</f>
        <v>30.09</v>
      </c>
    </row>
    <row r="28" spans="1:8">
      <c r="A28" s="94"/>
      <c r="B28" s="94"/>
      <c r="C28" s="95"/>
      <c r="D28" s="96"/>
      <c r="E28" s="97"/>
      <c r="F28" s="98"/>
      <c r="G28" s="89"/>
    </row>
    <row r="29" spans="1:8">
      <c r="A29" s="99"/>
      <c r="B29" s="1" t="s">
        <v>120</v>
      </c>
      <c r="C29" s="22">
        <f>SUM(C10:C28)</f>
        <v>182402.47999999998</v>
      </c>
      <c r="D29" s="1">
        <f>SUM(D10:D28)</f>
        <v>10279</v>
      </c>
      <c r="E29" s="62"/>
      <c r="F29" s="16">
        <f>SUM(F10:F28)</f>
        <v>4618548.1844999995</v>
      </c>
      <c r="G29" s="89"/>
    </row>
    <row r="30" spans="1:8" s="20" customFormat="1">
      <c r="A30" s="99"/>
      <c r="B30" s="99"/>
      <c r="C30" s="19"/>
      <c r="E30" s="100"/>
      <c r="F30" s="101"/>
      <c r="G30" s="102"/>
    </row>
    <row r="33" spans="4:6">
      <c r="D33" s="15"/>
      <c r="E33" s="15"/>
      <c r="F33" s="103"/>
    </row>
  </sheetData>
  <phoneticPr fontId="13" type="noConversion"/>
  <pageMargins left="0.75" right="0.75" top="1" bottom="1" header="0" footer="0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58"/>
  <sheetViews>
    <sheetView zoomScale="75" workbookViewId="0">
      <selection activeCell="G34" sqref="G34:H34"/>
    </sheetView>
  </sheetViews>
  <sheetFormatPr baseColWidth="10" defaultRowHeight="12.75"/>
  <cols>
    <col min="1" max="1" width="17.5703125" customWidth="1"/>
    <col min="2" max="2" width="27" customWidth="1"/>
    <col min="3" max="3" width="13.42578125" customWidth="1"/>
    <col min="4" max="8" width="15.140625" customWidth="1"/>
    <col min="9" max="9" width="14" style="7" customWidth="1"/>
    <col min="10" max="10" width="17.5703125" style="7" customWidth="1"/>
  </cols>
  <sheetData>
    <row r="1" spans="1:10">
      <c r="C1" s="2"/>
    </row>
    <row r="2" spans="1:10" ht="20.25">
      <c r="B2" s="104" t="s">
        <v>391</v>
      </c>
    </row>
    <row r="3" spans="1:10">
      <c r="A3" s="105"/>
      <c r="C3" s="2"/>
    </row>
    <row r="4" spans="1:10">
      <c r="A4" s="105"/>
      <c r="C4" s="2"/>
    </row>
    <row r="5" spans="1:10" ht="18">
      <c r="B5" s="106" t="s">
        <v>392</v>
      </c>
    </row>
    <row r="6" spans="1:10" ht="12.75" customHeight="1">
      <c r="B6" t="s">
        <v>417</v>
      </c>
    </row>
    <row r="7" spans="1:10" ht="17.25" customHeight="1">
      <c r="A7" s="106" t="s">
        <v>418</v>
      </c>
      <c r="B7" s="20"/>
      <c r="C7" s="107"/>
      <c r="D7" s="108"/>
      <c r="E7" s="108"/>
      <c r="F7" s="108"/>
      <c r="G7" s="108"/>
      <c r="H7" s="108"/>
      <c r="I7" s="56"/>
    </row>
    <row r="8" spans="1:10" ht="12.75" customHeight="1">
      <c r="B8" s="20"/>
      <c r="C8" s="107" t="s">
        <v>419</v>
      </c>
      <c r="D8" s="109"/>
      <c r="E8" s="110" t="s">
        <v>420</v>
      </c>
      <c r="F8" s="109"/>
      <c r="G8" s="110" t="s">
        <v>421</v>
      </c>
      <c r="H8" s="109"/>
      <c r="I8" s="56"/>
    </row>
    <row r="9" spans="1:10" ht="15.95" customHeight="1">
      <c r="A9" s="111" t="s">
        <v>3</v>
      </c>
      <c r="B9" s="112"/>
      <c r="C9" s="113" t="s">
        <v>395</v>
      </c>
      <c r="D9" s="114" t="s">
        <v>396</v>
      </c>
      <c r="E9" s="113" t="s">
        <v>395</v>
      </c>
      <c r="F9" s="114" t="s">
        <v>396</v>
      </c>
      <c r="G9" s="113" t="s">
        <v>395</v>
      </c>
      <c r="H9" s="114" t="s">
        <v>396</v>
      </c>
      <c r="I9" s="114" t="s">
        <v>397</v>
      </c>
      <c r="J9" s="114" t="s">
        <v>120</v>
      </c>
    </row>
    <row r="10" spans="1:10" ht="15.95" hidden="1" customHeight="1">
      <c r="A10" s="115" t="str">
        <f>'[1]Bolsa 25X35'!$C$5</f>
        <v>BOLSA 25X35</v>
      </c>
      <c r="B10" s="116"/>
      <c r="C10" s="117">
        <f>'[1]Bolsa 25X35'!$G$208</f>
        <v>0</v>
      </c>
      <c r="D10" s="118">
        <f>'[1]Bolsa 25X35'!$H$208</f>
        <v>0</v>
      </c>
      <c r="E10" s="118"/>
      <c r="F10" s="118"/>
      <c r="G10" s="118"/>
      <c r="H10" s="118"/>
      <c r="I10" s="119">
        <v>22</v>
      </c>
      <c r="J10" s="119">
        <f>I10*C10</f>
        <v>0</v>
      </c>
    </row>
    <row r="11" spans="1:10" ht="15.95" hidden="1" customHeight="1">
      <c r="A11" s="115" t="str">
        <f>'[1]Bolsa 30X40'!C5</f>
        <v>BOLSA 30X40</v>
      </c>
      <c r="B11" s="116"/>
      <c r="C11" s="117">
        <f>'[1]Bolsa 30X40'!G207</f>
        <v>0</v>
      </c>
      <c r="D11" s="120">
        <f>'[1]Bolsa 30X40'!H207</f>
        <v>0</v>
      </c>
      <c r="E11" s="120"/>
      <c r="F11" s="120"/>
      <c r="G11" s="120"/>
      <c r="H11" s="120"/>
      <c r="I11" s="119">
        <v>22</v>
      </c>
      <c r="J11" s="119">
        <f>I11*C11</f>
        <v>0</v>
      </c>
    </row>
    <row r="12" spans="1:10" ht="15.95" hidden="1" customHeight="1">
      <c r="A12" s="121" t="str">
        <f>'[1]Bolsa 35X45'!$C$5</f>
        <v>BOLSA 35X45</v>
      </c>
      <c r="B12" s="122"/>
      <c r="C12" s="117">
        <f>'[1]Bolsa 35X45'!$G$208</f>
        <v>0</v>
      </c>
      <c r="D12" s="118">
        <f>'[1]Bolsa 35X45'!$H$208</f>
        <v>0</v>
      </c>
      <c r="E12" s="118"/>
      <c r="F12" s="118"/>
      <c r="G12" s="118"/>
      <c r="H12" s="118"/>
      <c r="I12" s="119">
        <v>22</v>
      </c>
      <c r="J12" s="119">
        <f>I12*C12</f>
        <v>0</v>
      </c>
    </row>
    <row r="13" spans="1:10" ht="15.95" hidden="1" customHeight="1">
      <c r="A13" s="123" t="str">
        <f>'[1]Bolsa 40X60'!$C$5</f>
        <v>BOLSA 40X60</v>
      </c>
      <c r="B13" s="124"/>
      <c r="C13" s="117">
        <f>'[1]Bolsa 40X60'!$G$208</f>
        <v>0</v>
      </c>
      <c r="D13" s="118">
        <f>'[1]Bolsa 40X60'!$H$208</f>
        <v>0</v>
      </c>
      <c r="E13" s="118"/>
      <c r="F13" s="118"/>
      <c r="G13" s="118"/>
      <c r="H13" s="118"/>
      <c r="I13" s="119">
        <v>22</v>
      </c>
      <c r="J13" s="119">
        <f>I13*C13</f>
        <v>0</v>
      </c>
    </row>
    <row r="14" spans="1:10" ht="15.95" customHeight="1">
      <c r="A14" s="121" t="str">
        <f>'[1]BUCHE MAPLE'!$C$5</f>
        <v>BUCHE MAPLE 10kg</v>
      </c>
      <c r="B14" s="122"/>
      <c r="C14" s="117">
        <f>'[1]BUCHE MAPLE'!$G$212</f>
        <v>14090</v>
      </c>
      <c r="D14" s="125">
        <f>'[1]BUCHE MAPLE'!$H$212</f>
        <v>1409</v>
      </c>
      <c r="E14" s="126">
        <v>14090</v>
      </c>
      <c r="F14" s="125">
        <v>1409</v>
      </c>
      <c r="G14" s="117">
        <f>E14-C14</f>
        <v>0</v>
      </c>
      <c r="H14" s="118">
        <f>F14-D14</f>
        <v>0</v>
      </c>
      <c r="I14" s="119">
        <v>35.76</v>
      </c>
      <c r="J14" s="119">
        <f>I14*E14</f>
        <v>503858.39999999997</v>
      </c>
    </row>
    <row r="15" spans="1:10" ht="15.95" hidden="1" customHeight="1">
      <c r="A15" s="127" t="str">
        <f>'[1]CABEZA DE LOMO MAPLE'!$C$5</f>
        <v>CABEZA DE LOMO MAPLE</v>
      </c>
      <c r="B15" s="128"/>
      <c r="C15" s="117">
        <f>'[1]CABEZA DE LOMO MAPLE'!$G$211</f>
        <v>0</v>
      </c>
      <c r="D15" s="125">
        <f>'[1]CABEZA DE LOMO MAPLE'!$H$211</f>
        <v>0</v>
      </c>
      <c r="E15" s="126"/>
      <c r="F15" s="125"/>
      <c r="G15" s="117">
        <f t="shared" ref="G15:H49" si="0">E15-C15</f>
        <v>0</v>
      </c>
      <c r="H15" s="118">
        <f t="shared" si="0"/>
        <v>0</v>
      </c>
      <c r="I15" s="119">
        <v>23</v>
      </c>
      <c r="J15" s="119">
        <f t="shared" ref="J15:J49" si="1">I15*E15</f>
        <v>0</v>
      </c>
    </row>
    <row r="16" spans="1:10" ht="15.95" hidden="1" customHeight="1">
      <c r="A16" s="117" t="str">
        <f>'[1]Cabeza Puerco Premium'!$C$5</f>
        <v>CABEZA PUERCO PREMIUM</v>
      </c>
      <c r="B16" s="129"/>
      <c r="C16" s="117">
        <f>'[1]Cabeza Puerco Premium'!$G$208</f>
        <v>0</v>
      </c>
      <c r="D16" s="125">
        <f>'[1]Cabeza Puerco Premium'!$H$208</f>
        <v>0</v>
      </c>
      <c r="E16" s="126"/>
      <c r="F16" s="125"/>
      <c r="G16" s="117">
        <f t="shared" si="0"/>
        <v>0</v>
      </c>
      <c r="H16" s="118">
        <f t="shared" si="0"/>
        <v>0</v>
      </c>
      <c r="I16" s="119">
        <v>13</v>
      </c>
      <c r="J16" s="119">
        <f t="shared" si="1"/>
        <v>0</v>
      </c>
    </row>
    <row r="17" spans="1:12" ht="15.95" hidden="1" customHeight="1">
      <c r="A17" s="117" t="str">
        <f>'[1]CONTRA IBP'!$C$5</f>
        <v>CONTRA (GOOSENECK) IBP</v>
      </c>
      <c r="B17" s="129"/>
      <c r="C17" s="117">
        <f>'[1]CONTRA IBP'!$G$196</f>
        <v>0</v>
      </c>
      <c r="D17" s="125">
        <f>'[1]CONTRA IBP'!$H$196</f>
        <v>0</v>
      </c>
      <c r="E17" s="126"/>
      <c r="F17" s="125"/>
      <c r="G17" s="117">
        <f t="shared" si="0"/>
        <v>0</v>
      </c>
      <c r="H17" s="118">
        <f t="shared" si="0"/>
        <v>0</v>
      </c>
      <c r="I17" s="119">
        <v>50.5</v>
      </c>
      <c r="J17" s="119">
        <f t="shared" si="1"/>
        <v>0</v>
      </c>
    </row>
    <row r="18" spans="1:12" ht="15.95" hidden="1" customHeight="1">
      <c r="A18" s="117" t="str">
        <f>'[1]Cabeza de Lomo'!$C$5</f>
        <v>CABEZA DE LOMO</v>
      </c>
      <c r="B18" s="129"/>
      <c r="C18" s="117">
        <f>'[1]Cabeza de Lomo'!$G$207</f>
        <v>0</v>
      </c>
      <c r="D18" s="125">
        <f>'[1]Cabeza de Lomo'!$H$207</f>
        <v>0</v>
      </c>
      <c r="E18" s="126"/>
      <c r="F18" s="125"/>
      <c r="G18" s="117">
        <f t="shared" si="0"/>
        <v>0</v>
      </c>
      <c r="H18" s="118">
        <f t="shared" si="0"/>
        <v>0</v>
      </c>
      <c r="I18" s="119">
        <v>26</v>
      </c>
      <c r="J18" s="119">
        <f t="shared" si="1"/>
        <v>0</v>
      </c>
    </row>
    <row r="19" spans="1:12" ht="15.95" hidden="1" customHeight="1">
      <c r="A19" s="130" t="str">
        <f>'[1]CAÑA DE L.MAPLE'!C1</f>
        <v>CAÑA DE LOMO MAPLE</v>
      </c>
      <c r="B19" s="131"/>
      <c r="C19" s="117">
        <f>'[1]CAÑA DE L.MAPLE'!$G$73</f>
        <v>0</v>
      </c>
      <c r="D19" s="125">
        <f>'[1]CAÑA DE L.MAPLE'!$H$73</f>
        <v>0</v>
      </c>
      <c r="E19" s="126"/>
      <c r="F19" s="125"/>
      <c r="G19" s="117">
        <f t="shared" si="0"/>
        <v>0</v>
      </c>
      <c r="H19" s="118">
        <f t="shared" si="0"/>
        <v>0</v>
      </c>
      <c r="I19" s="119">
        <v>40.090000000000003</v>
      </c>
      <c r="J19" s="119">
        <f t="shared" si="1"/>
        <v>0</v>
      </c>
    </row>
    <row r="20" spans="1:12" ht="15.95" hidden="1" customHeight="1">
      <c r="A20" s="121" t="str">
        <f>[1]CARNERO!$C$5</f>
        <v>CARNERO DOWN  UNDER</v>
      </c>
      <c r="B20" s="122"/>
      <c r="C20" s="117">
        <f>[1]CARNERO!$G$208</f>
        <v>0</v>
      </c>
      <c r="D20" s="125">
        <f>[1]CARNERO!$H$208</f>
        <v>0</v>
      </c>
      <c r="E20" s="126"/>
      <c r="F20" s="125"/>
      <c r="G20" s="117">
        <f t="shared" si="0"/>
        <v>0</v>
      </c>
      <c r="H20" s="118">
        <f t="shared" si="0"/>
        <v>0</v>
      </c>
      <c r="I20" s="119">
        <v>53.5</v>
      </c>
      <c r="J20" s="119">
        <f t="shared" si="1"/>
        <v>0</v>
      </c>
    </row>
    <row r="21" spans="1:12" ht="15.95" hidden="1" customHeight="1">
      <c r="A21" s="127" t="str">
        <f>'[1]Contra Excel'!C5</f>
        <v>CONTRA EXCEL</v>
      </c>
      <c r="B21" s="128"/>
      <c r="C21" s="120">
        <f>'[1]Contra Excel'!G208</f>
        <v>0</v>
      </c>
      <c r="D21" s="125">
        <f>'[1]Contra Excel'!H208</f>
        <v>0</v>
      </c>
      <c r="E21" s="126"/>
      <c r="F21" s="125"/>
      <c r="G21" s="117">
        <f t="shared" si="0"/>
        <v>0</v>
      </c>
      <c r="H21" s="118">
        <f t="shared" si="0"/>
        <v>0</v>
      </c>
      <c r="I21" s="119">
        <v>43</v>
      </c>
      <c r="J21" s="119">
        <f t="shared" si="1"/>
        <v>0</v>
      </c>
    </row>
    <row r="22" spans="1:12" s="137" customFormat="1" ht="15.95" customHeight="1">
      <c r="A22" s="132" t="str">
        <f>'[1]CONTRA SWIFT'!C5</f>
        <v>CONTRA (GOOSENECK) SWIFT</v>
      </c>
      <c r="B22" s="133"/>
      <c r="C22" s="132">
        <f>'[1]CONTRA SWIFT'!$G$198</f>
        <v>10146.949999999997</v>
      </c>
      <c r="D22" s="134">
        <f>'[1]CONTRA SWIFT'!$H$198</f>
        <v>347</v>
      </c>
      <c r="E22" s="135">
        <v>10146.9</v>
      </c>
      <c r="F22" s="134">
        <v>347</v>
      </c>
      <c r="G22" s="117">
        <f t="shared" si="0"/>
        <v>-4.9999999997453415E-2</v>
      </c>
      <c r="H22" s="118">
        <f t="shared" si="0"/>
        <v>0</v>
      </c>
      <c r="I22" s="136">
        <v>47</v>
      </c>
      <c r="J22" s="119">
        <f t="shared" si="1"/>
        <v>476904.3</v>
      </c>
    </row>
    <row r="23" spans="1:12" ht="15.95" customHeight="1">
      <c r="A23" s="117" t="str">
        <f>'[1]CORBATA Farmland chica'!$C$5</f>
        <v>CORBATA  FARMLAND chica 13.00</v>
      </c>
      <c r="B23" s="129"/>
      <c r="C23" s="117">
        <f>'[1]CORBATA Farmland chica'!$G$209</f>
        <v>2808</v>
      </c>
      <c r="D23" s="125">
        <f>'[1]CORBATA Farmland chica'!$H$209</f>
        <v>216</v>
      </c>
      <c r="E23" s="126">
        <v>2808</v>
      </c>
      <c r="F23" s="125">
        <v>216</v>
      </c>
      <c r="G23" s="117">
        <f t="shared" si="0"/>
        <v>0</v>
      </c>
      <c r="H23" s="118">
        <f t="shared" si="0"/>
        <v>0</v>
      </c>
      <c r="I23" s="119">
        <v>25</v>
      </c>
      <c r="J23" s="119">
        <f t="shared" si="1"/>
        <v>70200</v>
      </c>
    </row>
    <row r="24" spans="1:12" ht="15.95" customHeight="1">
      <c r="A24" s="117" t="str">
        <f>'[1]Corbata seaboard'!$C$5</f>
        <v>CORBATA  SEABOARD</v>
      </c>
      <c r="B24" s="129"/>
      <c r="C24" s="117">
        <f>'[1]Corbata seaboard'!$G$207</f>
        <v>12637.199999999997</v>
      </c>
      <c r="D24" s="125">
        <f>'[1]Corbata seaboard'!$H$207</f>
        <v>745</v>
      </c>
      <c r="E24" s="126">
        <v>12665.3</v>
      </c>
      <c r="F24" s="125">
        <v>745</v>
      </c>
      <c r="G24" s="117">
        <f t="shared" si="0"/>
        <v>28.100000000002183</v>
      </c>
      <c r="H24" s="118">
        <f t="shared" si="0"/>
        <v>0</v>
      </c>
      <c r="I24" s="119">
        <v>34.07</v>
      </c>
      <c r="J24" s="119">
        <f t="shared" si="1"/>
        <v>431506.77099999995</v>
      </c>
    </row>
    <row r="25" spans="1:12" ht="15.95" customHeight="1">
      <c r="A25" s="117" t="str">
        <f>'[1]CORBATA CURLY.S'!$C$5</f>
        <v>CORBATA CURLY'S  13.61</v>
      </c>
      <c r="B25" s="129"/>
      <c r="C25" s="117">
        <f>'[1]CORBATA CURLY.S'!$G$209</f>
        <v>3851.6300000000006</v>
      </c>
      <c r="D25" s="125">
        <f>'[1]CORBATA CURLY.S'!$H$209</f>
        <v>283</v>
      </c>
      <c r="E25" s="126">
        <v>3851.63</v>
      </c>
      <c r="F25" s="125">
        <v>283</v>
      </c>
      <c r="G25" s="117">
        <f t="shared" si="0"/>
        <v>0</v>
      </c>
      <c r="H25" s="118">
        <f t="shared" si="0"/>
        <v>0</v>
      </c>
      <c r="I25" s="119">
        <v>34</v>
      </c>
      <c r="J25" s="119">
        <f t="shared" si="1"/>
        <v>130955.42</v>
      </c>
    </row>
    <row r="26" spans="1:12" ht="15.95" customHeight="1">
      <c r="A26" s="117" t="str">
        <f>'[1]CORBATA FARMLAND GDE.'!$C$5</f>
        <v>CORBATA FARMLAND GDE. 13.61</v>
      </c>
      <c r="B26" s="129"/>
      <c r="C26" s="117">
        <f>'[1]CORBATA FARMLAND GDE.'!$G$210</f>
        <v>4668.2300000000005</v>
      </c>
      <c r="D26" s="125">
        <f>'[1]CORBATA FARMLAND GDE.'!$H$210</f>
        <v>343</v>
      </c>
      <c r="E26" s="126">
        <v>4668.2299999999996</v>
      </c>
      <c r="F26" s="125">
        <v>343</v>
      </c>
      <c r="G26" s="117">
        <f t="shared" si="0"/>
        <v>0</v>
      </c>
      <c r="H26" s="118">
        <f t="shared" si="0"/>
        <v>0</v>
      </c>
      <c r="I26" s="119">
        <v>33.21</v>
      </c>
      <c r="J26" s="119">
        <f t="shared" si="1"/>
        <v>155031.91829999999</v>
      </c>
    </row>
    <row r="27" spans="1:12" ht="15.95" customHeight="1">
      <c r="A27" s="117" t="str">
        <f>'[1]CUERO PAPEL BELLY'!$C$5</f>
        <v>CUERO PAPEL BELLY FARMLAND 27.22</v>
      </c>
      <c r="B27" s="129"/>
      <c r="C27" s="117">
        <f>'[1]CUERO PAPEL BELLY'!$G$217</f>
        <v>15950.919999999998</v>
      </c>
      <c r="D27" s="125">
        <f>'[1]CUERO PAPEL BELLY'!$H$217</f>
        <v>586</v>
      </c>
      <c r="E27" s="126">
        <v>15950.92</v>
      </c>
      <c r="F27" s="125">
        <v>586</v>
      </c>
      <c r="G27" s="117">
        <f t="shared" si="0"/>
        <v>0</v>
      </c>
      <c r="H27" s="118">
        <f t="shared" si="0"/>
        <v>0</v>
      </c>
      <c r="I27" s="119">
        <v>15.35</v>
      </c>
      <c r="J27" s="119">
        <f t="shared" si="1"/>
        <v>244846.622</v>
      </c>
    </row>
    <row r="28" spans="1:12" ht="15.95" hidden="1" customHeight="1">
      <c r="A28" s="117" t="str">
        <f>'[1]Corbata seaboard'!$C$5</f>
        <v>CORBATA  SEABOARD</v>
      </c>
      <c r="B28" s="129"/>
      <c r="C28" s="117">
        <f>'[1]costilla Rupari'!$G$208</f>
        <v>0</v>
      </c>
      <c r="D28" s="125">
        <f>'[1]costilla Rupari'!$H$208</f>
        <v>0</v>
      </c>
      <c r="E28" s="126"/>
      <c r="F28" s="125"/>
      <c r="G28" s="117">
        <f t="shared" si="0"/>
        <v>0</v>
      </c>
      <c r="H28" s="118">
        <f t="shared" si="0"/>
        <v>0</v>
      </c>
      <c r="I28" s="119">
        <v>10.89</v>
      </c>
      <c r="J28" s="119">
        <f t="shared" si="1"/>
        <v>0</v>
      </c>
    </row>
    <row r="29" spans="1:12" ht="15.95" customHeight="1">
      <c r="A29" s="117" t="str">
        <f>'[1]Cuero SMITHFIELD'!$C$5</f>
        <v>CUERO SMITHFIELD 27.22</v>
      </c>
      <c r="B29" s="129"/>
      <c r="C29" s="117">
        <f>'[1]Cuero SMITHFIELD'!$G$209</f>
        <v>12164.840000000002</v>
      </c>
      <c r="D29" s="125">
        <f>'[1]Cuero SMITHFIELD'!$H$209</f>
        <v>447</v>
      </c>
      <c r="E29" s="126">
        <v>12167.34</v>
      </c>
      <c r="F29" s="125">
        <v>447</v>
      </c>
      <c r="G29" s="117">
        <f t="shared" si="0"/>
        <v>2.499999999998181</v>
      </c>
      <c r="H29" s="118">
        <f t="shared" si="0"/>
        <v>0</v>
      </c>
      <c r="I29" s="119">
        <v>14.5</v>
      </c>
      <c r="J29" s="119">
        <f t="shared" si="1"/>
        <v>176426.43</v>
      </c>
    </row>
    <row r="30" spans="1:12" ht="15.95" hidden="1" customHeight="1">
      <c r="A30" s="117" t="str">
        <f>'[1]Filete de pescado'!C5</f>
        <v>FILETE DE PESCADO</v>
      </c>
      <c r="B30" s="129"/>
      <c r="C30" s="117">
        <f>'[1]Filete de pescado'!G207</f>
        <v>0</v>
      </c>
      <c r="D30" s="125">
        <f>'[1]Filete de pescado'!H207</f>
        <v>0</v>
      </c>
      <c r="E30" s="126"/>
      <c r="F30" s="125"/>
      <c r="G30" s="117">
        <f t="shared" si="0"/>
        <v>0</v>
      </c>
      <c r="H30" s="118">
        <f t="shared" si="0"/>
        <v>0</v>
      </c>
      <c r="I30" s="119">
        <v>23</v>
      </c>
      <c r="J30" s="119">
        <f t="shared" si="1"/>
        <v>0</v>
      </c>
    </row>
    <row r="31" spans="1:12" ht="15.95" customHeight="1">
      <c r="A31" s="138" t="str">
        <f>'[1]ESPALDILLA DE CARNERO '!$C$5</f>
        <v>ESPALDILLA DE CARNERO TAYLOR PRESTON</v>
      </c>
      <c r="B31" s="129"/>
      <c r="C31" s="117">
        <f>'[1]ESPALDILLA DE CARNERO '!$G$207</f>
        <v>9849.5400000000009</v>
      </c>
      <c r="D31" s="125">
        <f>'[1]ESPALDILLA DE CARNERO '!$H$207</f>
        <v>540</v>
      </c>
      <c r="E31" s="126">
        <f>2866.38+4247.28+2740.52</f>
        <v>9854.18</v>
      </c>
      <c r="F31" s="125">
        <f>165+207+168</f>
        <v>540</v>
      </c>
      <c r="G31" s="117">
        <f t="shared" si="0"/>
        <v>4.6399999999994179</v>
      </c>
      <c r="H31" s="118">
        <f t="shared" si="0"/>
        <v>0</v>
      </c>
      <c r="I31" s="119">
        <v>57.7</v>
      </c>
      <c r="J31" s="119">
        <f t="shared" si="1"/>
        <v>568586.18599999999</v>
      </c>
    </row>
    <row r="32" spans="1:12" ht="15.95" hidden="1" customHeight="1">
      <c r="A32" s="117" t="str">
        <f>'[1]CUERO SIN GRASA MAPLE'!C1</f>
        <v>CUERO SIN GRASA MAPLE 27.22</v>
      </c>
      <c r="B32" s="129"/>
      <c r="C32" s="117">
        <f>'[1]CUERO SIN GRASA MAPLE'!$G$71</f>
        <v>0</v>
      </c>
      <c r="D32" s="125">
        <f>'[1]CUERO SIN GRASA MAPLE'!$H$71</f>
        <v>0</v>
      </c>
      <c r="E32" s="126"/>
      <c r="F32" s="125"/>
      <c r="G32" s="117">
        <f t="shared" si="0"/>
        <v>0</v>
      </c>
      <c r="H32" s="118">
        <f t="shared" si="0"/>
        <v>0</v>
      </c>
      <c r="I32" s="119">
        <v>14.06</v>
      </c>
      <c r="J32" s="119">
        <f t="shared" si="1"/>
        <v>0</v>
      </c>
      <c r="L32" t="s">
        <v>425</v>
      </c>
    </row>
    <row r="33" spans="1:10" ht="15.95" customHeight="1">
      <c r="A33" s="117" t="str">
        <f>'[1]Espaldilla de CORDERO'!C5</f>
        <v>ESPALDILLA DE CORDERO TATIARA</v>
      </c>
      <c r="B33" s="129"/>
      <c r="C33" s="117">
        <f>'[1]Espaldilla de CORDERO'!G207</f>
        <v>2275.3799999999997</v>
      </c>
      <c r="D33" s="125">
        <f>'[1]Espaldilla de CORDERO'!H207</f>
        <v>107</v>
      </c>
      <c r="E33" s="126">
        <v>2270.79</v>
      </c>
      <c r="F33" s="125">
        <v>107</v>
      </c>
      <c r="G33" s="117">
        <f t="shared" si="0"/>
        <v>-4.5899999999996908</v>
      </c>
      <c r="H33" s="118">
        <f t="shared" si="0"/>
        <v>0</v>
      </c>
      <c r="I33" s="119">
        <v>62</v>
      </c>
      <c r="J33" s="119">
        <f t="shared" si="1"/>
        <v>140788.98000000001</v>
      </c>
    </row>
    <row r="34" spans="1:10" ht="15.95" customHeight="1">
      <c r="A34" s="117" t="str">
        <f>'[1]Filete pescado BASA'!$C$5</f>
        <v>FILETE DE PESCADO BASA 10.0</v>
      </c>
      <c r="B34" s="129"/>
      <c r="C34" s="117">
        <f>'[1]Filete pescado BASA'!$G$207</f>
        <v>1450</v>
      </c>
      <c r="D34" s="125">
        <f>'[1]Filete pescado BASA'!$H$207</f>
        <v>145</v>
      </c>
      <c r="E34" s="126">
        <v>1450</v>
      </c>
      <c r="F34" s="125">
        <v>145</v>
      </c>
      <c r="G34" s="117">
        <f t="shared" si="0"/>
        <v>0</v>
      </c>
      <c r="H34" s="139">
        <f t="shared" si="0"/>
        <v>0</v>
      </c>
      <c r="I34" s="119">
        <v>44.5</v>
      </c>
      <c r="J34" s="119">
        <f t="shared" si="1"/>
        <v>64525</v>
      </c>
    </row>
    <row r="35" spans="1:10" ht="15.95" customHeight="1">
      <c r="A35" s="117" t="str">
        <f>'[1]LENGUA DE CERDO '!$C$5</f>
        <v>LENGUA. DE CERDO  SWIFT  13.61</v>
      </c>
      <c r="B35" s="129"/>
      <c r="C35" s="117">
        <f>'[1]LENGUA DE CERDO '!$G$214</f>
        <v>2284.8799999999997</v>
      </c>
      <c r="D35" s="125">
        <f>'[1]LENGUA DE CERDO '!$H$214</f>
        <v>168</v>
      </c>
      <c r="E35" s="126">
        <v>2286.48</v>
      </c>
      <c r="F35" s="125">
        <v>168</v>
      </c>
      <c r="G35" s="117">
        <f t="shared" si="0"/>
        <v>1.6000000000003638</v>
      </c>
      <c r="H35" s="118">
        <f t="shared" si="0"/>
        <v>0</v>
      </c>
      <c r="I35" s="119">
        <v>36.5</v>
      </c>
      <c r="J35" s="119">
        <f t="shared" si="1"/>
        <v>83456.52</v>
      </c>
    </row>
    <row r="36" spans="1:10" ht="15.95" hidden="1" customHeight="1">
      <c r="A36" s="117" t="str">
        <f>'[1]Marrana en Combo'!$C$5</f>
        <v>MARRANA EN COMBO</v>
      </c>
      <c r="B36" s="129"/>
      <c r="C36" s="117">
        <f>'[1]Marrana en Combo'!$G$207</f>
        <v>0</v>
      </c>
      <c r="D36" s="125">
        <f>'[1]Marrana en Combo'!$H$207</f>
        <v>0</v>
      </c>
      <c r="E36" s="126"/>
      <c r="F36" s="125"/>
      <c r="G36" s="117">
        <f t="shared" si="0"/>
        <v>0</v>
      </c>
      <c r="H36" s="118">
        <f t="shared" si="0"/>
        <v>0</v>
      </c>
      <c r="I36" s="119">
        <v>19.2</v>
      </c>
      <c r="J36" s="119">
        <f t="shared" si="1"/>
        <v>0</v>
      </c>
    </row>
    <row r="37" spans="1:10" ht="15.95" hidden="1" customHeight="1">
      <c r="A37" s="117" t="str">
        <f>[1]Manteca!$C$5</f>
        <v>MANTECA</v>
      </c>
      <c r="B37" s="129"/>
      <c r="C37" s="117">
        <f>[1]Manteca!$G$208</f>
        <v>0</v>
      </c>
      <c r="D37" s="125">
        <f>[1]Manteca!$H$208</f>
        <v>0</v>
      </c>
      <c r="E37" s="126"/>
      <c r="F37" s="125"/>
      <c r="G37" s="117">
        <f t="shared" si="0"/>
        <v>0</v>
      </c>
      <c r="H37" s="118">
        <f t="shared" si="0"/>
        <v>0</v>
      </c>
      <c r="I37" s="119">
        <v>10.5</v>
      </c>
      <c r="J37" s="119">
        <f t="shared" si="1"/>
        <v>0</v>
      </c>
    </row>
    <row r="38" spans="1:10" ht="15.95" hidden="1" customHeight="1">
      <c r="A38" s="117" t="str">
        <f>'[1]Lengua de Res'!$C$5</f>
        <v xml:space="preserve">L. DE RES NATIONAL </v>
      </c>
      <c r="B38" s="129"/>
      <c r="C38" s="117">
        <f>'[1]Lengua de Res'!$G$211</f>
        <v>0</v>
      </c>
      <c r="D38" s="125">
        <f>'[1]Lengua de Res'!$H$211</f>
        <v>0</v>
      </c>
      <c r="E38" s="126"/>
      <c r="F38" s="125"/>
      <c r="G38" s="117">
        <f t="shared" si="0"/>
        <v>0</v>
      </c>
      <c r="H38" s="118">
        <f t="shared" si="0"/>
        <v>0</v>
      </c>
      <c r="I38" s="119">
        <v>48.5</v>
      </c>
      <c r="J38" s="119">
        <f t="shared" si="1"/>
        <v>0</v>
      </c>
    </row>
    <row r="39" spans="1:10" ht="15.95" customHeight="1">
      <c r="A39" s="117" t="str">
        <f>'[1]Menudo Aurora'!$C$5</f>
        <v>MENUDO AURORA  31.76</v>
      </c>
      <c r="B39" s="140"/>
      <c r="C39" s="117">
        <f>'[1]Menudo Aurora'!$G$207</f>
        <v>253.4199999999999</v>
      </c>
      <c r="D39" s="125">
        <f>'[1]Menudo Aurora'!$H$207</f>
        <v>8</v>
      </c>
      <c r="E39" s="126">
        <v>254.08</v>
      </c>
      <c r="F39" s="125">
        <v>8</v>
      </c>
      <c r="G39" s="117">
        <f t="shared" si="0"/>
        <v>0.66000000000011028</v>
      </c>
      <c r="H39" s="118">
        <f t="shared" si="0"/>
        <v>0</v>
      </c>
      <c r="I39" s="119">
        <v>15</v>
      </c>
      <c r="J39" s="119">
        <f t="shared" si="1"/>
        <v>3811.2000000000003</v>
      </c>
    </row>
    <row r="40" spans="1:10" ht="15.95" customHeight="1">
      <c r="A40" s="117" t="str">
        <f>'[1]MENUDO EXCEL 86M'!$C$5</f>
        <v>MENUDO EXCEL 27.22</v>
      </c>
      <c r="B40" s="129"/>
      <c r="C40" s="117">
        <f>'[1]MENUDO EXCEL 86M'!$G$212</f>
        <v>73820.639999999941</v>
      </c>
      <c r="D40" s="125">
        <f>'[1]MENUDO EXCEL 86M'!$H$212</f>
        <v>2712</v>
      </c>
      <c r="E40" s="126">
        <v>73820.639999999999</v>
      </c>
      <c r="F40" s="125">
        <v>2712</v>
      </c>
      <c r="G40" s="117">
        <f t="shared" si="0"/>
        <v>0</v>
      </c>
      <c r="H40" s="139">
        <f t="shared" si="0"/>
        <v>0</v>
      </c>
      <c r="I40" s="119">
        <v>14.2</v>
      </c>
      <c r="J40" s="119">
        <f t="shared" si="1"/>
        <v>1048253.088</v>
      </c>
    </row>
    <row r="41" spans="1:10" ht="15.95" customHeight="1">
      <c r="A41" s="117" t="str">
        <f>'[1]Menudo IBP'!$C$5</f>
        <v>MENUDO IBP 22.68</v>
      </c>
      <c r="B41" s="141"/>
      <c r="C41" s="117">
        <f>'[1]Menudo IBP'!$G$207</f>
        <v>952.56000000000051</v>
      </c>
      <c r="D41" s="125">
        <f>'[1]Menudo IBP'!$H$207</f>
        <v>42</v>
      </c>
      <c r="E41" s="126">
        <v>952.56</v>
      </c>
      <c r="F41" s="125">
        <v>42</v>
      </c>
      <c r="G41" s="117">
        <f t="shared" si="0"/>
        <v>0</v>
      </c>
      <c r="H41" s="118">
        <f t="shared" si="0"/>
        <v>0</v>
      </c>
      <c r="I41" s="119">
        <v>15</v>
      </c>
      <c r="J41" s="119">
        <f t="shared" si="1"/>
        <v>14288.4</v>
      </c>
    </row>
    <row r="42" spans="1:10" ht="15.95" hidden="1" customHeight="1">
      <c r="A42" s="121" t="str">
        <f>'[1]NANA '!$C$5</f>
        <v xml:space="preserve">NANA </v>
      </c>
      <c r="B42" s="122"/>
      <c r="C42" s="117">
        <f>'[1]NANA '!$G$208</f>
        <v>0</v>
      </c>
      <c r="D42" s="125">
        <v>0</v>
      </c>
      <c r="E42" s="126"/>
      <c r="F42" s="125"/>
      <c r="G42" s="117">
        <f t="shared" si="0"/>
        <v>0</v>
      </c>
      <c r="H42" s="118">
        <f t="shared" si="0"/>
        <v>0</v>
      </c>
      <c r="I42" s="119">
        <v>38.5</v>
      </c>
      <c r="J42" s="119">
        <f t="shared" si="1"/>
        <v>0</v>
      </c>
    </row>
    <row r="43" spans="1:10" ht="15.95" customHeight="1">
      <c r="A43" s="117" t="str">
        <f>'[1]PATITAS DE CERDO'!$C$6</f>
        <v xml:space="preserve">PATITAS DE CERDO FARMLAND 15.00 </v>
      </c>
      <c r="B43" s="129"/>
      <c r="C43" s="117">
        <f>'[1]PATITAS DE CERDO'!$G$210</f>
        <v>1350</v>
      </c>
      <c r="D43" s="125">
        <f>'[1]PATITAS DE CERDO'!$H$210</f>
        <v>90</v>
      </c>
      <c r="E43" s="126">
        <v>1350</v>
      </c>
      <c r="F43" s="125">
        <v>90</v>
      </c>
      <c r="G43" s="117">
        <f t="shared" si="0"/>
        <v>0</v>
      </c>
      <c r="H43" s="118">
        <f t="shared" si="0"/>
        <v>0</v>
      </c>
      <c r="I43" s="119">
        <v>13</v>
      </c>
      <c r="J43" s="119">
        <f t="shared" si="1"/>
        <v>17550</v>
      </c>
    </row>
    <row r="44" spans="1:10" ht="15.95" hidden="1" customHeight="1">
      <c r="A44" s="121" t="str">
        <f>'[1]CANAL DE CERDO'!C5</f>
        <v>CERDO CANAL</v>
      </c>
      <c r="B44" s="122"/>
      <c r="C44" s="117">
        <f>'[1]CANAL DE CERDO'!G207</f>
        <v>0</v>
      </c>
      <c r="D44" s="125">
        <f>'[1]CANAL DE CERDO'!H207</f>
        <v>0</v>
      </c>
      <c r="E44" s="126"/>
      <c r="F44" s="125"/>
      <c r="G44" s="117">
        <f t="shared" si="0"/>
        <v>0</v>
      </c>
      <c r="H44" s="118">
        <f t="shared" si="0"/>
        <v>0</v>
      </c>
      <c r="I44" s="119">
        <v>25.5</v>
      </c>
      <c r="J44" s="119">
        <f t="shared" si="1"/>
        <v>0</v>
      </c>
    </row>
    <row r="45" spans="1:10" ht="15.95" customHeight="1">
      <c r="A45" s="127" t="str">
        <f>'[1]PERNIL CON PIEL'!$C$5</f>
        <v>PERNIL CON PIEL</v>
      </c>
      <c r="B45" s="128"/>
      <c r="C45" s="117">
        <f>'[1]PERNIL CON PIEL'!$G$119</f>
        <v>3.637978807091713E-12</v>
      </c>
      <c r="D45" s="125">
        <f>'[1]PERNIL CON PIEL'!$H$119</f>
        <v>0</v>
      </c>
      <c r="E45" s="126">
        <v>0</v>
      </c>
      <c r="F45" s="125">
        <v>0</v>
      </c>
      <c r="G45" s="117">
        <f t="shared" si="0"/>
        <v>-3.637978807091713E-12</v>
      </c>
      <c r="H45" s="118">
        <f t="shared" si="0"/>
        <v>0</v>
      </c>
      <c r="I45" s="119">
        <v>25.22</v>
      </c>
      <c r="J45" s="119">
        <f t="shared" si="1"/>
        <v>0</v>
      </c>
    </row>
    <row r="46" spans="1:10" ht="15.95" hidden="1" customHeight="1">
      <c r="A46" s="117" t="str">
        <f>'[1]Pulpa Negra'!$C$5</f>
        <v>PULPA NEGRA SWIFT</v>
      </c>
      <c r="B46" s="129"/>
      <c r="C46" s="117">
        <f>'[1]Pulpa Negra'!$G$207</f>
        <v>0</v>
      </c>
      <c r="D46" s="125">
        <f>'[1]Pulpa Negra'!$H$207</f>
        <v>0</v>
      </c>
      <c r="E46" s="126"/>
      <c r="F46" s="125"/>
      <c r="G46" s="117">
        <f t="shared" si="0"/>
        <v>0</v>
      </c>
      <c r="H46" s="118">
        <f t="shared" si="0"/>
        <v>0</v>
      </c>
      <c r="I46" s="119">
        <v>43.9</v>
      </c>
      <c r="J46" s="119">
        <f t="shared" si="1"/>
        <v>0</v>
      </c>
    </row>
    <row r="47" spans="1:10" ht="15.95" customHeight="1">
      <c r="A47" s="117" t="str">
        <f>'[1]SESOS EN COPA '!$C$5</f>
        <v>SESOS EN COPA FARMLAND 5.45</v>
      </c>
      <c r="B47" s="129"/>
      <c r="C47" s="117">
        <f>'[1]SESOS EN COPA '!$G$187</f>
        <v>9756.9499999999989</v>
      </c>
      <c r="D47" s="125">
        <f>'[1]SESOS EN COPA '!$H$187</f>
        <v>1793</v>
      </c>
      <c r="E47" s="126">
        <v>9759.65</v>
      </c>
      <c r="F47" s="125">
        <v>1793</v>
      </c>
      <c r="G47" s="117">
        <f t="shared" si="0"/>
        <v>2.7000000000007276</v>
      </c>
      <c r="H47" s="118">
        <f t="shared" si="0"/>
        <v>0</v>
      </c>
      <c r="I47" s="119">
        <v>37.659999999999997</v>
      </c>
      <c r="J47" s="119">
        <f t="shared" si="1"/>
        <v>367548.41899999994</v>
      </c>
    </row>
    <row r="48" spans="1:10" ht="15.95" hidden="1" customHeight="1">
      <c r="A48" s="117" t="str">
        <f>'[1]Tocino IBP'!C5</f>
        <v>TOCINO IBP</v>
      </c>
      <c r="B48" s="129"/>
      <c r="C48" s="117">
        <f>'[1]Tocino IBP'!G207</f>
        <v>0</v>
      </c>
      <c r="D48" s="125">
        <f>'[1]Tocino IBP'!H207</f>
        <v>0</v>
      </c>
      <c r="E48" s="126"/>
      <c r="F48" s="125"/>
      <c r="G48" s="117">
        <f t="shared" si="0"/>
        <v>0</v>
      </c>
      <c r="H48" s="118">
        <f t="shared" si="0"/>
        <v>0</v>
      </c>
      <c r="I48" s="119">
        <v>22.5</v>
      </c>
      <c r="J48" s="119">
        <f t="shared" si="1"/>
        <v>0</v>
      </c>
    </row>
    <row r="49" spans="1:10" ht="15.95" customHeight="1">
      <c r="A49" s="117" t="str">
        <f>'[1]Sesos marqueta'!$C$5</f>
        <v>SESOS MARQUETA farmland 13.61</v>
      </c>
      <c r="B49" s="129"/>
      <c r="C49" s="117">
        <f>'[1]Sesos marqueta'!$G$208</f>
        <v>4055.7800000000007</v>
      </c>
      <c r="D49" s="125">
        <f>'[1]Sesos marqueta'!$H$208</f>
        <v>298</v>
      </c>
      <c r="E49" s="126">
        <v>4055.78</v>
      </c>
      <c r="F49" s="125">
        <v>298</v>
      </c>
      <c r="G49" s="117">
        <f t="shared" si="0"/>
        <v>0</v>
      </c>
      <c r="H49" s="118">
        <f t="shared" si="0"/>
        <v>0</v>
      </c>
      <c r="I49" s="119">
        <v>29.59</v>
      </c>
      <c r="J49" s="119">
        <f t="shared" si="1"/>
        <v>120010.53020000001</v>
      </c>
    </row>
    <row r="50" spans="1:10" ht="12.75" hidden="1" customHeight="1">
      <c r="A50" s="142" t="str">
        <f>'[1]Trompa Farmland'!$C$5</f>
        <v>TROMPA FARMLAND</v>
      </c>
      <c r="B50" s="143"/>
      <c r="C50" s="127">
        <f>'[1]Trompa Farmland'!G207</f>
        <v>0</v>
      </c>
      <c r="D50" s="144">
        <f>'[1]Trompa Farmland'!H207</f>
        <v>0</v>
      </c>
      <c r="E50" s="144"/>
      <c r="F50" s="144"/>
      <c r="G50" s="144"/>
      <c r="H50" s="144"/>
      <c r="I50" s="145">
        <v>18.489999999999998</v>
      </c>
      <c r="J50" s="145">
        <f>I50*C50</f>
        <v>0</v>
      </c>
    </row>
    <row r="51" spans="1:10" ht="12.75" customHeight="1"/>
    <row r="52" spans="1:10" ht="15.75" customHeight="1">
      <c r="B52" s="146" t="s">
        <v>120</v>
      </c>
      <c r="C52" s="147">
        <f t="shared" ref="C52:H52" si="2">SUM(C10:C50)</f>
        <v>182366.91999999995</v>
      </c>
      <c r="D52" s="147">
        <f t="shared" si="2"/>
        <v>10279</v>
      </c>
      <c r="E52" s="147">
        <f t="shared" si="2"/>
        <v>182402.47999999998</v>
      </c>
      <c r="F52" s="147">
        <f t="shared" si="2"/>
        <v>10279</v>
      </c>
      <c r="G52" s="147">
        <f t="shared" si="2"/>
        <v>35.560000000000201</v>
      </c>
      <c r="H52" s="147">
        <f t="shared" si="2"/>
        <v>0</v>
      </c>
      <c r="I52" s="148"/>
      <c r="J52" s="148">
        <f>SUM(J10:J50)</f>
        <v>4618548.1844999995</v>
      </c>
    </row>
    <row r="53" spans="1:10" ht="12.75" customHeight="1">
      <c r="A53" s="20"/>
      <c r="B53" s="149"/>
      <c r="I53" s="56"/>
      <c r="J53" s="56"/>
    </row>
    <row r="54" spans="1:10" ht="12.75" customHeight="1">
      <c r="A54" s="20"/>
      <c r="B54" s="20"/>
      <c r="I54" s="56"/>
      <c r="J54" s="56"/>
    </row>
    <row r="55" spans="1:10">
      <c r="A55" s="20"/>
      <c r="B55" s="20"/>
      <c r="I55" s="56"/>
      <c r="J55" s="56"/>
    </row>
    <row r="56" spans="1:10">
      <c r="I56" s="56"/>
      <c r="J56" s="56"/>
    </row>
    <row r="57" spans="1:10">
      <c r="I57" s="56"/>
      <c r="J57" s="56"/>
    </row>
    <row r="58" spans="1:10">
      <c r="I58" s="56"/>
      <c r="J58" s="56"/>
    </row>
  </sheetData>
  <phoneticPr fontId="13" type="noConversion"/>
  <pageMargins left="0.75" right="0.75" top="1" bottom="1" header="0" footer="0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2:E88"/>
  <sheetViews>
    <sheetView workbookViewId="0">
      <selection activeCell="B9" sqref="B9"/>
    </sheetView>
  </sheetViews>
  <sheetFormatPr baseColWidth="10" defaultRowHeight="12.75"/>
  <cols>
    <col min="1" max="1" width="25.140625" customWidth="1"/>
    <col min="2" max="2" width="11.85546875" customWidth="1"/>
    <col min="4" max="4" width="12.42578125" style="5" customWidth="1"/>
    <col min="5" max="5" width="17.42578125" style="5" customWidth="1"/>
  </cols>
  <sheetData>
    <row r="2" spans="1:5">
      <c r="B2" s="1" t="s">
        <v>426</v>
      </c>
    </row>
    <row r="4" spans="1:5">
      <c r="D4" s="5" t="s">
        <v>1</v>
      </c>
      <c r="E4" s="3">
        <v>40359</v>
      </c>
    </row>
    <row r="5" spans="1:5">
      <c r="B5" s="2"/>
    </row>
    <row r="6" spans="1:5">
      <c r="A6" s="1"/>
      <c r="B6" s="2"/>
      <c r="E6" s="4"/>
    </row>
    <row r="7" spans="1:5" ht="13.5" thickBot="1">
      <c r="A7" s="1"/>
      <c r="B7" s="2"/>
      <c r="E7" s="150"/>
    </row>
    <row r="8" spans="1:5" ht="13.5" thickTop="1">
      <c r="A8" s="151" t="s">
        <v>3</v>
      </c>
      <c r="B8" s="152"/>
      <c r="C8" s="153"/>
      <c r="D8" s="154"/>
      <c r="E8" s="155"/>
    </row>
    <row r="9" spans="1:5">
      <c r="A9" s="156" t="s">
        <v>427</v>
      </c>
      <c r="B9" s="157" t="s">
        <v>4</v>
      </c>
      <c r="C9" s="158" t="s">
        <v>5</v>
      </c>
      <c r="D9" s="159" t="s">
        <v>6</v>
      </c>
      <c r="E9" s="160" t="s">
        <v>428</v>
      </c>
    </row>
    <row r="10" spans="1:5">
      <c r="A10" s="161" t="s">
        <v>152</v>
      </c>
      <c r="B10" s="162">
        <v>8992.98</v>
      </c>
      <c r="C10" s="163">
        <v>109.5</v>
      </c>
      <c r="D10" s="164">
        <v>29.6</v>
      </c>
      <c r="E10" s="165">
        <f>D10*B10</f>
        <v>266192.20799999998</v>
      </c>
    </row>
    <row r="11" spans="1:5">
      <c r="A11" s="161" t="s">
        <v>429</v>
      </c>
      <c r="B11" s="162">
        <v>5562.3</v>
      </c>
      <c r="C11" s="163">
        <v>6</v>
      </c>
      <c r="D11" s="164">
        <v>28</v>
      </c>
      <c r="E11" s="165">
        <f>D11*B11</f>
        <v>155744.4</v>
      </c>
    </row>
    <row r="12" spans="1:5">
      <c r="A12" s="161" t="s">
        <v>430</v>
      </c>
      <c r="B12" s="162">
        <v>17189.59</v>
      </c>
      <c r="C12" s="163">
        <v>20</v>
      </c>
      <c r="D12" s="164">
        <v>28</v>
      </c>
      <c r="E12" s="165">
        <f>D12*B12</f>
        <v>481308.52</v>
      </c>
    </row>
    <row r="13" spans="1:5">
      <c r="A13" s="161"/>
      <c r="B13" s="162"/>
      <c r="C13" s="163"/>
      <c r="D13" s="159" t="s">
        <v>431</v>
      </c>
      <c r="E13" s="166">
        <f>SUM(E10:E12)</f>
        <v>903245.12800000003</v>
      </c>
    </row>
    <row r="14" spans="1:5">
      <c r="A14" s="156"/>
      <c r="B14" s="167"/>
      <c r="C14" s="168"/>
      <c r="D14" s="164"/>
      <c r="E14" s="169"/>
    </row>
    <row r="15" spans="1:5">
      <c r="A15" s="156" t="s">
        <v>432</v>
      </c>
      <c r="B15" s="157"/>
      <c r="C15" s="170"/>
      <c r="D15" s="164"/>
      <c r="E15" s="169"/>
    </row>
    <row r="16" spans="1:5">
      <c r="A16" s="161" t="s">
        <v>433</v>
      </c>
      <c r="B16" s="162">
        <v>160.19999999999999</v>
      </c>
      <c r="C16" s="171"/>
      <c r="D16" s="172">
        <v>46</v>
      </c>
      <c r="E16" s="173">
        <f>D16*B16</f>
        <v>7369.2</v>
      </c>
    </row>
    <row r="17" spans="1:5">
      <c r="A17" s="174" t="s">
        <v>20</v>
      </c>
      <c r="B17" s="20">
        <v>10.7</v>
      </c>
      <c r="C17" s="20">
        <v>1</v>
      </c>
      <c r="D17" s="101">
        <v>42.5</v>
      </c>
      <c r="E17" s="165">
        <f>D17*B17</f>
        <v>454.74999999999994</v>
      </c>
    </row>
    <row r="18" spans="1:5">
      <c r="A18" s="161" t="s">
        <v>434</v>
      </c>
      <c r="B18" s="20">
        <f>6.5+1582.5</f>
        <v>1589</v>
      </c>
      <c r="C18" s="20">
        <v>280</v>
      </c>
      <c r="D18" s="101">
        <v>17</v>
      </c>
      <c r="E18" s="165">
        <f t="shared" ref="E18:E42" si="0">D18*B18</f>
        <v>27013</v>
      </c>
    </row>
    <row r="19" spans="1:5">
      <c r="A19" s="161" t="s">
        <v>13</v>
      </c>
      <c r="B19" s="20">
        <v>430.2</v>
      </c>
      <c r="C19" s="20">
        <v>120</v>
      </c>
      <c r="D19" s="101">
        <v>42</v>
      </c>
      <c r="E19" s="165">
        <f t="shared" si="0"/>
        <v>18068.399999999998</v>
      </c>
    </row>
    <row r="20" spans="1:5">
      <c r="A20" s="161" t="s">
        <v>435</v>
      </c>
      <c r="B20" s="20"/>
      <c r="C20" s="20"/>
      <c r="D20" s="101">
        <v>50</v>
      </c>
      <c r="E20" s="165">
        <f t="shared" si="0"/>
        <v>0</v>
      </c>
    </row>
    <row r="21" spans="1:5">
      <c r="A21" s="161" t="s">
        <v>436</v>
      </c>
      <c r="B21" s="20">
        <v>2926.2</v>
      </c>
      <c r="C21" s="20">
        <v>2997</v>
      </c>
      <c r="D21" s="101">
        <v>17</v>
      </c>
      <c r="E21" s="165">
        <f t="shared" si="0"/>
        <v>49745.399999999994</v>
      </c>
    </row>
    <row r="22" spans="1:5">
      <c r="A22" s="161" t="s">
        <v>437</v>
      </c>
      <c r="B22" s="20"/>
      <c r="C22" s="20"/>
      <c r="D22" s="101">
        <v>20</v>
      </c>
      <c r="E22" s="165">
        <f t="shared" si="0"/>
        <v>0</v>
      </c>
    </row>
    <row r="23" spans="1:5">
      <c r="A23" s="161" t="s">
        <v>24</v>
      </c>
      <c r="B23" s="20">
        <v>7.5</v>
      </c>
      <c r="C23" s="20">
        <v>1</v>
      </c>
      <c r="D23" s="101">
        <v>14</v>
      </c>
      <c r="E23" s="165">
        <f t="shared" si="0"/>
        <v>105</v>
      </c>
    </row>
    <row r="24" spans="1:5">
      <c r="A24" s="161" t="s">
        <v>25</v>
      </c>
      <c r="B24" s="39">
        <f>1839.5+1542.6</f>
        <v>3382.1</v>
      </c>
      <c r="C24" s="39">
        <f>215+190</f>
        <v>405</v>
      </c>
      <c r="D24" s="101">
        <v>19</v>
      </c>
      <c r="E24" s="165">
        <f t="shared" si="0"/>
        <v>64259.9</v>
      </c>
    </row>
    <row r="25" spans="1:5">
      <c r="A25" s="161" t="s">
        <v>438</v>
      </c>
      <c r="B25" s="20"/>
      <c r="C25" s="20"/>
      <c r="D25" s="101">
        <v>23</v>
      </c>
      <c r="E25" s="165">
        <f t="shared" si="0"/>
        <v>0</v>
      </c>
    </row>
    <row r="26" spans="1:5">
      <c r="A26" s="161" t="s">
        <v>439</v>
      </c>
      <c r="B26" s="20">
        <v>75.900000000000006</v>
      </c>
      <c r="C26" s="20"/>
      <c r="D26" s="101">
        <v>25</v>
      </c>
      <c r="E26" s="165">
        <f t="shared" si="0"/>
        <v>1897.5000000000002</v>
      </c>
    </row>
    <row r="27" spans="1:5">
      <c r="A27" s="161" t="s">
        <v>440</v>
      </c>
      <c r="B27" s="20">
        <v>2215.8000000000002</v>
      </c>
      <c r="C27" s="20">
        <v>494</v>
      </c>
      <c r="D27" s="101">
        <v>37</v>
      </c>
      <c r="E27" s="165">
        <f t="shared" si="0"/>
        <v>81984.600000000006</v>
      </c>
    </row>
    <row r="28" spans="1:5">
      <c r="A28" s="161" t="s">
        <v>441</v>
      </c>
      <c r="B28" s="20">
        <v>163.5</v>
      </c>
      <c r="C28" s="20">
        <v>25</v>
      </c>
      <c r="D28" s="101">
        <v>32</v>
      </c>
      <c r="E28" s="165">
        <f t="shared" si="0"/>
        <v>5232</v>
      </c>
    </row>
    <row r="29" spans="1:5">
      <c r="A29" s="161" t="s">
        <v>442</v>
      </c>
      <c r="B29" s="20"/>
      <c r="C29" s="20">
        <v>60</v>
      </c>
      <c r="D29" s="101">
        <v>30</v>
      </c>
      <c r="E29" s="165">
        <f t="shared" si="0"/>
        <v>0</v>
      </c>
    </row>
    <row r="30" spans="1:5">
      <c r="A30" s="161" t="s">
        <v>34</v>
      </c>
      <c r="B30" s="20"/>
      <c r="C30" s="20">
        <v>7</v>
      </c>
      <c r="D30" s="101">
        <v>30</v>
      </c>
      <c r="E30" s="165">
        <f t="shared" si="0"/>
        <v>0</v>
      </c>
    </row>
    <row r="31" spans="1:5">
      <c r="A31" s="161" t="s">
        <v>443</v>
      </c>
      <c r="B31" s="39">
        <v>7.18</v>
      </c>
      <c r="C31" s="39"/>
      <c r="D31" s="101">
        <v>50</v>
      </c>
      <c r="E31" s="165">
        <f t="shared" si="0"/>
        <v>359</v>
      </c>
    </row>
    <row r="32" spans="1:5">
      <c r="A32" s="161" t="s">
        <v>35</v>
      </c>
      <c r="B32" s="20">
        <v>26</v>
      </c>
      <c r="C32" s="20"/>
      <c r="D32" s="101">
        <v>17</v>
      </c>
      <c r="E32" s="165">
        <f t="shared" si="0"/>
        <v>442</v>
      </c>
    </row>
    <row r="33" spans="1:5">
      <c r="A33" s="161" t="s">
        <v>444</v>
      </c>
      <c r="B33" s="20">
        <v>1615.49</v>
      </c>
      <c r="C33" s="39">
        <v>190</v>
      </c>
      <c r="D33" s="101">
        <v>35</v>
      </c>
      <c r="E33" s="165">
        <f t="shared" si="0"/>
        <v>56542.15</v>
      </c>
    </row>
    <row r="34" spans="1:5">
      <c r="A34" s="161" t="s">
        <v>445</v>
      </c>
      <c r="B34" s="39"/>
      <c r="C34" s="39"/>
      <c r="D34" s="101">
        <v>37</v>
      </c>
      <c r="E34" s="165">
        <f t="shared" si="0"/>
        <v>0</v>
      </c>
    </row>
    <row r="35" spans="1:5">
      <c r="A35" s="161" t="s">
        <v>446</v>
      </c>
      <c r="B35" s="39">
        <v>312</v>
      </c>
      <c r="C35" s="39">
        <v>43</v>
      </c>
      <c r="D35" s="101">
        <v>36</v>
      </c>
      <c r="E35" s="165">
        <f t="shared" si="0"/>
        <v>11232</v>
      </c>
    </row>
    <row r="36" spans="1:5">
      <c r="A36" s="161" t="s">
        <v>447</v>
      </c>
      <c r="B36" s="39">
        <v>233.5</v>
      </c>
      <c r="C36" s="39">
        <v>31</v>
      </c>
      <c r="D36" s="101">
        <v>39</v>
      </c>
      <c r="E36" s="165">
        <f t="shared" si="0"/>
        <v>9106.5</v>
      </c>
    </row>
    <row r="37" spans="1:5">
      <c r="A37" s="161" t="s">
        <v>42</v>
      </c>
      <c r="B37" s="39">
        <v>10</v>
      </c>
      <c r="C37" s="20"/>
      <c r="D37" s="101">
        <v>25</v>
      </c>
      <c r="E37" s="165">
        <f t="shared" si="0"/>
        <v>250</v>
      </c>
    </row>
    <row r="38" spans="1:5">
      <c r="A38" s="161" t="s">
        <v>448</v>
      </c>
      <c r="B38" s="39">
        <v>120.1</v>
      </c>
      <c r="C38" s="39">
        <v>292</v>
      </c>
      <c r="D38" s="101">
        <v>19</v>
      </c>
      <c r="E38" s="165">
        <f t="shared" si="0"/>
        <v>2281.9</v>
      </c>
    </row>
    <row r="39" spans="1:5">
      <c r="A39" s="161" t="s">
        <v>449</v>
      </c>
      <c r="B39" s="39">
        <v>113.8</v>
      </c>
      <c r="C39" s="39">
        <v>25</v>
      </c>
      <c r="D39" s="101">
        <v>44</v>
      </c>
      <c r="E39" s="165">
        <f t="shared" si="0"/>
        <v>5007.2</v>
      </c>
    </row>
    <row r="40" spans="1:5">
      <c r="A40" s="161" t="s">
        <v>48</v>
      </c>
      <c r="B40" s="39">
        <v>200</v>
      </c>
      <c r="C40" s="39">
        <v>18</v>
      </c>
      <c r="D40" s="101">
        <v>29</v>
      </c>
      <c r="E40" s="165">
        <f t="shared" si="0"/>
        <v>5800</v>
      </c>
    </row>
    <row r="41" spans="1:5">
      <c r="A41" s="161" t="s">
        <v>450</v>
      </c>
      <c r="B41" s="39">
        <v>21.7</v>
      </c>
      <c r="C41" s="39"/>
      <c r="D41" s="101">
        <v>28</v>
      </c>
      <c r="E41" s="165">
        <f t="shared" si="0"/>
        <v>607.6</v>
      </c>
    </row>
    <row r="42" spans="1:5">
      <c r="A42" s="161" t="s">
        <v>64</v>
      </c>
      <c r="B42" s="39">
        <v>342.4</v>
      </c>
      <c r="C42" s="20"/>
      <c r="D42" s="101">
        <v>12</v>
      </c>
      <c r="E42" s="165">
        <f t="shared" si="0"/>
        <v>4108.7999999999993</v>
      </c>
    </row>
    <row r="43" spans="1:5">
      <c r="A43" s="174"/>
      <c r="B43" s="20"/>
      <c r="C43" s="20"/>
      <c r="D43" s="175" t="s">
        <v>431</v>
      </c>
      <c r="E43" s="166">
        <f>SUM(E17:E42)</f>
        <v>344497.7</v>
      </c>
    </row>
    <row r="44" spans="1:5">
      <c r="A44" s="174"/>
      <c r="B44" s="20"/>
      <c r="C44" s="20"/>
      <c r="D44" s="101"/>
      <c r="E44" s="165"/>
    </row>
    <row r="45" spans="1:5">
      <c r="A45" s="174"/>
      <c r="B45" s="20"/>
      <c r="C45" s="20"/>
      <c r="D45" s="176" t="s">
        <v>451</v>
      </c>
      <c r="E45" s="166">
        <f>E43+E13</f>
        <v>1247742.828</v>
      </c>
    </row>
    <row r="46" spans="1:5" ht="13.5" thickBot="1">
      <c r="A46" s="177"/>
      <c r="B46" s="178"/>
      <c r="C46" s="178"/>
      <c r="D46" s="179"/>
      <c r="E46" s="180"/>
    </row>
    <row r="47" spans="1:5" ht="13.5" thickTop="1">
      <c r="A47" s="181"/>
      <c r="B47" s="153"/>
      <c r="C47" s="153"/>
      <c r="D47" s="154"/>
      <c r="E47" s="155"/>
    </row>
    <row r="48" spans="1:5">
      <c r="A48" s="156" t="s">
        <v>3</v>
      </c>
      <c r="B48" s="19"/>
      <c r="C48" s="20"/>
      <c r="D48" s="101"/>
      <c r="E48" s="165"/>
    </row>
    <row r="49" spans="1:5">
      <c r="A49" s="156" t="s">
        <v>452</v>
      </c>
      <c r="B49" s="157" t="s">
        <v>4</v>
      </c>
      <c r="C49" s="170" t="s">
        <v>5</v>
      </c>
      <c r="D49" s="159" t="s">
        <v>6</v>
      </c>
      <c r="E49" s="160" t="s">
        <v>428</v>
      </c>
    </row>
    <row r="50" spans="1:5">
      <c r="A50" s="174" t="s">
        <v>453</v>
      </c>
      <c r="B50" s="20">
        <v>861.5</v>
      </c>
      <c r="C50" s="20">
        <v>6</v>
      </c>
      <c r="D50" s="101">
        <v>35</v>
      </c>
      <c r="E50" s="165">
        <f>D50*B50</f>
        <v>30152.5</v>
      </c>
    </row>
    <row r="51" spans="1:5">
      <c r="A51" s="174" t="s">
        <v>453</v>
      </c>
      <c r="B51" s="20">
        <v>871.1</v>
      </c>
      <c r="C51" s="20">
        <v>6</v>
      </c>
      <c r="D51" s="101">
        <v>36</v>
      </c>
      <c r="E51" s="165">
        <f>D51*B51</f>
        <v>31359.600000000002</v>
      </c>
    </row>
    <row r="52" spans="1:5">
      <c r="A52" s="174" t="s">
        <v>454</v>
      </c>
      <c r="B52" s="20">
        <v>99.4</v>
      </c>
      <c r="C52" s="20">
        <v>1</v>
      </c>
      <c r="D52" s="101">
        <v>38</v>
      </c>
      <c r="E52" s="165">
        <f>D52*B52</f>
        <v>3777.2000000000003</v>
      </c>
    </row>
    <row r="53" spans="1:5">
      <c r="A53" s="174"/>
      <c r="B53" s="20"/>
      <c r="C53" s="20"/>
      <c r="D53" s="101"/>
      <c r="E53" s="165">
        <f>D53*B53</f>
        <v>0</v>
      </c>
    </row>
    <row r="54" spans="1:5">
      <c r="A54" s="174"/>
      <c r="B54" s="20"/>
      <c r="C54" s="20"/>
      <c r="D54" s="175" t="s">
        <v>431</v>
      </c>
      <c r="E54" s="166">
        <f>SUM(E50:E53)</f>
        <v>65289.3</v>
      </c>
    </row>
    <row r="55" spans="1:5">
      <c r="A55" s="174"/>
      <c r="B55" s="20"/>
      <c r="C55" s="20"/>
      <c r="D55" s="101"/>
      <c r="E55" s="165"/>
    </row>
    <row r="56" spans="1:5">
      <c r="A56" s="156" t="s">
        <v>455</v>
      </c>
      <c r="B56" s="20"/>
      <c r="C56" s="20"/>
      <c r="D56" s="101"/>
      <c r="E56" s="165"/>
    </row>
    <row r="57" spans="1:5">
      <c r="A57" s="174" t="s">
        <v>456</v>
      </c>
      <c r="B57" s="20"/>
      <c r="C57" s="20"/>
      <c r="D57" s="101">
        <v>34</v>
      </c>
      <c r="E57" s="165">
        <f>D57*B57</f>
        <v>0</v>
      </c>
    </row>
    <row r="58" spans="1:5">
      <c r="A58" s="174"/>
      <c r="B58" s="20"/>
      <c r="C58" s="20"/>
      <c r="D58" s="175" t="s">
        <v>431</v>
      </c>
      <c r="E58" s="166">
        <f>SUM(E57)</f>
        <v>0</v>
      </c>
    </row>
    <row r="59" spans="1:5">
      <c r="A59" s="174"/>
      <c r="B59" s="20"/>
      <c r="C59" s="20"/>
      <c r="D59" s="101"/>
      <c r="E59" s="165"/>
    </row>
    <row r="60" spans="1:5">
      <c r="A60" s="174"/>
      <c r="B60" s="20"/>
      <c r="C60" s="20"/>
      <c r="D60" s="176" t="s">
        <v>457</v>
      </c>
      <c r="E60" s="166">
        <f>E58+E54</f>
        <v>65289.3</v>
      </c>
    </row>
    <row r="61" spans="1:5" ht="13.5" thickBot="1">
      <c r="A61" s="177"/>
      <c r="B61" s="178"/>
      <c r="C61" s="178"/>
      <c r="D61" s="179"/>
      <c r="E61" s="180"/>
    </row>
    <row r="62" spans="1:5" ht="13.5" thickTop="1">
      <c r="A62" s="181"/>
      <c r="B62" s="153"/>
      <c r="C62" s="153"/>
      <c r="D62" s="154"/>
      <c r="E62" s="155"/>
    </row>
    <row r="63" spans="1:5">
      <c r="A63" s="156" t="s">
        <v>3</v>
      </c>
      <c r="B63" s="19"/>
      <c r="C63" s="20"/>
      <c r="D63" s="101"/>
      <c r="E63" s="165"/>
    </row>
    <row r="64" spans="1:5">
      <c r="A64" s="156" t="s">
        <v>458</v>
      </c>
      <c r="B64" s="157" t="s">
        <v>4</v>
      </c>
      <c r="C64" s="170" t="s">
        <v>459</v>
      </c>
      <c r="D64" s="159" t="s">
        <v>6</v>
      </c>
      <c r="E64" s="160" t="s">
        <v>428</v>
      </c>
    </row>
    <row r="65" spans="1:5">
      <c r="A65" s="174" t="s">
        <v>460</v>
      </c>
      <c r="B65" s="20">
        <f>10*C65</f>
        <v>40</v>
      </c>
      <c r="C65" s="20">
        <v>4</v>
      </c>
      <c r="D65" s="101">
        <v>39</v>
      </c>
      <c r="E65" s="165">
        <f t="shared" ref="E65:E75" si="1">D65*B65</f>
        <v>1560</v>
      </c>
    </row>
    <row r="66" spans="1:5">
      <c r="A66" s="174" t="s">
        <v>248</v>
      </c>
      <c r="B66" s="20">
        <v>615.79999999999995</v>
      </c>
      <c r="C66" s="20">
        <v>22</v>
      </c>
      <c r="D66" s="101">
        <v>50</v>
      </c>
      <c r="E66" s="165">
        <f t="shared" si="1"/>
        <v>30789.999999999996</v>
      </c>
    </row>
    <row r="67" spans="1:5">
      <c r="A67" s="174" t="s">
        <v>461</v>
      </c>
      <c r="B67" s="20">
        <f>13.61*C67</f>
        <v>530.79</v>
      </c>
      <c r="C67" s="20">
        <v>39</v>
      </c>
      <c r="D67" s="101">
        <v>38</v>
      </c>
      <c r="E67" s="165">
        <f t="shared" si="1"/>
        <v>20170.019999999997</v>
      </c>
    </row>
    <row r="68" spans="1:5">
      <c r="A68" s="174" t="s">
        <v>21</v>
      </c>
      <c r="B68" s="20">
        <v>548.9</v>
      </c>
      <c r="C68" s="39">
        <v>35</v>
      </c>
      <c r="D68" s="101">
        <v>38</v>
      </c>
      <c r="E68" s="165">
        <f t="shared" si="1"/>
        <v>20858.2</v>
      </c>
    </row>
    <row r="69" spans="1:5">
      <c r="A69" s="174" t="s">
        <v>22</v>
      </c>
      <c r="B69" s="20">
        <f>13.61*C69</f>
        <v>163.32</v>
      </c>
      <c r="C69" s="20">
        <v>12</v>
      </c>
      <c r="D69" s="101">
        <v>38</v>
      </c>
      <c r="E69" s="165">
        <f t="shared" si="1"/>
        <v>6206.16</v>
      </c>
    </row>
    <row r="70" spans="1:5">
      <c r="A70" s="174" t="s">
        <v>462</v>
      </c>
      <c r="B70" s="20">
        <f>27.22*C70</f>
        <v>381.08</v>
      </c>
      <c r="C70" s="39">
        <v>14</v>
      </c>
      <c r="D70" s="101">
        <v>17</v>
      </c>
      <c r="E70" s="165">
        <f t="shared" si="1"/>
        <v>6478.36</v>
      </c>
    </row>
    <row r="71" spans="1:5">
      <c r="A71" s="174" t="s">
        <v>463</v>
      </c>
      <c r="B71" s="20">
        <f>27.22*C71</f>
        <v>571.62</v>
      </c>
      <c r="C71" s="20">
        <v>21</v>
      </c>
      <c r="D71" s="101">
        <v>17</v>
      </c>
      <c r="E71" s="165">
        <f t="shared" si="1"/>
        <v>9717.5400000000009</v>
      </c>
    </row>
    <row r="72" spans="1:5">
      <c r="A72" s="174" t="s">
        <v>464</v>
      </c>
      <c r="B72" s="20">
        <v>933.22</v>
      </c>
      <c r="C72" s="39">
        <v>43</v>
      </c>
      <c r="D72" s="101">
        <v>64</v>
      </c>
      <c r="E72" s="165">
        <f t="shared" si="1"/>
        <v>59726.080000000002</v>
      </c>
    </row>
    <row r="73" spans="1:5">
      <c r="A73" s="174" t="s">
        <v>465</v>
      </c>
      <c r="B73" s="20">
        <f>13.61*C73</f>
        <v>217.76</v>
      </c>
      <c r="C73" s="20">
        <v>16</v>
      </c>
      <c r="D73" s="101">
        <v>41</v>
      </c>
      <c r="E73" s="165">
        <f t="shared" si="1"/>
        <v>8928.16</v>
      </c>
    </row>
    <row r="74" spans="1:5">
      <c r="A74" s="174" t="s">
        <v>466</v>
      </c>
      <c r="B74" s="20">
        <f>27.22*C74</f>
        <v>408.29999999999995</v>
      </c>
      <c r="C74" s="39">
        <v>15</v>
      </c>
      <c r="D74" s="101">
        <v>19</v>
      </c>
      <c r="E74" s="165">
        <f t="shared" si="1"/>
        <v>7757.6999999999989</v>
      </c>
    </row>
    <row r="75" spans="1:5">
      <c r="A75" s="174" t="s">
        <v>467</v>
      </c>
      <c r="B75" s="20">
        <f>22.68*C75</f>
        <v>612.36</v>
      </c>
      <c r="C75" s="39">
        <v>27</v>
      </c>
      <c r="D75" s="101">
        <v>19</v>
      </c>
      <c r="E75" s="165">
        <f t="shared" si="1"/>
        <v>11634.84</v>
      </c>
    </row>
    <row r="76" spans="1:5">
      <c r="A76" s="174" t="s">
        <v>63</v>
      </c>
      <c r="B76" s="20">
        <f>13.61*C76</f>
        <v>54.44</v>
      </c>
      <c r="C76" s="20">
        <v>4</v>
      </c>
      <c r="D76" s="101">
        <v>33</v>
      </c>
      <c r="E76" s="165">
        <f>D76*B76</f>
        <v>1796.52</v>
      </c>
    </row>
    <row r="77" spans="1:5">
      <c r="A77" s="174" t="s">
        <v>468</v>
      </c>
      <c r="B77" s="20">
        <f>5.4432*C77</f>
        <v>288.4896</v>
      </c>
      <c r="C77" s="20">
        <v>53</v>
      </c>
      <c r="D77" s="101">
        <v>280</v>
      </c>
      <c r="E77" s="165">
        <f>D77*C77</f>
        <v>14840</v>
      </c>
    </row>
    <row r="78" spans="1:5">
      <c r="A78" s="174"/>
      <c r="B78" s="20"/>
      <c r="C78" s="20"/>
      <c r="D78" s="101"/>
      <c r="E78" s="165"/>
    </row>
    <row r="79" spans="1:5">
      <c r="A79" s="174"/>
      <c r="B79" s="20"/>
      <c r="C79" s="20"/>
      <c r="D79" s="176" t="s">
        <v>469</v>
      </c>
      <c r="E79" s="166">
        <f>SUM(E65:E78)</f>
        <v>200463.58</v>
      </c>
    </row>
    <row r="80" spans="1:5" ht="13.5" thickBot="1">
      <c r="A80" s="177"/>
      <c r="B80" s="178"/>
      <c r="C80" s="178"/>
      <c r="D80" s="179"/>
      <c r="E80" s="180"/>
    </row>
    <row r="81" spans="1:5" ht="13.5" thickTop="1">
      <c r="A81" s="174"/>
      <c r="B81" s="20"/>
      <c r="C81" s="20"/>
      <c r="D81" s="101"/>
      <c r="E81" s="165"/>
    </row>
    <row r="82" spans="1:5">
      <c r="A82" s="156" t="s">
        <v>470</v>
      </c>
      <c r="B82" s="157" t="s">
        <v>4</v>
      </c>
      <c r="C82" s="170" t="s">
        <v>459</v>
      </c>
      <c r="D82" s="159" t="s">
        <v>6</v>
      </c>
      <c r="E82" s="160" t="s">
        <v>428</v>
      </c>
    </row>
    <row r="83" spans="1:5">
      <c r="A83" s="174" t="s">
        <v>471</v>
      </c>
      <c r="B83" s="20">
        <v>13</v>
      </c>
      <c r="C83" s="20"/>
      <c r="D83" s="101">
        <v>40</v>
      </c>
      <c r="E83" s="165">
        <f>D83*B83</f>
        <v>520</v>
      </c>
    </row>
    <row r="84" spans="1:5" ht="13.5" thickBot="1">
      <c r="A84" s="174"/>
      <c r="B84" s="20"/>
      <c r="C84" s="20"/>
      <c r="D84" s="101"/>
      <c r="E84" s="165"/>
    </row>
    <row r="85" spans="1:5" ht="13.5" thickTop="1">
      <c r="A85" s="181"/>
      <c r="B85" s="153"/>
      <c r="C85" s="153"/>
      <c r="D85" s="154"/>
      <c r="E85" s="155"/>
    </row>
    <row r="86" spans="1:5">
      <c r="A86" s="174"/>
      <c r="B86" s="20"/>
      <c r="C86" s="99"/>
      <c r="D86" s="176" t="s">
        <v>472</v>
      </c>
      <c r="E86" s="166">
        <f>E79+E60+E45+E83</f>
        <v>1514015.7080000001</v>
      </c>
    </row>
    <row r="87" spans="1:5" ht="13.5" thickBot="1">
      <c r="A87" s="177"/>
      <c r="B87" s="178"/>
      <c r="C87" s="178"/>
      <c r="D87" s="179"/>
      <c r="E87" s="180"/>
    </row>
    <row r="88" spans="1:5" ht="13.5" thickTop="1"/>
  </sheetData>
  <phoneticPr fontId="13" type="noConversion"/>
  <pageMargins left="0.75" right="0.75" top="1" bottom="1" header="0" footer="0"/>
  <headerFooter alignWithMargin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2:E46"/>
  <sheetViews>
    <sheetView workbookViewId="0">
      <selection activeCell="C6" sqref="C6"/>
    </sheetView>
  </sheetViews>
  <sheetFormatPr baseColWidth="10" defaultRowHeight="12.75"/>
  <cols>
    <col min="1" max="1" width="26.85546875" customWidth="1"/>
    <col min="2" max="2" width="11.85546875" customWidth="1"/>
    <col min="4" max="4" width="12.42578125" style="5" customWidth="1"/>
    <col min="5" max="5" width="17.42578125" style="5" customWidth="1"/>
  </cols>
  <sheetData>
    <row r="2" spans="1:5">
      <c r="B2" s="1" t="s">
        <v>473</v>
      </c>
    </row>
    <row r="4" spans="1:5">
      <c r="D4" s="5" t="s">
        <v>1</v>
      </c>
      <c r="E4" s="3">
        <v>40359</v>
      </c>
    </row>
    <row r="5" spans="1:5">
      <c r="B5" s="2"/>
    </row>
    <row r="6" spans="1:5">
      <c r="A6" s="1"/>
      <c r="B6" s="2"/>
      <c r="E6" s="4"/>
    </row>
    <row r="7" spans="1:5" ht="13.5" thickBot="1">
      <c r="A7" s="1"/>
      <c r="B7" s="2"/>
      <c r="E7" s="150"/>
    </row>
    <row r="8" spans="1:5" ht="13.5" thickTop="1">
      <c r="A8" s="151" t="s">
        <v>3</v>
      </c>
      <c r="B8" s="152"/>
      <c r="C8" s="153"/>
      <c r="D8" s="154"/>
      <c r="E8" s="155"/>
    </row>
    <row r="9" spans="1:5">
      <c r="A9" s="156" t="s">
        <v>474</v>
      </c>
      <c r="B9" s="157" t="s">
        <v>4</v>
      </c>
      <c r="C9" s="158" t="s">
        <v>5</v>
      </c>
      <c r="D9" s="159" t="s">
        <v>6</v>
      </c>
      <c r="E9" s="160" t="s">
        <v>428</v>
      </c>
    </row>
    <row r="10" spans="1:5">
      <c r="A10" s="161" t="s">
        <v>18</v>
      </c>
      <c r="B10" s="162">
        <f>776.4+837.4+289.6</f>
        <v>1903.4</v>
      </c>
      <c r="C10" s="163"/>
      <c r="D10" s="172">
        <v>17</v>
      </c>
      <c r="E10" s="165">
        <f t="shared" ref="E10:E18" si="0">D10*B10</f>
        <v>32357.800000000003</v>
      </c>
    </row>
    <row r="11" spans="1:5">
      <c r="A11" s="161" t="s">
        <v>475</v>
      </c>
      <c r="B11" s="182">
        <f>829.02+886.17+855.33+854.42+865.76+869.84+792.74+839+890.7+883.9+678+846.26+776.87+667.12+829.02+840.82+841.72+846.26+860.32+794.5+804.08</f>
        <v>17351.850000000002</v>
      </c>
      <c r="C11" s="182"/>
      <c r="D11" s="101">
        <v>28</v>
      </c>
      <c r="E11" s="165">
        <f t="shared" si="0"/>
        <v>485851.80000000005</v>
      </c>
    </row>
    <row r="12" spans="1:5">
      <c r="A12" s="161" t="s">
        <v>476</v>
      </c>
      <c r="B12" s="182">
        <f>933+912.2+926.7</f>
        <v>2771.9</v>
      </c>
      <c r="C12" s="182"/>
      <c r="D12" s="101">
        <v>28</v>
      </c>
      <c r="E12" s="165">
        <f t="shared" si="0"/>
        <v>77613.2</v>
      </c>
    </row>
    <row r="13" spans="1:5">
      <c r="A13" s="161" t="s">
        <v>24</v>
      </c>
      <c r="B13" s="162">
        <v>71.599999999999994</v>
      </c>
      <c r="C13" s="163"/>
      <c r="D13" s="164">
        <v>14</v>
      </c>
      <c r="E13" s="165">
        <f t="shared" si="0"/>
        <v>1002.3999999999999</v>
      </c>
    </row>
    <row r="14" spans="1:5">
      <c r="A14" s="161" t="s">
        <v>477</v>
      </c>
      <c r="B14" s="162">
        <v>63.2</v>
      </c>
      <c r="C14" s="163"/>
      <c r="D14" s="164">
        <v>17</v>
      </c>
      <c r="E14" s="165">
        <f t="shared" si="0"/>
        <v>1074.4000000000001</v>
      </c>
    </row>
    <row r="15" spans="1:5">
      <c r="A15" s="161" t="s">
        <v>446</v>
      </c>
      <c r="B15" s="183">
        <v>645</v>
      </c>
      <c r="C15" s="182"/>
      <c r="D15" s="184">
        <v>36</v>
      </c>
      <c r="E15" s="185">
        <f t="shared" si="0"/>
        <v>23220</v>
      </c>
    </row>
    <row r="16" spans="1:5">
      <c r="A16" s="161" t="s">
        <v>447</v>
      </c>
      <c r="B16" s="183">
        <v>583.20000000000005</v>
      </c>
      <c r="C16" s="182"/>
      <c r="D16" s="184">
        <v>39</v>
      </c>
      <c r="E16" s="185">
        <f t="shared" si="0"/>
        <v>22744.800000000003</v>
      </c>
    </row>
    <row r="17" spans="1:5">
      <c r="A17" s="161" t="s">
        <v>42</v>
      </c>
      <c r="B17" s="162">
        <v>25</v>
      </c>
      <c r="C17" s="163"/>
      <c r="D17" s="164">
        <v>25</v>
      </c>
      <c r="E17" s="165">
        <f t="shared" si="0"/>
        <v>625</v>
      </c>
    </row>
    <row r="18" spans="1:5">
      <c r="A18" s="161" t="s">
        <v>48</v>
      </c>
      <c r="B18" s="183">
        <v>131.84</v>
      </c>
      <c r="C18" s="182"/>
      <c r="D18" s="184">
        <v>29</v>
      </c>
      <c r="E18" s="185">
        <f t="shared" si="0"/>
        <v>3823.36</v>
      </c>
    </row>
    <row r="19" spans="1:5">
      <c r="A19" s="174"/>
      <c r="B19" s="20"/>
      <c r="C19" s="20"/>
      <c r="D19" s="101"/>
      <c r="E19" s="165"/>
    </row>
    <row r="20" spans="1:5">
      <c r="A20" s="174"/>
      <c r="B20" s="20"/>
      <c r="C20" s="20"/>
      <c r="D20" s="176" t="s">
        <v>451</v>
      </c>
      <c r="E20" s="166">
        <f>SUM(E10:E19)</f>
        <v>648312.76000000013</v>
      </c>
    </row>
    <row r="21" spans="1:5" ht="13.5" thickBot="1">
      <c r="A21" s="177"/>
      <c r="B21" s="178"/>
      <c r="C21" s="178"/>
      <c r="D21" s="179"/>
      <c r="E21" s="180"/>
    </row>
    <row r="22" spans="1:5" ht="13.5" thickTop="1">
      <c r="A22" s="181"/>
      <c r="B22" s="153"/>
      <c r="C22" s="153"/>
      <c r="D22" s="154"/>
      <c r="E22" s="155"/>
    </row>
    <row r="23" spans="1:5">
      <c r="A23" s="156" t="s">
        <v>3</v>
      </c>
      <c r="B23" s="19"/>
      <c r="C23" s="20"/>
      <c r="D23" s="101"/>
      <c r="E23" s="165"/>
    </row>
    <row r="24" spans="1:5">
      <c r="A24" s="156" t="s">
        <v>458</v>
      </c>
      <c r="B24" s="157" t="s">
        <v>4</v>
      </c>
      <c r="C24" s="170" t="s">
        <v>459</v>
      </c>
      <c r="D24" s="159" t="s">
        <v>6</v>
      </c>
      <c r="E24" s="160" t="s">
        <v>428</v>
      </c>
    </row>
    <row r="25" spans="1:5">
      <c r="A25" s="174" t="s">
        <v>460</v>
      </c>
      <c r="B25" s="20">
        <f>10*C25</f>
        <v>240</v>
      </c>
      <c r="C25" s="20">
        <v>24</v>
      </c>
      <c r="D25" s="101">
        <v>38.5</v>
      </c>
      <c r="E25" s="165">
        <f t="shared" ref="E25:E37" si="1">D25*B25</f>
        <v>9240</v>
      </c>
    </row>
    <row r="26" spans="1:5">
      <c r="A26" s="174" t="s">
        <v>478</v>
      </c>
      <c r="B26" s="20">
        <f>26.01+30.56+25.82</f>
        <v>82.39</v>
      </c>
      <c r="C26" s="186">
        <v>3</v>
      </c>
      <c r="D26" s="101">
        <v>43</v>
      </c>
      <c r="E26" s="165">
        <f t="shared" si="1"/>
        <v>3542.77</v>
      </c>
    </row>
    <row r="27" spans="1:5">
      <c r="A27" s="161" t="s">
        <v>479</v>
      </c>
      <c r="B27" s="182">
        <v>53.4</v>
      </c>
      <c r="C27" s="182">
        <v>2</v>
      </c>
      <c r="D27" s="184">
        <v>62</v>
      </c>
      <c r="E27" s="165">
        <f t="shared" si="1"/>
        <v>3310.7999999999997</v>
      </c>
    </row>
    <row r="28" spans="1:5">
      <c r="A28" s="161" t="s">
        <v>248</v>
      </c>
      <c r="B28" s="182">
        <f>22.2+21+27.7+27.9+27.8+24.4+28.5+25.5</f>
        <v>205</v>
      </c>
      <c r="C28" s="182">
        <v>8</v>
      </c>
      <c r="D28" s="184">
        <v>50</v>
      </c>
      <c r="E28" s="165">
        <f t="shared" si="1"/>
        <v>10250</v>
      </c>
    </row>
    <row r="29" spans="1:5">
      <c r="A29" s="174" t="s">
        <v>461</v>
      </c>
      <c r="B29" s="20">
        <f>13.61*C29</f>
        <v>27.22</v>
      </c>
      <c r="C29" s="20">
        <v>2</v>
      </c>
      <c r="D29" s="101">
        <v>39</v>
      </c>
      <c r="E29" s="165">
        <f t="shared" si="1"/>
        <v>1061.58</v>
      </c>
    </row>
    <row r="30" spans="1:5">
      <c r="A30" s="174" t="s">
        <v>480</v>
      </c>
      <c r="B30" s="20">
        <f>13*C30</f>
        <v>65</v>
      </c>
      <c r="C30" s="186">
        <v>5</v>
      </c>
      <c r="D30" s="101">
        <v>27</v>
      </c>
      <c r="E30" s="165">
        <f t="shared" si="1"/>
        <v>1755</v>
      </c>
    </row>
    <row r="31" spans="1:5">
      <c r="A31" s="174" t="s">
        <v>21</v>
      </c>
      <c r="B31" s="20">
        <v>1060.3</v>
      </c>
      <c r="C31" s="186">
        <v>60</v>
      </c>
      <c r="D31" s="101">
        <v>39</v>
      </c>
      <c r="E31" s="165">
        <f t="shared" si="1"/>
        <v>41351.699999999997</v>
      </c>
    </row>
    <row r="32" spans="1:5">
      <c r="A32" s="174" t="s">
        <v>464</v>
      </c>
      <c r="B32" s="20">
        <f>20.74+23.8</f>
        <v>44.54</v>
      </c>
      <c r="C32" s="20">
        <v>2</v>
      </c>
      <c r="D32" s="101">
        <v>66</v>
      </c>
      <c r="E32" s="165">
        <f t="shared" si="1"/>
        <v>2939.64</v>
      </c>
    </row>
    <row r="33" spans="1:5">
      <c r="A33" s="174" t="s">
        <v>465</v>
      </c>
      <c r="B33" s="20">
        <f>13.61*C33</f>
        <v>204.14999999999998</v>
      </c>
      <c r="C33" s="20">
        <v>15</v>
      </c>
      <c r="D33" s="101">
        <v>41</v>
      </c>
      <c r="E33" s="165">
        <f t="shared" si="1"/>
        <v>8370.15</v>
      </c>
    </row>
    <row r="34" spans="1:5">
      <c r="A34" s="174" t="s">
        <v>466</v>
      </c>
      <c r="B34" s="20">
        <f>27.22*C34</f>
        <v>435.52</v>
      </c>
      <c r="C34" s="39">
        <v>16</v>
      </c>
      <c r="D34" s="101">
        <v>19</v>
      </c>
      <c r="E34" s="165">
        <f t="shared" si="1"/>
        <v>8274.8799999999992</v>
      </c>
    </row>
    <row r="35" spans="1:5">
      <c r="A35" s="174" t="s">
        <v>467</v>
      </c>
      <c r="B35" s="20">
        <f>22.68*C35</f>
        <v>521.64</v>
      </c>
      <c r="C35" s="187">
        <v>23</v>
      </c>
      <c r="D35" s="101">
        <v>19</v>
      </c>
      <c r="E35" s="165">
        <f t="shared" si="1"/>
        <v>9911.16</v>
      </c>
    </row>
    <row r="36" spans="1:5">
      <c r="A36" s="174" t="s">
        <v>481</v>
      </c>
      <c r="B36" s="20">
        <f>13.61*C36</f>
        <v>54.44</v>
      </c>
      <c r="C36" s="187">
        <v>4</v>
      </c>
      <c r="D36" s="101">
        <v>18</v>
      </c>
      <c r="E36" s="165">
        <f t="shared" si="1"/>
        <v>979.92</v>
      </c>
    </row>
    <row r="37" spans="1:5">
      <c r="A37" s="174" t="s">
        <v>63</v>
      </c>
      <c r="B37" s="20">
        <f>13.61*C37</f>
        <v>136.1</v>
      </c>
      <c r="C37" s="186">
        <v>10</v>
      </c>
      <c r="D37" s="101">
        <v>34</v>
      </c>
      <c r="E37" s="165">
        <f t="shared" si="1"/>
        <v>4627.3999999999996</v>
      </c>
    </row>
    <row r="38" spans="1:5">
      <c r="A38" s="174" t="s">
        <v>468</v>
      </c>
      <c r="B38" s="20">
        <f>5.4432*C38</f>
        <v>179.62559999999999</v>
      </c>
      <c r="C38" s="39">
        <v>33</v>
      </c>
      <c r="D38" s="101">
        <v>280</v>
      </c>
      <c r="E38" s="165">
        <f>D38*C38</f>
        <v>9240</v>
      </c>
    </row>
    <row r="39" spans="1:5">
      <c r="A39" s="174" t="s">
        <v>482</v>
      </c>
      <c r="B39" s="20"/>
      <c r="C39" s="39">
        <v>92</v>
      </c>
      <c r="D39" s="101">
        <v>40</v>
      </c>
      <c r="E39" s="165">
        <f>D39*C39</f>
        <v>3680</v>
      </c>
    </row>
    <row r="40" spans="1:5" ht="14.25" customHeight="1">
      <c r="A40" s="174"/>
      <c r="B40" s="20"/>
      <c r="C40" s="20"/>
      <c r="D40" s="101"/>
      <c r="E40" s="165"/>
    </row>
    <row r="41" spans="1:5" ht="14.25" customHeight="1">
      <c r="A41" s="174"/>
      <c r="B41" s="20"/>
      <c r="C41" s="20"/>
      <c r="D41" s="176" t="s">
        <v>469</v>
      </c>
      <c r="E41" s="166">
        <f>SUM(E25:E40)</f>
        <v>118535</v>
      </c>
    </row>
    <row r="42" spans="1:5" ht="13.5" thickBot="1">
      <c r="A42" s="177"/>
      <c r="B42" s="178"/>
      <c r="C42" s="178"/>
      <c r="D42" s="179"/>
      <c r="E42" s="180"/>
    </row>
    <row r="43" spans="1:5" ht="13.5" thickTop="1">
      <c r="A43" s="181"/>
      <c r="B43" s="153"/>
      <c r="C43" s="153"/>
      <c r="D43" s="154"/>
      <c r="E43" s="155"/>
    </row>
    <row r="44" spans="1:5">
      <c r="A44" s="174"/>
      <c r="B44" s="20"/>
      <c r="C44" s="99"/>
      <c r="D44" s="176" t="s">
        <v>483</v>
      </c>
      <c r="E44" s="166">
        <f>E41+E20</f>
        <v>766847.76000000013</v>
      </c>
    </row>
    <row r="45" spans="1:5" ht="13.5" thickBot="1">
      <c r="A45" s="177"/>
      <c r="B45" s="178"/>
      <c r="C45" s="178"/>
      <c r="D45" s="179"/>
      <c r="E45" s="180"/>
    </row>
    <row r="46" spans="1:5" ht="13.5" thickTop="1"/>
  </sheetData>
  <phoneticPr fontId="13" type="noConversion"/>
  <pageMargins left="0.75" right="0.75" top="1" bottom="1" header="0" footer="0"/>
  <headerFooter alignWithMargin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F46"/>
  <sheetViews>
    <sheetView workbookViewId="0">
      <selection activeCell="H15" sqref="H15"/>
    </sheetView>
  </sheetViews>
  <sheetFormatPr baseColWidth="10" defaultRowHeight="12.75"/>
  <cols>
    <col min="1" max="1" width="21.7109375" customWidth="1"/>
    <col min="4" max="4" width="12.28515625" customWidth="1"/>
  </cols>
  <sheetData>
    <row r="1" spans="1:6" ht="19.5" thickBot="1">
      <c r="A1" s="188" t="s">
        <v>484</v>
      </c>
      <c r="B1" s="189"/>
      <c r="C1" s="189"/>
      <c r="D1" s="190">
        <v>40359</v>
      </c>
      <c r="E1" s="191"/>
      <c r="F1" s="191"/>
    </row>
    <row r="2" spans="1:6" ht="13.5" thickBot="1">
      <c r="A2" s="192"/>
      <c r="B2" s="193" t="s">
        <v>485</v>
      </c>
      <c r="C2" s="193" t="s">
        <v>486</v>
      </c>
      <c r="D2" s="193" t="s">
        <v>487</v>
      </c>
      <c r="E2" s="194" t="s">
        <v>488</v>
      </c>
      <c r="F2" s="195" t="s">
        <v>120</v>
      </c>
    </row>
    <row r="3" spans="1:6">
      <c r="A3" s="196" t="s">
        <v>422</v>
      </c>
      <c r="B3" s="197">
        <v>1</v>
      </c>
      <c r="C3" s="197"/>
      <c r="D3" s="198">
        <v>10</v>
      </c>
      <c r="E3" s="199">
        <v>40</v>
      </c>
      <c r="F3" s="199">
        <f t="shared" ref="F3:F36" si="0">D3*E3</f>
        <v>400</v>
      </c>
    </row>
    <row r="4" spans="1:6">
      <c r="A4" s="196" t="s">
        <v>422</v>
      </c>
      <c r="B4" s="200"/>
      <c r="C4" s="200"/>
      <c r="D4" s="198">
        <v>5.32</v>
      </c>
      <c r="E4" s="199">
        <v>48</v>
      </c>
      <c r="F4" s="199">
        <f t="shared" si="0"/>
        <v>255.36</v>
      </c>
    </row>
    <row r="5" spans="1:6">
      <c r="A5" s="201" t="s">
        <v>489</v>
      </c>
      <c r="B5" s="200"/>
      <c r="C5" s="200"/>
      <c r="D5" s="202">
        <v>52.5</v>
      </c>
      <c r="E5" s="203">
        <v>38</v>
      </c>
      <c r="F5" s="203">
        <f t="shared" si="0"/>
        <v>1995</v>
      </c>
    </row>
    <row r="6" spans="1:6">
      <c r="A6" s="196" t="s">
        <v>424</v>
      </c>
      <c r="B6" s="200" t="s">
        <v>490</v>
      </c>
      <c r="C6" s="200"/>
      <c r="D6" s="198">
        <v>16.399999999999999</v>
      </c>
      <c r="E6" s="199">
        <v>70</v>
      </c>
      <c r="F6" s="199">
        <f t="shared" si="0"/>
        <v>1148</v>
      </c>
    </row>
    <row r="7" spans="1:6">
      <c r="A7" s="196" t="s">
        <v>491</v>
      </c>
      <c r="B7" s="200"/>
      <c r="C7" s="200"/>
      <c r="D7" s="198">
        <f>2.26+4.94</f>
        <v>7.2</v>
      </c>
      <c r="E7" s="199">
        <v>34</v>
      </c>
      <c r="F7" s="199">
        <f t="shared" si="0"/>
        <v>244.8</v>
      </c>
    </row>
    <row r="8" spans="1:6">
      <c r="A8" s="196" t="s">
        <v>492</v>
      </c>
      <c r="B8" s="200" t="s">
        <v>493</v>
      </c>
      <c r="C8" s="200"/>
      <c r="D8" s="198">
        <v>13.44</v>
      </c>
      <c r="E8" s="199">
        <v>47</v>
      </c>
      <c r="F8" s="199">
        <f t="shared" si="0"/>
        <v>631.67999999999995</v>
      </c>
    </row>
    <row r="9" spans="1:6">
      <c r="A9" s="196" t="s">
        <v>494</v>
      </c>
      <c r="B9" s="200" t="s">
        <v>490</v>
      </c>
      <c r="C9" s="200"/>
      <c r="D9" s="198">
        <f>202.5+101</f>
        <v>303.5</v>
      </c>
      <c r="E9" s="199">
        <v>17.5</v>
      </c>
      <c r="F9" s="199">
        <f t="shared" si="0"/>
        <v>5311.25</v>
      </c>
    </row>
    <row r="10" spans="1:6">
      <c r="A10" s="201" t="s">
        <v>495</v>
      </c>
      <c r="B10" s="200"/>
      <c r="C10" s="200"/>
      <c r="D10" s="202">
        <v>916.7</v>
      </c>
      <c r="E10" s="203">
        <v>28</v>
      </c>
      <c r="F10" s="203">
        <f t="shared" si="0"/>
        <v>25667.600000000002</v>
      </c>
    </row>
    <row r="11" spans="1:6">
      <c r="A11" s="196" t="s">
        <v>423</v>
      </c>
      <c r="B11" s="200">
        <v>6</v>
      </c>
      <c r="C11" s="200"/>
      <c r="D11" s="198">
        <f>35.2+31.1+29.8+30.7+31.7+31.2</f>
        <v>189.7</v>
      </c>
      <c r="E11" s="199">
        <v>52</v>
      </c>
      <c r="F11" s="199">
        <f t="shared" si="0"/>
        <v>9864.4</v>
      </c>
    </row>
    <row r="12" spans="1:6">
      <c r="A12" s="196" t="s">
        <v>496</v>
      </c>
      <c r="B12" s="200">
        <v>1</v>
      </c>
      <c r="C12" s="200">
        <v>11.16</v>
      </c>
      <c r="D12" s="189">
        <f>B12*C12</f>
        <v>11.16</v>
      </c>
      <c r="E12" s="199">
        <v>26</v>
      </c>
      <c r="F12" s="199">
        <f t="shared" si="0"/>
        <v>290.16000000000003</v>
      </c>
    </row>
    <row r="13" spans="1:6">
      <c r="A13" s="196" t="s">
        <v>497</v>
      </c>
      <c r="B13" s="200" t="s">
        <v>490</v>
      </c>
      <c r="C13" s="200"/>
      <c r="D13" s="189">
        <v>145.5</v>
      </c>
      <c r="E13" s="199">
        <v>14</v>
      </c>
      <c r="F13" s="199">
        <f t="shared" si="0"/>
        <v>2037</v>
      </c>
    </row>
    <row r="14" spans="1:6">
      <c r="A14" s="196" t="s">
        <v>498</v>
      </c>
      <c r="B14" s="200"/>
      <c r="C14" s="200"/>
      <c r="D14" s="198">
        <v>11.2</v>
      </c>
      <c r="E14" s="199">
        <v>20</v>
      </c>
      <c r="F14" s="199">
        <f t="shared" si="0"/>
        <v>224</v>
      </c>
    </row>
    <row r="15" spans="1:6">
      <c r="A15" s="196" t="s">
        <v>499</v>
      </c>
      <c r="B15" s="200">
        <v>3</v>
      </c>
      <c r="C15" s="200">
        <v>27.22</v>
      </c>
      <c r="D15" s="198">
        <f>B15*C15</f>
        <v>81.66</v>
      </c>
      <c r="E15" s="199">
        <v>18.5</v>
      </c>
      <c r="F15" s="199">
        <f t="shared" si="0"/>
        <v>1510.71</v>
      </c>
    </row>
    <row r="16" spans="1:6">
      <c r="A16" s="196" t="s">
        <v>500</v>
      </c>
      <c r="B16" s="200" t="s">
        <v>490</v>
      </c>
      <c r="C16" s="200"/>
      <c r="D16" s="198">
        <v>7.9</v>
      </c>
      <c r="E16" s="199">
        <v>24</v>
      </c>
      <c r="F16" s="199">
        <f t="shared" si="0"/>
        <v>189.60000000000002</v>
      </c>
    </row>
    <row r="17" spans="1:6">
      <c r="A17" s="196" t="s">
        <v>501</v>
      </c>
      <c r="B17" s="200" t="s">
        <v>490</v>
      </c>
      <c r="C17" s="200"/>
      <c r="D17" s="198">
        <v>15.36</v>
      </c>
      <c r="E17" s="199">
        <v>38</v>
      </c>
      <c r="F17" s="199">
        <f t="shared" si="0"/>
        <v>583.67999999999995</v>
      </c>
    </row>
    <row r="18" spans="1:6">
      <c r="A18" s="201" t="s">
        <v>502</v>
      </c>
      <c r="B18" s="200"/>
      <c r="C18" s="200"/>
      <c r="D18" s="202">
        <v>3.82</v>
      </c>
      <c r="E18" s="203">
        <v>16</v>
      </c>
      <c r="F18" s="203">
        <f t="shared" si="0"/>
        <v>61.12</v>
      </c>
    </row>
    <row r="19" spans="1:6">
      <c r="A19" s="196" t="s">
        <v>503</v>
      </c>
      <c r="B19" s="200" t="s">
        <v>504</v>
      </c>
      <c r="C19" s="200"/>
      <c r="D19" s="198">
        <v>22.68</v>
      </c>
      <c r="E19" s="199">
        <v>32</v>
      </c>
      <c r="F19" s="199">
        <f t="shared" si="0"/>
        <v>725.76</v>
      </c>
    </row>
    <row r="20" spans="1:6">
      <c r="A20" s="196" t="s">
        <v>505</v>
      </c>
      <c r="B20" s="200"/>
      <c r="C20" s="200"/>
      <c r="D20" s="198">
        <v>5.0199999999999996</v>
      </c>
      <c r="E20" s="199">
        <v>40</v>
      </c>
      <c r="F20" s="199">
        <f t="shared" si="0"/>
        <v>200.79999999999998</v>
      </c>
    </row>
    <row r="21" spans="1:6">
      <c r="A21" s="196" t="s">
        <v>506</v>
      </c>
      <c r="B21" s="200" t="s">
        <v>490</v>
      </c>
      <c r="C21" s="200"/>
      <c r="D21" s="198">
        <v>10.56</v>
      </c>
      <c r="E21" s="199">
        <v>48</v>
      </c>
      <c r="F21" s="199">
        <f t="shared" si="0"/>
        <v>506.88</v>
      </c>
    </row>
    <row r="22" spans="1:6">
      <c r="A22" s="196" t="s">
        <v>507</v>
      </c>
      <c r="B22" s="200" t="s">
        <v>490</v>
      </c>
      <c r="C22" s="200"/>
      <c r="D22" s="198">
        <v>9.1</v>
      </c>
      <c r="E22" s="199">
        <v>32</v>
      </c>
      <c r="F22" s="199">
        <f t="shared" si="0"/>
        <v>291.2</v>
      </c>
    </row>
    <row r="23" spans="1:6">
      <c r="A23" s="196" t="s">
        <v>508</v>
      </c>
      <c r="B23" s="200"/>
      <c r="C23" s="200"/>
      <c r="D23" s="198">
        <v>18.48</v>
      </c>
      <c r="E23" s="199">
        <v>15</v>
      </c>
      <c r="F23" s="199">
        <f t="shared" si="0"/>
        <v>277.2</v>
      </c>
    </row>
    <row r="24" spans="1:6">
      <c r="A24" s="196" t="s">
        <v>509</v>
      </c>
      <c r="B24" s="200" t="s">
        <v>490</v>
      </c>
      <c r="C24" s="200"/>
      <c r="D24" s="198">
        <v>1.69</v>
      </c>
      <c r="E24" s="199">
        <v>54</v>
      </c>
      <c r="F24" s="199">
        <f t="shared" si="0"/>
        <v>91.259999999999991</v>
      </c>
    </row>
    <row r="25" spans="1:6">
      <c r="A25" s="196" t="s">
        <v>510</v>
      </c>
      <c r="B25" s="200" t="s">
        <v>490</v>
      </c>
      <c r="C25" s="200"/>
      <c r="D25" s="198">
        <v>11.38</v>
      </c>
      <c r="E25" s="199">
        <v>68</v>
      </c>
      <c r="F25" s="199">
        <f t="shared" si="0"/>
        <v>773.84</v>
      </c>
    </row>
    <row r="26" spans="1:6">
      <c r="A26" s="196" t="s">
        <v>511</v>
      </c>
      <c r="B26" s="200" t="s">
        <v>490</v>
      </c>
      <c r="C26" s="200"/>
      <c r="D26" s="198">
        <v>7.3</v>
      </c>
      <c r="E26" s="199">
        <v>26</v>
      </c>
      <c r="F26" s="199">
        <f t="shared" si="0"/>
        <v>189.79999999999998</v>
      </c>
    </row>
    <row r="27" spans="1:6">
      <c r="A27" s="196" t="s">
        <v>512</v>
      </c>
      <c r="B27" s="200">
        <v>2</v>
      </c>
      <c r="C27" s="200">
        <v>27.22</v>
      </c>
      <c r="D27" s="198">
        <f>B27*C27</f>
        <v>54.44</v>
      </c>
      <c r="E27" s="199">
        <v>20</v>
      </c>
      <c r="F27" s="199">
        <f t="shared" si="0"/>
        <v>1088.8</v>
      </c>
    </row>
    <row r="28" spans="1:6">
      <c r="A28" s="201" t="s">
        <v>513</v>
      </c>
      <c r="B28" s="200" t="s">
        <v>490</v>
      </c>
      <c r="C28" s="200"/>
      <c r="D28" s="198">
        <v>7.86</v>
      </c>
      <c r="E28" s="203">
        <v>26</v>
      </c>
      <c r="F28" s="199">
        <f t="shared" si="0"/>
        <v>204.36</v>
      </c>
    </row>
    <row r="29" spans="1:6">
      <c r="A29" s="196" t="s">
        <v>514</v>
      </c>
      <c r="B29" s="200" t="s">
        <v>490</v>
      </c>
      <c r="C29" s="200"/>
      <c r="D29" s="198">
        <v>11.04</v>
      </c>
      <c r="E29" s="199">
        <v>36</v>
      </c>
      <c r="F29" s="199">
        <f t="shared" si="0"/>
        <v>397.43999999999994</v>
      </c>
    </row>
    <row r="30" spans="1:6">
      <c r="A30" s="196" t="s">
        <v>515</v>
      </c>
      <c r="B30" s="200"/>
      <c r="C30" s="200"/>
      <c r="D30" s="198">
        <v>25.9</v>
      </c>
      <c r="E30" s="199">
        <v>46</v>
      </c>
      <c r="F30" s="199">
        <f t="shared" si="0"/>
        <v>1191.3999999999999</v>
      </c>
    </row>
    <row r="31" spans="1:6">
      <c r="A31" s="196" t="s">
        <v>516</v>
      </c>
      <c r="B31" s="200" t="s">
        <v>490</v>
      </c>
      <c r="C31" s="200"/>
      <c r="D31" s="198">
        <v>46.5</v>
      </c>
      <c r="E31" s="199">
        <v>29</v>
      </c>
      <c r="F31" s="199">
        <f t="shared" si="0"/>
        <v>1348.5</v>
      </c>
    </row>
    <row r="32" spans="1:6">
      <c r="A32" s="201" t="s">
        <v>516</v>
      </c>
      <c r="B32" s="204" t="s">
        <v>517</v>
      </c>
      <c r="C32" s="200"/>
      <c r="D32" s="202">
        <v>647.96</v>
      </c>
      <c r="E32" s="203">
        <v>28.5</v>
      </c>
      <c r="F32" s="203">
        <f t="shared" si="0"/>
        <v>18466.86</v>
      </c>
    </row>
    <row r="33" spans="1:6">
      <c r="A33" s="196" t="s">
        <v>518</v>
      </c>
      <c r="B33" s="200"/>
      <c r="C33" s="200"/>
      <c r="D33" s="198">
        <v>13.88</v>
      </c>
      <c r="E33" s="199">
        <v>37</v>
      </c>
      <c r="F33" s="199">
        <f t="shared" si="0"/>
        <v>513.56000000000006</v>
      </c>
    </row>
    <row r="34" spans="1:6">
      <c r="A34" s="196" t="s">
        <v>519</v>
      </c>
      <c r="B34" s="200" t="s">
        <v>490</v>
      </c>
      <c r="C34" s="200"/>
      <c r="D34" s="198">
        <v>17.600000000000001</v>
      </c>
      <c r="E34" s="199">
        <v>46</v>
      </c>
      <c r="F34" s="199">
        <f t="shared" si="0"/>
        <v>809.6</v>
      </c>
    </row>
    <row r="35" spans="1:6">
      <c r="A35" s="196" t="s">
        <v>520</v>
      </c>
      <c r="B35" s="200" t="s">
        <v>490</v>
      </c>
      <c r="C35" s="200"/>
      <c r="D35" s="198">
        <v>6.2</v>
      </c>
      <c r="E35" s="199">
        <v>40</v>
      </c>
      <c r="F35" s="199">
        <f t="shared" si="0"/>
        <v>248</v>
      </c>
    </row>
    <row r="36" spans="1:6">
      <c r="A36" s="196" t="s">
        <v>521</v>
      </c>
      <c r="B36" s="200"/>
      <c r="C36" s="200"/>
      <c r="D36" s="198">
        <v>0.245</v>
      </c>
      <c r="E36" s="199">
        <v>28</v>
      </c>
      <c r="F36" s="199">
        <f t="shared" si="0"/>
        <v>6.8599999999999994</v>
      </c>
    </row>
    <row r="37" spans="1:6">
      <c r="A37" s="196" t="s">
        <v>522</v>
      </c>
      <c r="B37" s="200">
        <v>3</v>
      </c>
      <c r="C37" s="200">
        <v>5.44</v>
      </c>
      <c r="D37" s="198"/>
      <c r="E37" s="199">
        <v>260</v>
      </c>
      <c r="F37" s="199">
        <f>B37*E37</f>
        <v>780</v>
      </c>
    </row>
    <row r="38" spans="1:6">
      <c r="A38" s="201" t="s">
        <v>523</v>
      </c>
      <c r="B38" s="200" t="s">
        <v>524</v>
      </c>
      <c r="C38" s="200"/>
      <c r="D38" s="198">
        <f>2.5*5</f>
        <v>12.5</v>
      </c>
      <c r="E38" s="203">
        <v>58</v>
      </c>
      <c r="F38" s="199">
        <f>D38*E38</f>
        <v>725</v>
      </c>
    </row>
    <row r="39" spans="1:6">
      <c r="A39" s="196" t="s">
        <v>525</v>
      </c>
      <c r="B39" s="200"/>
      <c r="C39" s="200"/>
      <c r="D39" s="198">
        <v>4.78</v>
      </c>
      <c r="E39" s="199">
        <v>80</v>
      </c>
      <c r="F39" s="199">
        <f>D39*E39</f>
        <v>382.40000000000003</v>
      </c>
    </row>
    <row r="40" spans="1:6" ht="13.5" thickBot="1">
      <c r="A40" s="196" t="s">
        <v>526</v>
      </c>
      <c r="B40" s="205" t="s">
        <v>527</v>
      </c>
      <c r="C40" s="205"/>
      <c r="D40" s="198">
        <v>9</v>
      </c>
      <c r="E40" s="199">
        <v>45</v>
      </c>
      <c r="F40" s="199">
        <f>D40*E40</f>
        <v>405</v>
      </c>
    </row>
    <row r="41" spans="1:6" ht="19.5" thickBot="1">
      <c r="A41" s="206" t="s">
        <v>528</v>
      </c>
      <c r="B41" s="193"/>
      <c r="C41" s="193"/>
      <c r="D41" s="193"/>
      <c r="E41" s="194"/>
      <c r="F41" s="207">
        <f ca="1">SUM(F3:F43)</f>
        <v>80071.48</v>
      </c>
    </row>
    <row r="42" spans="1:6">
      <c r="A42" s="189"/>
      <c r="B42" s="189"/>
      <c r="C42" s="189"/>
      <c r="D42" s="189"/>
      <c r="E42" s="191"/>
      <c r="F42" s="191"/>
    </row>
    <row r="43" spans="1:6">
      <c r="A43" s="189"/>
      <c r="B43" s="189"/>
      <c r="C43" s="189"/>
      <c r="D43" s="189"/>
      <c r="E43" s="191"/>
      <c r="F43" s="191"/>
    </row>
    <row r="44" spans="1:6">
      <c r="A44" s="189"/>
      <c r="B44" s="189"/>
      <c r="C44" s="189"/>
      <c r="D44" s="189"/>
      <c r="E44" s="191"/>
      <c r="F44" s="191"/>
    </row>
    <row r="45" spans="1:6">
      <c r="A45" s="208"/>
      <c r="B45" s="208"/>
      <c r="C45" s="208"/>
      <c r="D45" s="208"/>
      <c r="E45" s="209"/>
      <c r="F45" s="209"/>
    </row>
    <row r="46" spans="1:6">
      <c r="A46" s="208"/>
      <c r="B46" s="208"/>
      <c r="C46" s="208"/>
      <c r="D46" s="208"/>
      <c r="E46" s="209"/>
      <c r="F46" s="209"/>
    </row>
  </sheetData>
  <phoneticPr fontId="0" type="noConversion"/>
  <pageMargins left="0.75" right="0.75" top="1" bottom="1" header="0" footer="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dimension ref="A1:G140"/>
  <sheetViews>
    <sheetView workbookViewId="0">
      <selection activeCell="H5" sqref="H5"/>
    </sheetView>
  </sheetViews>
  <sheetFormatPr baseColWidth="10" defaultRowHeight="12.75"/>
  <cols>
    <col min="1" max="1" width="25.7109375" customWidth="1"/>
    <col min="2" max="2" width="12.85546875" style="2" customWidth="1"/>
    <col min="3" max="3" width="8.42578125" customWidth="1"/>
    <col min="5" max="5" width="12.5703125" customWidth="1"/>
  </cols>
  <sheetData>
    <row r="1" spans="1:7">
      <c r="A1" s="1" t="s">
        <v>0</v>
      </c>
      <c r="D1" t="s">
        <v>1</v>
      </c>
      <c r="E1" s="3">
        <v>40359</v>
      </c>
    </row>
    <row r="2" spans="1:7">
      <c r="A2" s="1"/>
      <c r="E2" s="4"/>
      <c r="G2" s="20"/>
    </row>
    <row r="3" spans="1:7">
      <c r="A3" s="1"/>
      <c r="D3" s="5"/>
      <c r="E3" s="6"/>
      <c r="G3" s="20"/>
    </row>
    <row r="4" spans="1:7">
      <c r="A4" s="1" t="s">
        <v>2</v>
      </c>
      <c r="D4" s="5"/>
      <c r="E4" s="7"/>
      <c r="G4" s="20"/>
    </row>
    <row r="5" spans="1:7" ht="12" customHeight="1">
      <c r="A5" s="1" t="s">
        <v>3</v>
      </c>
      <c r="B5" s="8" t="s">
        <v>4</v>
      </c>
      <c r="C5" s="9" t="s">
        <v>5</v>
      </c>
      <c r="D5" s="10" t="s">
        <v>6</v>
      </c>
      <c r="E5" s="11" t="s">
        <v>7</v>
      </c>
      <c r="G5" s="20"/>
    </row>
    <row r="6" spans="1:7" hidden="1">
      <c r="A6" s="12" t="s">
        <v>8</v>
      </c>
      <c r="B6" s="13"/>
      <c r="C6" s="14"/>
      <c r="D6" s="5">
        <v>37</v>
      </c>
      <c r="E6" s="7">
        <f t="shared" ref="E6:E62" si="0">D6*B6</f>
        <v>0</v>
      </c>
      <c r="G6" s="20"/>
    </row>
    <row r="7" spans="1:7">
      <c r="A7" s="15" t="s">
        <v>9</v>
      </c>
      <c r="B7" s="13">
        <v>4</v>
      </c>
      <c r="C7" s="14"/>
      <c r="D7" s="5">
        <v>75</v>
      </c>
      <c r="E7" s="7">
        <f>D7*B7</f>
        <v>300</v>
      </c>
      <c r="G7" s="20"/>
    </row>
    <row r="8" spans="1:7">
      <c r="A8" s="15" t="s">
        <v>10</v>
      </c>
      <c r="B8" s="13">
        <v>7.72</v>
      </c>
      <c r="C8" s="14"/>
      <c r="D8" s="5">
        <v>40</v>
      </c>
      <c r="E8" s="7">
        <f>D8*B8</f>
        <v>308.8</v>
      </c>
      <c r="G8" s="20"/>
    </row>
    <row r="9" spans="1:7" hidden="1">
      <c r="A9" s="15" t="s">
        <v>11</v>
      </c>
      <c r="B9" s="13"/>
      <c r="C9" s="14"/>
      <c r="D9" s="5">
        <v>50</v>
      </c>
      <c r="E9" s="7">
        <f>D9*B9</f>
        <v>0</v>
      </c>
      <c r="G9" s="20"/>
    </row>
    <row r="10" spans="1:7">
      <c r="A10" s="15" t="s">
        <v>12</v>
      </c>
      <c r="B10" s="13">
        <v>15.54</v>
      </c>
      <c r="C10" s="14"/>
      <c r="D10" s="5">
        <v>20</v>
      </c>
      <c r="E10" s="7">
        <f t="shared" si="0"/>
        <v>310.79999999999995</v>
      </c>
      <c r="G10" s="20"/>
    </row>
    <row r="11" spans="1:7">
      <c r="A11" s="15" t="s">
        <v>13</v>
      </c>
      <c r="B11" s="13">
        <v>10.76</v>
      </c>
      <c r="C11" s="14"/>
      <c r="D11" s="5">
        <v>42</v>
      </c>
      <c r="E11" s="7">
        <f t="shared" si="0"/>
        <v>451.92</v>
      </c>
      <c r="G11" s="20"/>
    </row>
    <row r="12" spans="1:7">
      <c r="A12" s="15" t="s">
        <v>14</v>
      </c>
      <c r="B12" s="13">
        <v>178.7</v>
      </c>
      <c r="C12" s="14">
        <v>2</v>
      </c>
      <c r="D12" s="5">
        <v>32.5</v>
      </c>
      <c r="E12" s="7">
        <f t="shared" si="0"/>
        <v>5807.75</v>
      </c>
      <c r="G12" s="20"/>
    </row>
    <row r="13" spans="1:7" hidden="1">
      <c r="A13" s="15" t="s">
        <v>15</v>
      </c>
      <c r="B13" s="13"/>
      <c r="C13" s="14"/>
      <c r="D13" s="5">
        <v>35</v>
      </c>
      <c r="E13" s="7">
        <f t="shared" si="0"/>
        <v>0</v>
      </c>
      <c r="G13" s="20"/>
    </row>
    <row r="14" spans="1:7" hidden="1">
      <c r="A14" s="15" t="s">
        <v>16</v>
      </c>
      <c r="B14" s="13"/>
      <c r="C14" s="14"/>
      <c r="D14" s="5">
        <v>90</v>
      </c>
      <c r="E14" s="7">
        <f t="shared" si="0"/>
        <v>0</v>
      </c>
      <c r="G14" s="20"/>
    </row>
    <row r="15" spans="1:7">
      <c r="A15" s="15" t="s">
        <v>17</v>
      </c>
      <c r="B15" s="13">
        <f>82.88</f>
        <v>82.88</v>
      </c>
      <c r="C15" s="14">
        <v>4</v>
      </c>
      <c r="D15" s="5">
        <v>64</v>
      </c>
      <c r="E15" s="7">
        <f t="shared" si="0"/>
        <v>5304.32</v>
      </c>
      <c r="G15" s="20"/>
    </row>
    <row r="16" spans="1:7">
      <c r="A16" s="15" t="s">
        <v>17</v>
      </c>
      <c r="B16" s="13">
        <v>10.14</v>
      </c>
      <c r="C16" s="14"/>
      <c r="D16" s="5">
        <v>70</v>
      </c>
      <c r="E16" s="7">
        <f t="shared" si="0"/>
        <v>709.80000000000007</v>
      </c>
      <c r="G16" s="20"/>
    </row>
    <row r="17" spans="1:7" hidden="1">
      <c r="A17" s="15" t="s">
        <v>18</v>
      </c>
      <c r="B17" s="13"/>
      <c r="C17" s="14"/>
      <c r="D17" s="5">
        <v>19</v>
      </c>
      <c r="E17" s="7">
        <f t="shared" si="0"/>
        <v>0</v>
      </c>
      <c r="G17" s="20"/>
    </row>
    <row r="18" spans="1:7">
      <c r="A18" s="15" t="s">
        <v>18</v>
      </c>
      <c r="B18" s="13">
        <v>3.68</v>
      </c>
      <c r="C18" s="14"/>
      <c r="D18" s="5">
        <v>22</v>
      </c>
      <c r="E18" s="7">
        <f t="shared" si="0"/>
        <v>80.960000000000008</v>
      </c>
      <c r="G18" s="20"/>
    </row>
    <row r="19" spans="1:7">
      <c r="A19" s="15" t="s">
        <v>19</v>
      </c>
      <c r="B19" s="13">
        <v>155</v>
      </c>
      <c r="C19" s="14">
        <v>5</v>
      </c>
      <c r="D19" s="5">
        <v>52</v>
      </c>
      <c r="E19" s="7">
        <f t="shared" si="0"/>
        <v>8060</v>
      </c>
      <c r="G19" s="20"/>
    </row>
    <row r="20" spans="1:7" hidden="1">
      <c r="A20" s="15" t="s">
        <v>19</v>
      </c>
      <c r="B20" s="13"/>
      <c r="C20" s="14"/>
      <c r="D20" s="5">
        <v>70</v>
      </c>
      <c r="E20" s="7">
        <f t="shared" si="0"/>
        <v>0</v>
      </c>
      <c r="G20" s="20"/>
    </row>
    <row r="21" spans="1:7" hidden="1">
      <c r="A21" s="15" t="s">
        <v>20</v>
      </c>
      <c r="B21" s="13"/>
      <c r="C21" s="14"/>
      <c r="D21" s="5">
        <v>55</v>
      </c>
      <c r="E21" s="7">
        <f t="shared" si="0"/>
        <v>0</v>
      </c>
      <c r="G21" s="20"/>
    </row>
    <row r="22" spans="1:7" hidden="1">
      <c r="A22" s="15" t="s">
        <v>461</v>
      </c>
      <c r="B22" s="13"/>
      <c r="C22" s="14"/>
      <c r="D22" s="5">
        <v>40</v>
      </c>
      <c r="E22" s="7">
        <f t="shared" si="0"/>
        <v>0</v>
      </c>
      <c r="G22" s="20"/>
    </row>
    <row r="23" spans="1:7">
      <c r="A23" s="15" t="s">
        <v>22</v>
      </c>
      <c r="B23" s="13">
        <f>13+11.48</f>
        <v>24.48</v>
      </c>
      <c r="C23" s="14"/>
      <c r="D23" s="5">
        <v>26</v>
      </c>
      <c r="E23" s="7">
        <f t="shared" si="0"/>
        <v>636.48</v>
      </c>
      <c r="G23" s="20"/>
    </row>
    <row r="24" spans="1:7">
      <c r="A24" s="15" t="s">
        <v>21</v>
      </c>
      <c r="B24" s="13">
        <f>140.3+8.12</f>
        <v>148.42000000000002</v>
      </c>
      <c r="C24" s="14"/>
      <c r="D24" s="5">
        <v>40</v>
      </c>
      <c r="E24" s="7">
        <f t="shared" si="0"/>
        <v>5936.8000000000011</v>
      </c>
      <c r="G24" s="20"/>
    </row>
    <row r="25" spans="1:7" hidden="1">
      <c r="A25" s="15" t="s">
        <v>23</v>
      </c>
      <c r="B25" s="13"/>
      <c r="C25" s="14"/>
      <c r="D25" s="5">
        <v>54</v>
      </c>
      <c r="E25" s="7">
        <f t="shared" si="0"/>
        <v>0</v>
      </c>
      <c r="G25" s="20"/>
    </row>
    <row r="26" spans="1:7">
      <c r="A26" s="15" t="s">
        <v>24</v>
      </c>
      <c r="B26" s="13">
        <v>122.5</v>
      </c>
      <c r="C26" s="14"/>
      <c r="D26" s="5">
        <v>12</v>
      </c>
      <c r="E26" s="7">
        <f t="shared" si="0"/>
        <v>1470</v>
      </c>
      <c r="G26" s="20"/>
    </row>
    <row r="27" spans="1:7">
      <c r="A27" s="15" t="s">
        <v>25</v>
      </c>
      <c r="B27" s="13">
        <v>65.5</v>
      </c>
      <c r="C27" s="14"/>
      <c r="D27" s="5">
        <v>20</v>
      </c>
      <c r="E27" s="7">
        <f t="shared" si="0"/>
        <v>1310</v>
      </c>
      <c r="G27" s="20"/>
    </row>
    <row r="28" spans="1:7">
      <c r="A28" s="15" t="s">
        <v>26</v>
      </c>
      <c r="B28" s="13">
        <v>81.66</v>
      </c>
      <c r="C28" s="14">
        <v>3</v>
      </c>
      <c r="D28" s="5">
        <v>19.5</v>
      </c>
      <c r="E28" s="7">
        <f t="shared" si="0"/>
        <v>1592.37</v>
      </c>
      <c r="G28" s="20"/>
    </row>
    <row r="29" spans="1:7" hidden="1">
      <c r="A29" s="15" t="s">
        <v>26</v>
      </c>
      <c r="B29" s="13"/>
      <c r="C29" s="14"/>
      <c r="D29" s="5">
        <v>24</v>
      </c>
      <c r="E29" s="7">
        <f t="shared" si="0"/>
        <v>0</v>
      </c>
      <c r="G29" s="20"/>
    </row>
    <row r="30" spans="1:7">
      <c r="A30" s="15" t="s">
        <v>27</v>
      </c>
      <c r="B30" s="13">
        <v>10.98</v>
      </c>
      <c r="C30" s="14"/>
      <c r="D30" s="5">
        <v>24</v>
      </c>
      <c r="E30" s="7">
        <f t="shared" si="0"/>
        <v>263.52</v>
      </c>
      <c r="G30" s="20"/>
    </row>
    <row r="31" spans="1:7" hidden="1">
      <c r="A31" s="15" t="s">
        <v>28</v>
      </c>
      <c r="B31" s="13"/>
      <c r="C31" s="14"/>
      <c r="D31" s="5">
        <v>36</v>
      </c>
      <c r="E31" s="7">
        <f t="shared" si="0"/>
        <v>0</v>
      </c>
      <c r="G31" s="20"/>
    </row>
    <row r="32" spans="1:7" hidden="1">
      <c r="A32" s="15" t="s">
        <v>29</v>
      </c>
      <c r="B32" s="13"/>
      <c r="C32" s="14"/>
      <c r="D32" s="5">
        <v>64</v>
      </c>
      <c r="E32" s="7">
        <f t="shared" si="0"/>
        <v>0</v>
      </c>
      <c r="G32" s="20"/>
    </row>
    <row r="33" spans="1:7">
      <c r="A33" s="15" t="s">
        <v>30</v>
      </c>
      <c r="B33" s="13">
        <v>2.38</v>
      </c>
      <c r="C33" s="14"/>
      <c r="D33" s="5">
        <v>38</v>
      </c>
      <c r="E33" s="7">
        <f t="shared" si="0"/>
        <v>90.44</v>
      </c>
      <c r="G33" s="20"/>
    </row>
    <row r="34" spans="1:7">
      <c r="A34" s="15" t="s">
        <v>31</v>
      </c>
      <c r="B34" s="13">
        <v>15.56</v>
      </c>
      <c r="C34" s="14"/>
      <c r="D34" s="5">
        <v>36</v>
      </c>
      <c r="E34" s="7">
        <f t="shared" si="0"/>
        <v>560.16</v>
      </c>
      <c r="G34" s="20"/>
    </row>
    <row r="35" spans="1:7" hidden="1">
      <c r="A35" s="15" t="s">
        <v>32</v>
      </c>
      <c r="B35" s="13"/>
      <c r="C35" s="14"/>
      <c r="D35" s="5">
        <v>46</v>
      </c>
      <c r="E35" s="7">
        <f t="shared" si="0"/>
        <v>0</v>
      </c>
      <c r="G35" s="20"/>
    </row>
    <row r="36" spans="1:7">
      <c r="A36" s="15" t="s">
        <v>33</v>
      </c>
      <c r="B36" s="13">
        <v>0.4</v>
      </c>
      <c r="C36" s="14"/>
      <c r="D36" s="5">
        <v>40</v>
      </c>
      <c r="E36" s="7">
        <f t="shared" si="0"/>
        <v>16</v>
      </c>
      <c r="G36" s="20"/>
    </row>
    <row r="37" spans="1:7" hidden="1">
      <c r="A37" s="15" t="s">
        <v>34</v>
      </c>
      <c r="B37" s="13"/>
      <c r="C37" s="14"/>
      <c r="D37" s="5">
        <v>32</v>
      </c>
      <c r="E37" s="7">
        <f t="shared" si="0"/>
        <v>0</v>
      </c>
      <c r="G37" s="20"/>
    </row>
    <row r="38" spans="1:7" hidden="1">
      <c r="A38" s="15" t="s">
        <v>35</v>
      </c>
      <c r="B38" s="13"/>
      <c r="C38" s="14"/>
      <c r="D38" s="5">
        <v>12</v>
      </c>
      <c r="E38" s="7">
        <f t="shared" si="0"/>
        <v>0</v>
      </c>
      <c r="G38" s="20"/>
    </row>
    <row r="39" spans="1:7" hidden="1">
      <c r="A39" s="15" t="s">
        <v>36</v>
      </c>
      <c r="B39" s="13"/>
      <c r="C39" s="14"/>
      <c r="D39" s="5">
        <v>60</v>
      </c>
      <c r="E39" s="7">
        <f t="shared" si="0"/>
        <v>0</v>
      </c>
      <c r="G39" s="20"/>
    </row>
    <row r="40" spans="1:7">
      <c r="A40" s="15" t="s">
        <v>37</v>
      </c>
      <c r="B40" s="13">
        <v>6.14</v>
      </c>
      <c r="C40" s="14"/>
      <c r="D40" s="5">
        <v>50</v>
      </c>
      <c r="E40" s="7">
        <f t="shared" si="0"/>
        <v>307</v>
      </c>
      <c r="G40" s="20"/>
    </row>
    <row r="41" spans="1:7">
      <c r="A41" s="15" t="s">
        <v>38</v>
      </c>
      <c r="B41" s="13">
        <v>166.6</v>
      </c>
      <c r="C41" s="14"/>
      <c r="D41" s="5">
        <v>18</v>
      </c>
      <c r="E41" s="7">
        <f t="shared" si="0"/>
        <v>2998.7999999999997</v>
      </c>
      <c r="G41" s="20"/>
    </row>
    <row r="42" spans="1:7">
      <c r="A42" s="15" t="s">
        <v>39</v>
      </c>
      <c r="B42" s="13">
        <f>45.36+81.66</f>
        <v>127.02</v>
      </c>
      <c r="C42" s="14">
        <v>5</v>
      </c>
      <c r="D42" s="5">
        <v>18</v>
      </c>
      <c r="E42" s="7">
        <f t="shared" si="0"/>
        <v>2286.36</v>
      </c>
      <c r="G42" s="20"/>
    </row>
    <row r="43" spans="1:7">
      <c r="A43" s="15" t="s">
        <v>40</v>
      </c>
      <c r="B43" s="13">
        <v>29.64</v>
      </c>
      <c r="C43" s="14"/>
      <c r="D43" s="5">
        <v>30</v>
      </c>
      <c r="E43" s="7">
        <f t="shared" si="0"/>
        <v>889.2</v>
      </c>
      <c r="G43" s="20"/>
    </row>
    <row r="44" spans="1:7" hidden="1">
      <c r="A44" s="15" t="s">
        <v>41</v>
      </c>
      <c r="B44" s="13"/>
      <c r="C44" s="14"/>
      <c r="D44" s="5">
        <v>24</v>
      </c>
      <c r="E44" s="7">
        <f t="shared" si="0"/>
        <v>0</v>
      </c>
      <c r="G44" s="20"/>
    </row>
    <row r="45" spans="1:7" hidden="1">
      <c r="A45" s="15" t="s">
        <v>42</v>
      </c>
      <c r="B45" s="13"/>
      <c r="C45" s="14"/>
      <c r="D45" s="5">
        <v>22</v>
      </c>
      <c r="E45" s="7">
        <f t="shared" si="0"/>
        <v>0</v>
      </c>
      <c r="G45" s="20"/>
    </row>
    <row r="46" spans="1:7">
      <c r="A46" s="15" t="s">
        <v>43</v>
      </c>
      <c r="B46" s="13">
        <v>35.14</v>
      </c>
      <c r="C46" s="14"/>
      <c r="D46" s="5">
        <v>22</v>
      </c>
      <c r="E46" s="7">
        <f t="shared" si="0"/>
        <v>773.08</v>
      </c>
      <c r="G46" s="20"/>
    </row>
    <row r="47" spans="1:7">
      <c r="A47" s="15" t="s">
        <v>44</v>
      </c>
      <c r="B47" s="13">
        <v>28.8</v>
      </c>
      <c r="C47" s="14"/>
      <c r="D47" s="5">
        <v>46</v>
      </c>
      <c r="E47" s="7">
        <f t="shared" si="0"/>
        <v>1324.8</v>
      </c>
      <c r="G47" s="20"/>
    </row>
    <row r="48" spans="1:7" hidden="1">
      <c r="A48" s="15" t="s">
        <v>45</v>
      </c>
      <c r="B48" s="13"/>
      <c r="C48" s="14"/>
      <c r="D48" s="5">
        <v>33</v>
      </c>
      <c r="E48" s="7">
        <f t="shared" si="0"/>
        <v>0</v>
      </c>
      <c r="G48" s="20"/>
    </row>
    <row r="49" spans="1:7">
      <c r="A49" s="15" t="s">
        <v>46</v>
      </c>
      <c r="B49" s="13">
        <v>1753.84</v>
      </c>
      <c r="C49" s="14">
        <v>2</v>
      </c>
      <c r="D49" s="5">
        <v>28.5</v>
      </c>
      <c r="E49" s="7">
        <f t="shared" si="0"/>
        <v>49984.439999999995</v>
      </c>
      <c r="G49" s="20"/>
    </row>
    <row r="50" spans="1:7" hidden="1">
      <c r="A50" s="15" t="s">
        <v>47</v>
      </c>
      <c r="B50" s="13"/>
      <c r="C50" s="14"/>
      <c r="D50" s="5">
        <v>38</v>
      </c>
      <c r="E50" s="7">
        <f t="shared" si="0"/>
        <v>0</v>
      </c>
      <c r="G50" s="20"/>
    </row>
    <row r="51" spans="1:7">
      <c r="A51" s="15" t="s">
        <v>48</v>
      </c>
      <c r="B51" s="13">
        <v>1329.5</v>
      </c>
      <c r="C51" s="14"/>
      <c r="D51" s="5">
        <v>29</v>
      </c>
      <c r="E51" s="7">
        <f t="shared" si="0"/>
        <v>38555.5</v>
      </c>
      <c r="G51" s="20"/>
    </row>
    <row r="52" spans="1:7" hidden="1">
      <c r="A52" s="15" t="s">
        <v>49</v>
      </c>
      <c r="B52" s="13"/>
      <c r="C52" s="14"/>
      <c r="D52" s="5">
        <v>36</v>
      </c>
      <c r="E52" s="7">
        <f t="shared" si="0"/>
        <v>0</v>
      </c>
      <c r="G52" s="20"/>
    </row>
    <row r="53" spans="1:7">
      <c r="A53" s="15" t="s">
        <v>50</v>
      </c>
      <c r="B53" s="13">
        <f>86.54</f>
        <v>86.54</v>
      </c>
      <c r="C53" s="14"/>
      <c r="D53" s="5">
        <v>39</v>
      </c>
      <c r="E53" s="7">
        <f t="shared" si="0"/>
        <v>3375.0600000000004</v>
      </c>
      <c r="G53" s="20"/>
    </row>
    <row r="54" spans="1:7" hidden="1">
      <c r="A54" s="15" t="s">
        <v>51</v>
      </c>
      <c r="B54" s="13"/>
      <c r="C54" s="14"/>
      <c r="D54" s="5">
        <v>48</v>
      </c>
      <c r="E54" s="7">
        <f t="shared" si="0"/>
        <v>0</v>
      </c>
      <c r="G54" s="20"/>
    </row>
    <row r="55" spans="1:7" hidden="1">
      <c r="A55" s="15" t="s">
        <v>52</v>
      </c>
      <c r="B55" s="13"/>
      <c r="C55" s="14"/>
      <c r="D55" s="5">
        <v>70</v>
      </c>
      <c r="E55" s="7">
        <f t="shared" si="0"/>
        <v>0</v>
      </c>
      <c r="G55" s="20"/>
    </row>
    <row r="56" spans="1:7">
      <c r="A56" s="15" t="s">
        <v>53</v>
      </c>
      <c r="B56" s="13">
        <v>156.18</v>
      </c>
      <c r="C56" s="14"/>
      <c r="D56" s="5">
        <v>60</v>
      </c>
      <c r="E56" s="7">
        <f t="shared" si="0"/>
        <v>9370.8000000000011</v>
      </c>
      <c r="G56" s="20"/>
    </row>
    <row r="57" spans="1:7" hidden="1">
      <c r="A57" s="15" t="s">
        <v>54</v>
      </c>
      <c r="B57" s="13"/>
      <c r="C57" s="14"/>
      <c r="D57" s="5">
        <v>47</v>
      </c>
      <c r="E57" s="7">
        <f t="shared" si="0"/>
        <v>0</v>
      </c>
      <c r="G57" s="20"/>
    </row>
    <row r="58" spans="1:7" hidden="1">
      <c r="A58" s="15" t="s">
        <v>55</v>
      </c>
      <c r="B58" s="13"/>
      <c r="C58" s="14"/>
      <c r="D58" s="5">
        <v>40</v>
      </c>
      <c r="E58" s="7">
        <f t="shared" si="0"/>
        <v>0</v>
      </c>
      <c r="G58" s="20"/>
    </row>
    <row r="59" spans="1:7">
      <c r="A59" s="15" t="s">
        <v>56</v>
      </c>
      <c r="B59" s="13">
        <v>61.5</v>
      </c>
      <c r="C59" s="14"/>
      <c r="D59" s="5">
        <v>42</v>
      </c>
      <c r="E59" s="7">
        <f t="shared" si="0"/>
        <v>2583</v>
      </c>
      <c r="G59" s="20"/>
    </row>
    <row r="60" spans="1:7" hidden="1">
      <c r="A60" s="15" t="s">
        <v>57</v>
      </c>
      <c r="B60" s="13"/>
      <c r="C60" s="14"/>
      <c r="D60" s="5">
        <v>4</v>
      </c>
      <c r="E60" s="7">
        <f t="shared" si="0"/>
        <v>0</v>
      </c>
      <c r="G60" s="20"/>
    </row>
    <row r="61" spans="1:7" hidden="1">
      <c r="A61" s="15" t="s">
        <v>58</v>
      </c>
      <c r="B61" s="13"/>
      <c r="C61" s="14"/>
      <c r="D61" s="5">
        <v>54</v>
      </c>
      <c r="E61" s="7">
        <f t="shared" si="0"/>
        <v>0</v>
      </c>
      <c r="G61" s="20"/>
    </row>
    <row r="62" spans="1:7">
      <c r="A62" s="15" t="s">
        <v>59</v>
      </c>
      <c r="B62" s="13">
        <v>7.66</v>
      </c>
      <c r="C62" s="14"/>
      <c r="D62" s="5">
        <v>55</v>
      </c>
      <c r="E62" s="7">
        <f t="shared" si="0"/>
        <v>421.3</v>
      </c>
      <c r="G62" s="20"/>
    </row>
    <row r="63" spans="1:7" hidden="1">
      <c r="A63" s="15" t="s">
        <v>60</v>
      </c>
      <c r="B63" s="13"/>
      <c r="C63" s="14"/>
      <c r="D63" s="5">
        <v>50</v>
      </c>
      <c r="E63" s="7">
        <f>D63*B63</f>
        <v>0</v>
      </c>
      <c r="G63" s="20"/>
    </row>
    <row r="64" spans="1:7">
      <c r="A64" s="15" t="s">
        <v>61</v>
      </c>
      <c r="B64" s="13">
        <f>5.44*3</f>
        <v>16.32</v>
      </c>
      <c r="C64" s="14">
        <v>3</v>
      </c>
      <c r="D64" s="5">
        <v>260</v>
      </c>
      <c r="E64" s="7">
        <f>D64*C64</f>
        <v>780</v>
      </c>
      <c r="G64" s="20"/>
    </row>
    <row r="65" spans="1:7" hidden="1">
      <c r="A65" s="15" t="s">
        <v>62</v>
      </c>
      <c r="B65" s="17"/>
      <c r="C65" s="18"/>
      <c r="D65" s="5">
        <v>28</v>
      </c>
      <c r="E65" s="7">
        <f>D65*C65</f>
        <v>0</v>
      </c>
      <c r="G65" s="20"/>
    </row>
    <row r="66" spans="1:7">
      <c r="A66" s="15" t="s">
        <v>63</v>
      </c>
      <c r="B66" s="17">
        <v>11.86</v>
      </c>
      <c r="C66" s="18"/>
      <c r="D66" s="5">
        <v>48.5</v>
      </c>
      <c r="E66" s="7">
        <f>D66*B66</f>
        <v>575.20999999999992</v>
      </c>
      <c r="G66" s="20"/>
    </row>
    <row r="67" spans="1:7">
      <c r="A67" s="15" t="s">
        <v>64</v>
      </c>
      <c r="B67" s="17">
        <v>14.2</v>
      </c>
      <c r="C67" s="18"/>
      <c r="D67" s="5">
        <v>14</v>
      </c>
      <c r="E67" s="7">
        <f>D67*B67</f>
        <v>198.79999999999998</v>
      </c>
      <c r="G67" s="20"/>
    </row>
    <row r="68" spans="1:7">
      <c r="A68" s="15"/>
      <c r="B68" s="19"/>
      <c r="C68" s="20"/>
      <c r="D68" s="5"/>
      <c r="E68" s="7"/>
      <c r="G68" s="20"/>
    </row>
    <row r="69" spans="1:7">
      <c r="A69" s="1" t="s">
        <v>65</v>
      </c>
      <c r="B69" s="19"/>
      <c r="C69" s="20"/>
      <c r="D69" s="5"/>
      <c r="E69" s="7"/>
      <c r="G69" s="20"/>
    </row>
    <row r="70" spans="1:7" hidden="1">
      <c r="A70" s="15" t="s">
        <v>66</v>
      </c>
      <c r="B70" s="13"/>
      <c r="C70" s="13"/>
      <c r="D70" s="5">
        <v>38</v>
      </c>
      <c r="E70" s="7">
        <f>D70*B70</f>
        <v>0</v>
      </c>
      <c r="G70" s="20"/>
    </row>
    <row r="71" spans="1:7" hidden="1">
      <c r="A71" s="15" t="s">
        <v>67</v>
      </c>
      <c r="B71" s="13"/>
      <c r="C71" s="13"/>
      <c r="D71" s="5">
        <v>28</v>
      </c>
      <c r="E71" s="7">
        <f>D71*B71</f>
        <v>0</v>
      </c>
      <c r="G71" s="20"/>
    </row>
    <row r="72" spans="1:7">
      <c r="A72" s="15" t="s">
        <v>68</v>
      </c>
      <c r="B72" s="13">
        <v>7.14</v>
      </c>
      <c r="C72" s="13"/>
      <c r="D72" s="5">
        <v>48.5</v>
      </c>
      <c r="E72" s="7">
        <f>D72*B72</f>
        <v>346.28999999999996</v>
      </c>
      <c r="G72" s="20"/>
    </row>
    <row r="73" spans="1:7">
      <c r="A73" s="15"/>
      <c r="B73" s="19"/>
      <c r="C73" s="20"/>
      <c r="D73" s="5"/>
      <c r="E73" s="7"/>
      <c r="G73" s="20"/>
    </row>
    <row r="74" spans="1:7">
      <c r="A74" s="1" t="s">
        <v>69</v>
      </c>
      <c r="B74" s="19"/>
      <c r="C74" s="20"/>
      <c r="D74" s="5"/>
      <c r="E74" s="7"/>
      <c r="G74" s="20"/>
    </row>
    <row r="75" spans="1:7" hidden="1">
      <c r="A75" s="15" t="s">
        <v>70</v>
      </c>
      <c r="B75" s="13"/>
      <c r="C75" s="14"/>
      <c r="D75" s="5">
        <v>50</v>
      </c>
      <c r="E75" s="7">
        <f t="shared" ref="E75:E98" si="1">D75*B75</f>
        <v>0</v>
      </c>
      <c r="G75" s="20"/>
    </row>
    <row r="76" spans="1:7">
      <c r="A76" s="15" t="s">
        <v>71</v>
      </c>
      <c r="B76" s="13">
        <v>2.2000000000000002</v>
      </c>
      <c r="C76" s="14"/>
      <c r="D76" s="5">
        <v>45</v>
      </c>
      <c r="E76" s="7">
        <f t="shared" si="1"/>
        <v>99.000000000000014</v>
      </c>
      <c r="G76" s="20"/>
    </row>
    <row r="77" spans="1:7" hidden="1">
      <c r="A77" s="15" t="s">
        <v>72</v>
      </c>
      <c r="B77" s="13"/>
      <c r="C77" s="14"/>
      <c r="D77" s="5">
        <v>35</v>
      </c>
      <c r="E77" s="7">
        <f t="shared" si="1"/>
        <v>0</v>
      </c>
      <c r="G77" s="20"/>
    </row>
    <row r="78" spans="1:7" hidden="1">
      <c r="A78" s="15" t="s">
        <v>73</v>
      </c>
      <c r="B78" s="13"/>
      <c r="C78" s="14"/>
      <c r="D78" s="5">
        <v>47</v>
      </c>
      <c r="E78" s="7">
        <f t="shared" si="1"/>
        <v>0</v>
      </c>
      <c r="G78" s="20"/>
    </row>
    <row r="79" spans="1:7" hidden="1">
      <c r="A79" s="15" t="s">
        <v>74</v>
      </c>
      <c r="B79" s="13"/>
      <c r="C79" s="14"/>
      <c r="D79" s="5">
        <v>43</v>
      </c>
      <c r="E79" s="7">
        <f t="shared" si="1"/>
        <v>0</v>
      </c>
      <c r="G79" s="20"/>
    </row>
    <row r="80" spans="1:7">
      <c r="A80" s="15" t="s">
        <v>75</v>
      </c>
      <c r="B80" s="13">
        <v>9.11</v>
      </c>
      <c r="C80" s="14">
        <v>2</v>
      </c>
      <c r="D80" s="5">
        <v>30</v>
      </c>
      <c r="E80" s="7">
        <f t="shared" si="1"/>
        <v>273.29999999999995</v>
      </c>
      <c r="G80" s="20"/>
    </row>
    <row r="81" spans="1:7" hidden="1">
      <c r="A81" s="15" t="s">
        <v>76</v>
      </c>
      <c r="B81" s="13"/>
      <c r="C81" s="14"/>
      <c r="D81" s="5">
        <v>40</v>
      </c>
      <c r="E81" s="7">
        <f t="shared" si="1"/>
        <v>0</v>
      </c>
      <c r="G81" s="20"/>
    </row>
    <row r="82" spans="1:7" ht="14.25" hidden="1" customHeight="1">
      <c r="A82" s="15" t="s">
        <v>77</v>
      </c>
      <c r="B82" s="13"/>
      <c r="C82" s="14"/>
      <c r="D82" s="5">
        <v>31</v>
      </c>
      <c r="E82" s="7">
        <f t="shared" si="1"/>
        <v>0</v>
      </c>
      <c r="G82" s="20"/>
    </row>
    <row r="83" spans="1:7">
      <c r="A83" s="15" t="s">
        <v>78</v>
      </c>
      <c r="B83" s="13">
        <v>4.2300000000000004</v>
      </c>
      <c r="C83" s="14">
        <v>1</v>
      </c>
      <c r="D83" s="5">
        <v>43</v>
      </c>
      <c r="E83" s="7">
        <f t="shared" si="1"/>
        <v>181.89000000000001</v>
      </c>
      <c r="G83" s="20"/>
    </row>
    <row r="84" spans="1:7" hidden="1">
      <c r="A84" s="15" t="s">
        <v>79</v>
      </c>
      <c r="B84" s="13"/>
      <c r="C84" s="14"/>
      <c r="D84" s="5">
        <v>53</v>
      </c>
      <c r="E84" s="7">
        <f t="shared" si="1"/>
        <v>0</v>
      </c>
      <c r="G84" s="20"/>
    </row>
    <row r="85" spans="1:7">
      <c r="A85" s="15" t="s">
        <v>80</v>
      </c>
      <c r="B85" s="13">
        <v>31.2</v>
      </c>
      <c r="C85" s="14"/>
      <c r="D85" s="5">
        <v>30</v>
      </c>
      <c r="E85" s="7">
        <f t="shared" si="1"/>
        <v>936</v>
      </c>
      <c r="G85" s="20"/>
    </row>
    <row r="86" spans="1:7" hidden="1">
      <c r="A86" s="15" t="s">
        <v>81</v>
      </c>
      <c r="B86" s="13"/>
      <c r="C86" s="14"/>
      <c r="D86" s="5">
        <v>18</v>
      </c>
      <c r="E86" s="7">
        <f t="shared" si="1"/>
        <v>0</v>
      </c>
      <c r="G86" s="20"/>
    </row>
    <row r="87" spans="1:7" hidden="1">
      <c r="A87" s="15" t="s">
        <v>82</v>
      </c>
      <c r="B87" s="13"/>
      <c r="C87" s="14"/>
      <c r="D87" s="5">
        <v>36</v>
      </c>
      <c r="E87" s="7">
        <f t="shared" si="1"/>
        <v>0</v>
      </c>
      <c r="G87" s="20"/>
    </row>
    <row r="88" spans="1:7" hidden="1">
      <c r="A88" s="15" t="s">
        <v>83</v>
      </c>
      <c r="B88" s="13"/>
      <c r="C88" s="14"/>
      <c r="D88" s="5">
        <v>32</v>
      </c>
      <c r="E88" s="7">
        <f t="shared" si="1"/>
        <v>0</v>
      </c>
      <c r="G88" s="20"/>
    </row>
    <row r="89" spans="1:7">
      <c r="A89" s="15" t="s">
        <v>84</v>
      </c>
      <c r="B89" s="13">
        <v>2.56</v>
      </c>
      <c r="C89" s="14">
        <v>1</v>
      </c>
      <c r="D89" s="5">
        <v>23</v>
      </c>
      <c r="E89" s="7">
        <f t="shared" si="1"/>
        <v>58.88</v>
      </c>
      <c r="G89" s="20"/>
    </row>
    <row r="90" spans="1:7" hidden="1">
      <c r="A90" s="15" t="s">
        <v>85</v>
      </c>
      <c r="B90" s="13"/>
      <c r="C90" s="14"/>
      <c r="D90" s="5"/>
      <c r="E90" s="7">
        <f t="shared" si="1"/>
        <v>0</v>
      </c>
      <c r="G90" s="20"/>
    </row>
    <row r="91" spans="1:7" hidden="1">
      <c r="A91" s="15" t="s">
        <v>86</v>
      </c>
      <c r="B91" s="13"/>
      <c r="C91" s="14"/>
      <c r="D91" s="5">
        <v>23</v>
      </c>
      <c r="E91" s="7">
        <f t="shared" si="1"/>
        <v>0</v>
      </c>
      <c r="G91" s="20"/>
    </row>
    <row r="92" spans="1:7" hidden="1">
      <c r="A92" s="15"/>
      <c r="B92" s="13"/>
      <c r="C92" s="14"/>
      <c r="D92" s="5">
        <v>32</v>
      </c>
      <c r="E92" s="7">
        <f t="shared" si="1"/>
        <v>0</v>
      </c>
      <c r="G92" s="20"/>
    </row>
    <row r="93" spans="1:7" hidden="1">
      <c r="A93" s="15" t="s">
        <v>87</v>
      </c>
      <c r="B93" s="13"/>
      <c r="C93" s="14"/>
      <c r="D93" s="5">
        <v>29</v>
      </c>
      <c r="E93" s="7">
        <f t="shared" si="1"/>
        <v>0</v>
      </c>
      <c r="G93" s="20"/>
    </row>
    <row r="94" spans="1:7" hidden="1">
      <c r="A94" s="15" t="s">
        <v>88</v>
      </c>
      <c r="B94" s="13"/>
      <c r="C94" s="14"/>
      <c r="D94" s="5">
        <v>19</v>
      </c>
      <c r="E94" s="7">
        <f t="shared" si="1"/>
        <v>0</v>
      </c>
      <c r="G94" s="20"/>
    </row>
    <row r="95" spans="1:7">
      <c r="A95" s="15" t="s">
        <v>89</v>
      </c>
      <c r="B95" s="13">
        <v>2.14</v>
      </c>
      <c r="C95" s="14">
        <v>1</v>
      </c>
      <c r="D95" s="5">
        <v>38</v>
      </c>
      <c r="E95" s="7">
        <f t="shared" si="1"/>
        <v>81.320000000000007</v>
      </c>
      <c r="G95" s="20"/>
    </row>
    <row r="96" spans="1:7">
      <c r="A96" s="15" t="s">
        <v>90</v>
      </c>
      <c r="B96" s="13">
        <v>3.01</v>
      </c>
      <c r="C96" s="14">
        <v>1</v>
      </c>
      <c r="D96" s="5">
        <v>25</v>
      </c>
      <c r="E96" s="7">
        <f t="shared" si="1"/>
        <v>75.25</v>
      </c>
      <c r="G96" s="20"/>
    </row>
    <row r="97" spans="1:5" hidden="1">
      <c r="A97" s="15" t="s">
        <v>91</v>
      </c>
      <c r="B97" s="13"/>
      <c r="C97" s="14"/>
      <c r="D97" s="5">
        <v>22</v>
      </c>
      <c r="E97" s="7">
        <f t="shared" si="1"/>
        <v>0</v>
      </c>
    </row>
    <row r="98" spans="1:5">
      <c r="A98" s="15" t="s">
        <v>92</v>
      </c>
      <c r="B98" s="13">
        <v>6.08</v>
      </c>
      <c r="C98" s="14">
        <v>3</v>
      </c>
      <c r="D98" s="5">
        <v>54</v>
      </c>
      <c r="E98" s="7">
        <f t="shared" si="1"/>
        <v>328.32</v>
      </c>
    </row>
    <row r="99" spans="1:5">
      <c r="A99" s="15" t="s">
        <v>93</v>
      </c>
      <c r="B99" s="17"/>
      <c r="C99" s="18">
        <v>22</v>
      </c>
      <c r="D99" s="5">
        <v>45</v>
      </c>
      <c r="E99" s="7">
        <f>D99*C99</f>
        <v>990</v>
      </c>
    </row>
    <row r="100" spans="1:5">
      <c r="A100" s="15"/>
      <c r="B100" s="19"/>
      <c r="C100" s="20"/>
      <c r="D100" s="5"/>
      <c r="E100" s="7"/>
    </row>
    <row r="101" spans="1:5" hidden="1">
      <c r="A101" s="15" t="s">
        <v>94</v>
      </c>
      <c r="B101" s="13"/>
      <c r="C101" s="14"/>
      <c r="D101" s="5">
        <v>80</v>
      </c>
      <c r="E101" s="7">
        <f t="shared" ref="E101:E124" si="2">D101*B101</f>
        <v>0</v>
      </c>
    </row>
    <row r="102" spans="1:5">
      <c r="A102" s="15" t="s">
        <v>73</v>
      </c>
      <c r="B102" s="13">
        <v>2.0099999999999998</v>
      </c>
      <c r="C102" s="14"/>
      <c r="D102" s="5">
        <v>60</v>
      </c>
      <c r="E102" s="7">
        <f t="shared" si="2"/>
        <v>120.6</v>
      </c>
    </row>
    <row r="103" spans="1:5" hidden="1">
      <c r="A103" s="15" t="s">
        <v>75</v>
      </c>
      <c r="B103" s="13"/>
      <c r="C103" s="14"/>
      <c r="D103" s="5">
        <v>40</v>
      </c>
      <c r="E103" s="7">
        <f t="shared" si="2"/>
        <v>0</v>
      </c>
    </row>
    <row r="104" spans="1:5" hidden="1">
      <c r="A104" s="15" t="s">
        <v>76</v>
      </c>
      <c r="B104" s="13"/>
      <c r="C104" s="14"/>
      <c r="D104" s="5">
        <v>60</v>
      </c>
      <c r="E104" s="7">
        <f t="shared" si="2"/>
        <v>0</v>
      </c>
    </row>
    <row r="105" spans="1:5" hidden="1">
      <c r="A105" s="15" t="s">
        <v>95</v>
      </c>
      <c r="B105" s="13"/>
      <c r="C105" s="14"/>
      <c r="D105" s="5">
        <v>40</v>
      </c>
      <c r="E105" s="7">
        <f t="shared" si="2"/>
        <v>0</v>
      </c>
    </row>
    <row r="106" spans="1:5" hidden="1">
      <c r="A106" s="15" t="s">
        <v>96</v>
      </c>
      <c r="B106" s="13"/>
      <c r="C106" s="14"/>
      <c r="D106" s="5">
        <v>45</v>
      </c>
      <c r="E106" s="7">
        <f t="shared" si="2"/>
        <v>0</v>
      </c>
    </row>
    <row r="107" spans="1:5" hidden="1">
      <c r="A107" s="15" t="s">
        <v>97</v>
      </c>
      <c r="B107" s="13"/>
      <c r="C107" s="14"/>
      <c r="D107" s="5">
        <v>40</v>
      </c>
      <c r="E107" s="7">
        <f t="shared" si="2"/>
        <v>0</v>
      </c>
    </row>
    <row r="108" spans="1:5" hidden="1">
      <c r="A108" s="15" t="s">
        <v>98</v>
      </c>
      <c r="B108" s="13"/>
      <c r="C108" s="14"/>
      <c r="D108" s="5">
        <v>60</v>
      </c>
      <c r="E108" s="7">
        <f t="shared" si="2"/>
        <v>0</v>
      </c>
    </row>
    <row r="109" spans="1:5" hidden="1">
      <c r="A109" s="15" t="s">
        <v>99</v>
      </c>
      <c r="B109" s="13"/>
      <c r="C109" s="14"/>
      <c r="D109" s="5">
        <v>65</v>
      </c>
      <c r="E109" s="7">
        <f t="shared" si="2"/>
        <v>0</v>
      </c>
    </row>
    <row r="110" spans="1:5" ht="12.75" hidden="1" customHeight="1">
      <c r="A110" s="15" t="s">
        <v>81</v>
      </c>
      <c r="B110" s="13"/>
      <c r="C110" s="14"/>
      <c r="D110" s="5">
        <v>28</v>
      </c>
      <c r="E110" s="7">
        <f t="shared" si="2"/>
        <v>0</v>
      </c>
    </row>
    <row r="111" spans="1:5" hidden="1">
      <c r="A111" s="15" t="s">
        <v>100</v>
      </c>
      <c r="B111" s="13"/>
      <c r="C111" s="14"/>
      <c r="D111" s="5">
        <v>45</v>
      </c>
      <c r="E111" s="7">
        <f t="shared" si="2"/>
        <v>0</v>
      </c>
    </row>
    <row r="112" spans="1:5" hidden="1">
      <c r="A112" s="15" t="s">
        <v>84</v>
      </c>
      <c r="B112" s="13"/>
      <c r="C112" s="14"/>
      <c r="D112" s="5">
        <v>40</v>
      </c>
      <c r="E112" s="7">
        <f t="shared" si="2"/>
        <v>0</v>
      </c>
    </row>
    <row r="113" spans="1:5" hidden="1">
      <c r="A113" s="15" t="s">
        <v>101</v>
      </c>
      <c r="B113" s="13"/>
      <c r="C113" s="14"/>
      <c r="D113" s="5">
        <v>85</v>
      </c>
      <c r="E113" s="7">
        <f t="shared" si="2"/>
        <v>0</v>
      </c>
    </row>
    <row r="114" spans="1:5" hidden="1">
      <c r="A114" s="15" t="s">
        <v>102</v>
      </c>
      <c r="B114" s="13"/>
      <c r="C114" s="14"/>
      <c r="D114" s="5">
        <v>55</v>
      </c>
      <c r="E114" s="7">
        <f t="shared" si="2"/>
        <v>0</v>
      </c>
    </row>
    <row r="115" spans="1:5" hidden="1">
      <c r="A115" s="15" t="s">
        <v>103</v>
      </c>
      <c r="B115" s="13"/>
      <c r="C115" s="14"/>
      <c r="D115" s="5">
        <v>30</v>
      </c>
      <c r="E115" s="7">
        <f t="shared" si="2"/>
        <v>0</v>
      </c>
    </row>
    <row r="116" spans="1:5" hidden="1">
      <c r="A116" s="15" t="s">
        <v>86</v>
      </c>
      <c r="B116" s="13"/>
      <c r="C116" s="14"/>
      <c r="D116" s="5">
        <v>25</v>
      </c>
      <c r="E116" s="7">
        <f t="shared" si="2"/>
        <v>0</v>
      </c>
    </row>
    <row r="117" spans="1:5">
      <c r="A117" s="15" t="s">
        <v>87</v>
      </c>
      <c r="B117" s="13">
        <v>1.88</v>
      </c>
      <c r="C117" s="14"/>
      <c r="D117" s="5">
        <v>36</v>
      </c>
      <c r="E117" s="7">
        <f t="shared" si="2"/>
        <v>67.679999999999993</v>
      </c>
    </row>
    <row r="118" spans="1:5" hidden="1">
      <c r="A118" s="15" t="s">
        <v>104</v>
      </c>
      <c r="B118" s="13"/>
      <c r="C118" s="14"/>
      <c r="D118" s="5">
        <v>25</v>
      </c>
      <c r="E118" s="7">
        <f t="shared" si="2"/>
        <v>0</v>
      </c>
    </row>
    <row r="119" spans="1:5" hidden="1">
      <c r="A119" s="15" t="s">
        <v>89</v>
      </c>
      <c r="B119" s="13"/>
      <c r="C119" s="14"/>
      <c r="D119" s="5">
        <v>40</v>
      </c>
      <c r="E119" s="7">
        <f t="shared" si="2"/>
        <v>0</v>
      </c>
    </row>
    <row r="120" spans="1:5">
      <c r="A120" s="15" t="s">
        <v>105</v>
      </c>
      <c r="B120" s="13">
        <v>0.64</v>
      </c>
      <c r="C120" s="14"/>
      <c r="D120" s="5">
        <v>36</v>
      </c>
      <c r="E120" s="7">
        <f t="shared" si="2"/>
        <v>23.04</v>
      </c>
    </row>
    <row r="121" spans="1:5" hidden="1">
      <c r="A121" s="15" t="s">
        <v>106</v>
      </c>
      <c r="B121" s="13"/>
      <c r="C121" s="14"/>
      <c r="D121" s="5">
        <v>48</v>
      </c>
      <c r="E121" s="7">
        <f t="shared" si="2"/>
        <v>0</v>
      </c>
    </row>
    <row r="122" spans="1:5" hidden="1">
      <c r="A122" s="15" t="s">
        <v>107</v>
      </c>
      <c r="B122" s="13"/>
      <c r="C122" s="14"/>
      <c r="D122" s="5">
        <v>34</v>
      </c>
      <c r="E122" s="7">
        <f t="shared" si="2"/>
        <v>0</v>
      </c>
    </row>
    <row r="123" spans="1:5" hidden="1">
      <c r="A123" s="15" t="s">
        <v>108</v>
      </c>
      <c r="B123" s="13"/>
      <c r="C123" s="14"/>
      <c r="D123" s="5">
        <v>38</v>
      </c>
      <c r="E123" s="7">
        <f t="shared" si="2"/>
        <v>0</v>
      </c>
    </row>
    <row r="124" spans="1:5" hidden="1">
      <c r="A124" s="15" t="s">
        <v>92</v>
      </c>
      <c r="B124" s="17"/>
      <c r="C124" s="18"/>
      <c r="D124" s="5">
        <v>80</v>
      </c>
      <c r="E124" s="7">
        <f t="shared" si="2"/>
        <v>0</v>
      </c>
    </row>
    <row r="125" spans="1:5">
      <c r="A125" s="15"/>
      <c r="B125" s="19"/>
      <c r="C125" s="20"/>
      <c r="D125" s="5"/>
      <c r="E125" s="7"/>
    </row>
    <row r="126" spans="1:5" hidden="1">
      <c r="A126" s="15" t="s">
        <v>109</v>
      </c>
      <c r="B126" s="13"/>
      <c r="C126" s="14"/>
      <c r="D126" s="5">
        <v>18</v>
      </c>
      <c r="E126" s="7">
        <f>D126*C126</f>
        <v>0</v>
      </c>
    </row>
    <row r="127" spans="1:5">
      <c r="A127" s="15" t="s">
        <v>110</v>
      </c>
      <c r="B127" s="13"/>
      <c r="C127" s="14">
        <v>7</v>
      </c>
      <c r="D127" s="5">
        <v>10</v>
      </c>
      <c r="E127" s="7">
        <f t="shared" ref="E127:E132" si="3">D127*C127</f>
        <v>70</v>
      </c>
    </row>
    <row r="128" spans="1:5" hidden="1">
      <c r="A128" s="15" t="s">
        <v>111</v>
      </c>
      <c r="B128" s="13"/>
      <c r="C128" s="14"/>
      <c r="D128" s="5">
        <v>15</v>
      </c>
      <c r="E128" s="7">
        <f t="shared" si="3"/>
        <v>0</v>
      </c>
    </row>
    <row r="129" spans="1:5">
      <c r="A129" s="15" t="s">
        <v>112</v>
      </c>
      <c r="B129" s="13"/>
      <c r="C129" s="14">
        <v>14</v>
      </c>
      <c r="D129" s="5">
        <v>13</v>
      </c>
      <c r="E129" s="7">
        <f t="shared" si="3"/>
        <v>182</v>
      </c>
    </row>
    <row r="130" spans="1:5">
      <c r="A130" s="15" t="s">
        <v>113</v>
      </c>
      <c r="B130" s="13"/>
      <c r="C130" s="14">
        <v>6</v>
      </c>
      <c r="D130" s="5">
        <v>18</v>
      </c>
      <c r="E130" s="7">
        <f t="shared" si="3"/>
        <v>108</v>
      </c>
    </row>
    <row r="131" spans="1:5">
      <c r="A131" s="15" t="s">
        <v>114</v>
      </c>
      <c r="B131" s="13"/>
      <c r="C131" s="14">
        <v>4</v>
      </c>
      <c r="D131" s="5">
        <v>10</v>
      </c>
      <c r="E131" s="7">
        <f t="shared" si="3"/>
        <v>40</v>
      </c>
    </row>
    <row r="132" spans="1:5">
      <c r="A132" s="15" t="s">
        <v>115</v>
      </c>
      <c r="B132" s="17"/>
      <c r="C132" s="18">
        <v>25</v>
      </c>
      <c r="D132" s="5">
        <v>8</v>
      </c>
      <c r="E132" s="7">
        <f t="shared" si="3"/>
        <v>200</v>
      </c>
    </row>
    <row r="133" spans="1:5">
      <c r="A133" s="15" t="s">
        <v>116</v>
      </c>
      <c r="B133" s="17"/>
      <c r="C133" s="18">
        <v>16</v>
      </c>
      <c r="D133" s="5">
        <v>15</v>
      </c>
      <c r="E133" s="7">
        <f>D133*C133</f>
        <v>240</v>
      </c>
    </row>
    <row r="134" spans="1:5">
      <c r="A134" s="15" t="s">
        <v>117</v>
      </c>
      <c r="B134" s="17"/>
      <c r="C134" s="18">
        <v>11</v>
      </c>
      <c r="D134" s="5">
        <v>15</v>
      </c>
      <c r="E134" s="7">
        <f>D134*C134</f>
        <v>165</v>
      </c>
    </row>
    <row r="135" spans="1:5">
      <c r="A135" s="15" t="s">
        <v>118</v>
      </c>
      <c r="B135" s="17"/>
      <c r="C135" s="18">
        <v>6</v>
      </c>
      <c r="D135" s="5">
        <v>30</v>
      </c>
      <c r="E135" s="7">
        <f>D135*C135</f>
        <v>180</v>
      </c>
    </row>
    <row r="136" spans="1:5">
      <c r="A136" s="15"/>
      <c r="B136" s="19"/>
      <c r="C136" s="20"/>
      <c r="D136" s="5"/>
      <c r="E136" s="7"/>
    </row>
    <row r="137" spans="1:5">
      <c r="A137" s="15" t="s">
        <v>119</v>
      </c>
      <c r="B137" s="13">
        <v>31.46</v>
      </c>
      <c r="C137" s="14"/>
      <c r="D137" s="5">
        <v>23</v>
      </c>
      <c r="E137" s="7">
        <f>D137*B137</f>
        <v>723.58</v>
      </c>
    </row>
    <row r="138" spans="1:5">
      <c r="A138" s="15"/>
      <c r="B138" s="19"/>
      <c r="C138" s="20"/>
      <c r="D138" s="5"/>
      <c r="E138" s="7"/>
    </row>
    <row r="139" spans="1:5">
      <c r="B139" s="19"/>
      <c r="C139" s="20"/>
      <c r="D139" s="5"/>
      <c r="E139" s="7"/>
    </row>
    <row r="140" spans="1:5">
      <c r="A140" s="21" t="s">
        <v>120</v>
      </c>
      <c r="B140" s="22">
        <f>SUM(B6:B124)</f>
        <v>4843.4399999999996</v>
      </c>
      <c r="C140" s="1"/>
      <c r="D140" s="16"/>
      <c r="E140" s="23">
        <f>SUM(E6:E139)</f>
        <v>153123.61999999997</v>
      </c>
    </row>
  </sheetData>
  <phoneticPr fontId="13" type="noConversion"/>
  <pageMargins left="0.75" right="0.75" top="1" bottom="1" header="0" footer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compras</vt:lpstr>
      <vt:lpstr>adeudos</vt:lpstr>
      <vt:lpstr>Alm gral jun 10</vt:lpstr>
      <vt:lpstr>Comp Alm Gral Jun 10</vt:lpstr>
      <vt:lpstr>obrador jun 10</vt:lpstr>
      <vt:lpstr>Cic Jun 10</vt:lpstr>
      <vt:lpstr>Herradura jun 10</vt:lpstr>
      <vt:lpstr>11 Sur jun 10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cic</cp:lastModifiedBy>
  <cp:lastPrinted>2010-07-13T13:23:46Z</cp:lastPrinted>
  <dcterms:created xsi:type="dcterms:W3CDTF">2010-06-14T18:51:55Z</dcterms:created>
  <dcterms:modified xsi:type="dcterms:W3CDTF">2010-07-13T13:39:28Z</dcterms:modified>
</cp:coreProperties>
</file>