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45" windowWidth="23715" windowHeight="10035" activeTab="1"/>
  </bookViews>
  <sheets>
    <sheet name="deuda" sheetId="1" r:id="rId1"/>
    <sheet name="COMPRA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W69" i="2"/>
  <c r="Y69" s="1"/>
  <c r="U69"/>
  <c r="X69" s="1"/>
  <c r="H69"/>
  <c r="X68"/>
  <c r="W68"/>
  <c r="Y68" s="1"/>
  <c r="H68"/>
  <c r="U67"/>
  <c r="S67"/>
  <c r="R67"/>
  <c r="X67" s="1"/>
  <c r="H67"/>
  <c r="W66"/>
  <c r="Y66" s="1"/>
  <c r="U66"/>
  <c r="X66" s="1"/>
  <c r="H66"/>
  <c r="U65"/>
  <c r="S65"/>
  <c r="R65"/>
  <c r="X65" s="1"/>
  <c r="H65"/>
  <c r="X64"/>
  <c r="W64"/>
  <c r="Y64" s="1"/>
  <c r="H64"/>
  <c r="X63"/>
  <c r="W63"/>
  <c r="Y63" s="1"/>
  <c r="H63"/>
  <c r="W62"/>
  <c r="Y62" s="1"/>
  <c r="T62"/>
  <c r="X62" s="1"/>
  <c r="H62"/>
  <c r="W61"/>
  <c r="Y61" s="1"/>
  <c r="T61"/>
  <c r="X61" s="1"/>
  <c r="H61"/>
  <c r="W60"/>
  <c r="Y60" s="1"/>
  <c r="U60"/>
  <c r="X60" s="1"/>
  <c r="H60"/>
  <c r="W59"/>
  <c r="Y59" s="1"/>
  <c r="U59"/>
  <c r="X59" s="1"/>
  <c r="H59"/>
  <c r="X58"/>
  <c r="W58"/>
  <c r="Y58" s="1"/>
  <c r="H58"/>
  <c r="U57"/>
  <c r="S57"/>
  <c r="R57"/>
  <c r="X57" s="1"/>
  <c r="H57"/>
  <c r="U55"/>
  <c r="S55"/>
  <c r="R55"/>
  <c r="X55" s="1"/>
  <c r="H55"/>
  <c r="W54"/>
  <c r="Y54" s="1"/>
  <c r="U54"/>
  <c r="X54" s="1"/>
  <c r="H54"/>
  <c r="X53"/>
  <c r="W53"/>
  <c r="Y53" s="1"/>
  <c r="H53"/>
  <c r="U52"/>
  <c r="S52"/>
  <c r="R52"/>
  <c r="X52" s="1"/>
  <c r="H52"/>
  <c r="X51"/>
  <c r="W51"/>
  <c r="Y51" s="1"/>
  <c r="U51"/>
  <c r="H51"/>
  <c r="U50"/>
  <c r="S50"/>
  <c r="R50"/>
  <c r="X50" s="1"/>
  <c r="H50"/>
  <c r="X49"/>
  <c r="W49"/>
  <c r="Y49" s="1"/>
  <c r="H49"/>
  <c r="X48"/>
  <c r="W48"/>
  <c r="Y48" s="1"/>
  <c r="H48"/>
  <c r="W47"/>
  <c r="Y47" s="1"/>
  <c r="F47"/>
  <c r="T47" s="1"/>
  <c r="X47" s="1"/>
  <c r="W46"/>
  <c r="Y46" s="1"/>
  <c r="F46"/>
  <c r="T46" s="1"/>
  <c r="X46" s="1"/>
  <c r="X45"/>
  <c r="W45"/>
  <c r="Y45" s="1"/>
  <c r="U45"/>
  <c r="H45"/>
  <c r="X44"/>
  <c r="W44"/>
  <c r="Y44" s="1"/>
  <c r="U44"/>
  <c r="H44"/>
  <c r="X43"/>
  <c r="W43"/>
  <c r="Y43" s="1"/>
  <c r="F43"/>
  <c r="H43" s="1"/>
  <c r="U42"/>
  <c r="S42"/>
  <c r="R42"/>
  <c r="X42" s="1"/>
  <c r="H42"/>
  <c r="U40"/>
  <c r="S40"/>
  <c r="R40"/>
  <c r="X40" s="1"/>
  <c r="H40"/>
  <c r="X39"/>
  <c r="W39"/>
  <c r="Y39" s="1"/>
  <c r="H39"/>
  <c r="X38"/>
  <c r="W38"/>
  <c r="Y38" s="1"/>
  <c r="F38"/>
  <c r="H38" s="1"/>
  <c r="X37"/>
  <c r="W37"/>
  <c r="Y37" s="1"/>
  <c r="U37"/>
  <c r="G37"/>
  <c r="H37" s="1"/>
  <c r="F37"/>
  <c r="U36"/>
  <c r="S36"/>
  <c r="R36"/>
  <c r="G36"/>
  <c r="H36" s="1"/>
  <c r="F36"/>
  <c r="X36" s="1"/>
  <c r="X35"/>
  <c r="W35"/>
  <c r="Y35" s="1"/>
  <c r="U35"/>
  <c r="H35"/>
  <c r="U34"/>
  <c r="S34"/>
  <c r="R34"/>
  <c r="G34"/>
  <c r="H34" s="1"/>
  <c r="F34"/>
  <c r="X34" s="1"/>
  <c r="X33"/>
  <c r="W33"/>
  <c r="Y33" s="1"/>
  <c r="H33"/>
  <c r="X32"/>
  <c r="W32"/>
  <c r="Y32" s="1"/>
  <c r="F32"/>
  <c r="H32" s="1"/>
  <c r="X31"/>
  <c r="W31"/>
  <c r="Y31" s="1"/>
  <c r="F31"/>
  <c r="H31" s="1"/>
  <c r="W30"/>
  <c r="Y30" s="1"/>
  <c r="F30"/>
  <c r="T30" s="1"/>
  <c r="X30" s="1"/>
  <c r="W29"/>
  <c r="F29"/>
  <c r="W28"/>
  <c r="Y28" s="1"/>
  <c r="F28"/>
  <c r="T28" s="1"/>
  <c r="X28" s="1"/>
  <c r="X27"/>
  <c r="W27"/>
  <c r="Y27" s="1"/>
  <c r="U27"/>
  <c r="H27"/>
  <c r="X26"/>
  <c r="W26"/>
  <c r="Y26" s="1"/>
  <c r="H26"/>
  <c r="X25"/>
  <c r="W25"/>
  <c r="Y25" s="1"/>
  <c r="F25"/>
  <c r="H25" s="1"/>
  <c r="U24"/>
  <c r="S24"/>
  <c r="R24"/>
  <c r="G24"/>
  <c r="H24" s="1"/>
  <c r="F24"/>
  <c r="X24" s="1"/>
  <c r="U22"/>
  <c r="S22"/>
  <c r="R22"/>
  <c r="G22"/>
  <c r="H22" s="1"/>
  <c r="F22"/>
  <c r="X22" s="1"/>
  <c r="X21"/>
  <c r="W21"/>
  <c r="Y21" s="1"/>
  <c r="H21"/>
  <c r="X20"/>
  <c r="W20"/>
  <c r="Y20" s="1"/>
  <c r="H20"/>
  <c r="U19"/>
  <c r="S19"/>
  <c r="R19"/>
  <c r="G19"/>
  <c r="H19" s="1"/>
  <c r="F19"/>
  <c r="X18"/>
  <c r="W18"/>
  <c r="Y18" s="1"/>
  <c r="G18"/>
  <c r="H18" s="1"/>
  <c r="F18"/>
  <c r="X17"/>
  <c r="W17"/>
  <c r="Y17" s="1"/>
  <c r="H17"/>
  <c r="U16"/>
  <c r="S16"/>
  <c r="R16"/>
  <c r="G16"/>
  <c r="H16" s="1"/>
  <c r="F16"/>
  <c r="X16" s="1"/>
  <c r="X15"/>
  <c r="W15"/>
  <c r="Y15" s="1"/>
  <c r="H15"/>
  <c r="X14"/>
  <c r="W14"/>
  <c r="Y14" s="1"/>
  <c r="F14"/>
  <c r="H14" s="1"/>
  <c r="X13"/>
  <c r="W13"/>
  <c r="Y13" s="1"/>
  <c r="F13"/>
  <c r="H13" s="1"/>
  <c r="X12"/>
  <c r="W12"/>
  <c r="Y12" s="1"/>
  <c r="F12"/>
  <c r="H12" s="1"/>
  <c r="X11"/>
  <c r="W11"/>
  <c r="Y11" s="1"/>
  <c r="F11"/>
  <c r="H11" s="1"/>
  <c r="X10"/>
  <c r="W10"/>
  <c r="Y10" s="1"/>
  <c r="H10"/>
  <c r="X9"/>
  <c r="W9"/>
  <c r="Y9" s="1"/>
  <c r="G9"/>
  <c r="H9" s="1"/>
  <c r="X8"/>
  <c r="W8"/>
  <c r="Y8" s="1"/>
  <c r="F8"/>
  <c r="H8" s="1"/>
  <c r="U7"/>
  <c r="S7"/>
  <c r="R7"/>
  <c r="G7"/>
  <c r="H7" s="1"/>
  <c r="F7"/>
  <c r="X7" s="1"/>
  <c r="U6"/>
  <c r="S6"/>
  <c r="R6"/>
  <c r="G6"/>
  <c r="H6" s="1"/>
  <c r="F6"/>
  <c r="X6" s="1"/>
  <c r="C51" i="1"/>
  <c r="C23"/>
  <c r="C21"/>
  <c r="C19"/>
  <c r="C18"/>
  <c r="C15"/>
  <c r="C14"/>
  <c r="C12"/>
  <c r="C11"/>
  <c r="C10"/>
  <c r="C9"/>
  <c r="C8"/>
  <c r="C5"/>
  <c r="C4"/>
  <c r="C3"/>
  <c r="W6" i="2" l="1"/>
  <c r="Y6" s="1"/>
  <c r="W7"/>
  <c r="Y7" s="1"/>
  <c r="W16"/>
  <c r="Y16" s="1"/>
  <c r="T19"/>
  <c r="X19" s="1"/>
  <c r="W19"/>
  <c r="Y19" s="1"/>
  <c r="W22"/>
  <c r="Y22" s="1"/>
  <c r="W24"/>
  <c r="Y24" s="1"/>
  <c r="H28"/>
  <c r="T29"/>
  <c r="X29" s="1"/>
  <c r="H29"/>
  <c r="Y29"/>
  <c r="H30"/>
  <c r="W34"/>
  <c r="Y34" s="1"/>
  <c r="W36"/>
  <c r="Y36" s="1"/>
  <c r="W40"/>
  <c r="Y40" s="1"/>
  <c r="W42"/>
  <c r="Y42" s="1"/>
  <c r="H46"/>
  <c r="H47"/>
  <c r="W50"/>
  <c r="Y50" s="1"/>
  <c r="W52"/>
  <c r="Y52" s="1"/>
  <c r="W55"/>
  <c r="Y55" s="1"/>
  <c r="W57"/>
  <c r="Y57" s="1"/>
  <c r="W65"/>
  <c r="Y65" s="1"/>
  <c r="W67"/>
  <c r="Y67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<sst xmlns="http://schemas.openxmlformats.org/spreadsheetml/2006/main" count="458" uniqueCount="187">
  <si>
    <t>J</t>
  </si>
  <si>
    <t>Granjero Feliz 5/07/12</t>
  </si>
  <si>
    <t>fact 33177</t>
  </si>
  <si>
    <t>canal de cerdo</t>
  </si>
  <si>
    <t>transfer Cicodelpa</t>
  </si>
  <si>
    <t>Agrop La Gaby 6/7/12</t>
  </si>
  <si>
    <t>fact 949 y 951</t>
  </si>
  <si>
    <t>cerdo vivo</t>
  </si>
  <si>
    <t>Pepe Filete 6/07/12</t>
  </si>
  <si>
    <t>fact 12094 y</t>
  </si>
  <si>
    <t>matanza</t>
  </si>
  <si>
    <t>V</t>
  </si>
  <si>
    <t>ASO 1 al 6/07/12</t>
  </si>
  <si>
    <t>fact 3153</t>
  </si>
  <si>
    <t>fletes sem 27</t>
  </si>
  <si>
    <t>S</t>
  </si>
  <si>
    <t>D</t>
  </si>
  <si>
    <t>L</t>
  </si>
  <si>
    <t>Fortis  13/07/12</t>
  </si>
  <si>
    <t xml:space="preserve">fact 2355 </t>
  </si>
  <si>
    <t>intercam $38,584.00</t>
  </si>
  <si>
    <t>transfer Santander</t>
  </si>
  <si>
    <t>Agrop El Topete 8/07/12</t>
  </si>
  <si>
    <t>fact 698 y 699</t>
  </si>
  <si>
    <t>Pepe Filete 8/07/12</t>
  </si>
  <si>
    <t>Agrop Las Reses  9/07/12</t>
  </si>
  <si>
    <t>fact 1153 y 1154</t>
  </si>
  <si>
    <t>Pepe Filete 9/7/12</t>
  </si>
  <si>
    <t>M</t>
  </si>
  <si>
    <t>Granjero Feliz 10/7/12</t>
  </si>
  <si>
    <t>fact 33511  NC4323</t>
  </si>
  <si>
    <t>merma 101kg compensada</t>
  </si>
  <si>
    <t>Agrop El Topete 11/07/12</t>
  </si>
  <si>
    <t>fact 702 y 703</t>
  </si>
  <si>
    <t>Pepe Filete 11/07/12</t>
  </si>
  <si>
    <t>Mi</t>
  </si>
  <si>
    <t>Sukarne 11/7/12</t>
  </si>
  <si>
    <t>fact 384</t>
  </si>
  <si>
    <t>pernil ibp</t>
  </si>
  <si>
    <t>Granjero Feliz 11/7/12</t>
  </si>
  <si>
    <t>fact 33514</t>
  </si>
  <si>
    <t>Premium 17/7/12  nl12-290</t>
  </si>
  <si>
    <t>fact 94064039</t>
  </si>
  <si>
    <t>intercam $34,814.64</t>
  </si>
  <si>
    <t>Premium 17/7/12  nl12-291</t>
  </si>
  <si>
    <t>fact 94064040</t>
  </si>
  <si>
    <t>intercam $35,195.16</t>
  </si>
  <si>
    <t>Fortis 18/07/12</t>
  </si>
  <si>
    <t>Porc Paso Blanco 13/7/12</t>
  </si>
  <si>
    <t>fact 385 y 387</t>
  </si>
  <si>
    <t>Pepe Filete 12/7/12</t>
  </si>
  <si>
    <t>Granjero Feliz 13/07/12</t>
  </si>
  <si>
    <t>fact 33650 y 33651</t>
  </si>
  <si>
    <t>Fortis  21/07/12</t>
  </si>
  <si>
    <t>NU3  do 15/07/12</t>
  </si>
  <si>
    <t>Pepe filete 15/07/12</t>
  </si>
  <si>
    <t>NU3  lu 16/07/12</t>
  </si>
  <si>
    <t>Pepe filete 16/07/13</t>
  </si>
  <si>
    <t>Granjero Feliz 17/07/12</t>
  </si>
  <si>
    <t>240 canales</t>
  </si>
  <si>
    <t>canales</t>
  </si>
  <si>
    <t>120 canales</t>
  </si>
  <si>
    <t>NU3  mi18/07/12</t>
  </si>
  <si>
    <t>Pepe Filete 18/07/12</t>
  </si>
  <si>
    <t>Granjero Feliz 18/07/12</t>
  </si>
  <si>
    <t>NU3  ju 19/07/12</t>
  </si>
  <si>
    <t>Pepe Filete</t>
  </si>
  <si>
    <t>Premium 24/07/12  nl12 292</t>
  </si>
  <si>
    <t>Premium 24/07/12  nl12 293</t>
  </si>
  <si>
    <t>Fortis  25/07/12</t>
  </si>
  <si>
    <t>Sukarne 18/07/12</t>
  </si>
  <si>
    <t>pernil IBP</t>
  </si>
  <si>
    <t>Granjero Feliz 20/07/12</t>
  </si>
  <si>
    <t>Sukarne  14/07/12</t>
  </si>
  <si>
    <t>contra swift</t>
  </si>
  <si>
    <t>Agosto</t>
  </si>
  <si>
    <t>Vectra 22/08/12</t>
  </si>
  <si>
    <t>prefact 4966</t>
  </si>
  <si>
    <t>intercam $32,000</t>
  </si>
  <si>
    <t>anticipo</t>
  </si>
  <si>
    <t>para agosto</t>
  </si>
  <si>
    <t>PROGRAMA DE COMPRAS</t>
  </si>
  <si>
    <t>flete</t>
  </si>
  <si>
    <t>c. viscera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</si>
  <si>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</si>
  <si>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</si>
  <si>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</si>
  <si>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</si>
  <si>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</si>
  <si>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</si>
  <si>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</si>
  <si>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</si>
  <si>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</si>
  <si>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</si>
  <si>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</si>
  <si>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</si>
  <si>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</si>
  <si>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</si>
  <si>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</si>
  <si>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$ aduanal</t>
  </si>
  <si>
    <t>tipo cambio</t>
  </si>
  <si>
    <t>seguro</t>
  </si>
  <si>
    <t>maniobra</t>
  </si>
  <si>
    <t>com</t>
  </si>
  <si>
    <t>costo integrado</t>
  </si>
  <si>
    <t>costo real</t>
  </si>
  <si>
    <t>$ carga total</t>
  </si>
  <si>
    <t>Canal de cerdo</t>
  </si>
  <si>
    <t>Nu3</t>
  </si>
  <si>
    <t>Agrop La Gaby</t>
  </si>
  <si>
    <t>fact 940 y 941</t>
  </si>
  <si>
    <t>do</t>
  </si>
  <si>
    <t>Porc San Bernardo</t>
  </si>
  <si>
    <t>fact 297 y 298</t>
  </si>
  <si>
    <t>lu</t>
  </si>
  <si>
    <t>Pernil con piel</t>
  </si>
  <si>
    <t>Seaboard</t>
  </si>
  <si>
    <t>Fortis</t>
  </si>
  <si>
    <t>21 combos</t>
  </si>
  <si>
    <t>fact 2251</t>
  </si>
  <si>
    <t>hoja + 15.5 lu 25 jun</t>
  </si>
  <si>
    <t>GF</t>
  </si>
  <si>
    <t>Granjero Feliz</t>
  </si>
  <si>
    <t>fact 33040</t>
  </si>
  <si>
    <t>ma</t>
  </si>
  <si>
    <t>Corbata</t>
  </si>
  <si>
    <t>1050 cajas</t>
  </si>
  <si>
    <t>fact 2297</t>
  </si>
  <si>
    <t>Farmland</t>
  </si>
  <si>
    <t>24 combos</t>
  </si>
  <si>
    <t>nl12-286</t>
  </si>
  <si>
    <t>Guerrero</t>
  </si>
  <si>
    <t>hoja + 10 ju 28 jun</t>
  </si>
  <si>
    <t>23 combos</t>
  </si>
  <si>
    <t>nl12-287</t>
  </si>
  <si>
    <t>Cuero s/grasa</t>
  </si>
  <si>
    <t>680 cajas</t>
  </si>
  <si>
    <t>nltf12-20</t>
  </si>
  <si>
    <t>21 -23 combos</t>
  </si>
  <si>
    <t>fact 2270</t>
  </si>
  <si>
    <t>mi</t>
  </si>
  <si>
    <t xml:space="preserve">Pernil con piel </t>
  </si>
  <si>
    <t>IBP</t>
  </si>
  <si>
    <t>Sukarne</t>
  </si>
  <si>
    <t>20 combos</t>
  </si>
  <si>
    <t>fact 6345</t>
  </si>
  <si>
    <t>hoja + 16mi 29 jun</t>
  </si>
  <si>
    <t>Agrop Las Reses</t>
  </si>
  <si>
    <t>fact 1141 y 1142</t>
  </si>
  <si>
    <t>ju</t>
  </si>
  <si>
    <t>fact 951 y 949</t>
  </si>
  <si>
    <t>vi</t>
  </si>
  <si>
    <t>Cuero s/grasa combo</t>
  </si>
  <si>
    <t>Agrop El Topete</t>
  </si>
  <si>
    <t>Smithfield</t>
  </si>
  <si>
    <t>fact 2294</t>
  </si>
  <si>
    <t>sa</t>
  </si>
  <si>
    <t>hoja + 15 lu 2 jul</t>
  </si>
  <si>
    <t>fact 33511</t>
  </si>
  <si>
    <t>nl12-288</t>
  </si>
  <si>
    <t>hoja + 10 ju 5 jul</t>
  </si>
  <si>
    <t>nl12-289</t>
  </si>
  <si>
    <t>Cuero sin grasa</t>
  </si>
  <si>
    <t>nltf12-21</t>
  </si>
  <si>
    <t>fact 2325</t>
  </si>
  <si>
    <t>hoja + 15 ju 5 jul</t>
  </si>
  <si>
    <t>fact 2319</t>
  </si>
  <si>
    <t xml:space="preserve"> </t>
  </si>
  <si>
    <t>hoja + 16 mi 4 jul tc lu 9</t>
  </si>
  <si>
    <t>Porc Paso Blanco</t>
  </si>
  <si>
    <t>fact 386 y 387</t>
  </si>
  <si>
    <t>Contra</t>
  </si>
  <si>
    <t>Swift</t>
  </si>
  <si>
    <t>593 cajas</t>
  </si>
  <si>
    <t>fact 2355</t>
  </si>
  <si>
    <t>hoja + 15 lu 9 jul</t>
  </si>
  <si>
    <t>nl12-290</t>
  </si>
  <si>
    <t>hoja + 10 ju 12 jul</t>
  </si>
  <si>
    <t>nl12-291</t>
  </si>
  <si>
    <t>hoja + 15 ju 12 jul</t>
  </si>
  <si>
    <t>hoja + 16 ju 12 jul tc 16 jul</t>
  </si>
  <si>
    <t>hoja + 15 lu 16 jul</t>
  </si>
  <si>
    <t>nl12-292</t>
  </si>
  <si>
    <t>hoja + 10 ju 19 jul</t>
  </si>
  <si>
    <t>nl12-293</t>
  </si>
  <si>
    <t>hoja + 15 ju 19 jul</t>
  </si>
  <si>
    <t>hoja + 16 ju 12 jul tc 23 jul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</si>
</sst>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164" formatCode="#,##0_ ;\-#,##0\ "/>
    <numFmt numFmtId="165" formatCode="_-&quot;$&quot;* #,##0.000_-;\-&quot;$&quot;* #,##0.000_-;_-&quot;$&quot;* &quot;-&quot;??_-;_-@_-"/>
    <numFmt numFmtId="166" formatCode="&quot;$&quot;#,##0.00"/>
    <numFmt numFmtId="167" formatCode="&quot;$&quot;#,##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44" fontId="2" fillId="2" borderId="0" xfId="1" applyFont="1" applyFill="1"/>
    <xf numFmtId="164" fontId="2" fillId="2" borderId="0" xfId="1" applyNumberFormat="1" applyFont="1" applyFill="1"/>
    <xf numFmtId="14" fontId="2" fillId="2" borderId="0" xfId="1" applyNumberFormat="1" applyFont="1" applyFill="1"/>
    <xf numFmtId="44" fontId="0" fillId="0" borderId="0" xfId="1" applyFont="1"/>
    <xf numFmtId="44" fontId="2" fillId="0" borderId="0" xfId="1" applyFont="1"/>
    <xf numFmtId="164" fontId="2" fillId="3" borderId="0" xfId="1" applyNumberFormat="1" applyFont="1" applyFill="1"/>
    <xf numFmtId="0" fontId="0" fillId="3" borderId="0" xfId="0" applyFill="1"/>
    <xf numFmtId="164" fontId="0" fillId="0" borderId="0" xfId="1" applyNumberFormat="1" applyFont="1"/>
    <xf numFmtId="0" fontId="0" fillId="0" borderId="0" xfId="0" applyFill="1"/>
    <xf numFmtId="44" fontId="2" fillId="4" borderId="0" xfId="1" applyFont="1" applyFill="1"/>
    <xf numFmtId="165" fontId="0" fillId="0" borderId="0" xfId="1" applyNumberFormat="1" applyFont="1"/>
    <xf numFmtId="44" fontId="0" fillId="0" borderId="0" xfId="1" applyFont="1" applyFill="1"/>
    <xf numFmtId="14" fontId="0" fillId="0" borderId="0" xfId="1" applyNumberFormat="1" applyFont="1" applyFill="1"/>
    <xf numFmtId="164" fontId="2" fillId="0" borderId="0" xfId="1" applyNumberFormat="1" applyFont="1"/>
    <xf numFmtId="44" fontId="2" fillId="5" borderId="0" xfId="1" applyFont="1" applyFill="1"/>
    <xf numFmtId="44" fontId="2" fillId="0" borderId="0" xfId="1" applyFont="1" applyFill="1"/>
    <xf numFmtId="164" fontId="2" fillId="0" borderId="0" xfId="1" applyNumberFormat="1" applyFont="1" applyFill="1"/>
    <xf numFmtId="165" fontId="0" fillId="0" borderId="0" xfId="1" applyNumberFormat="1" applyFont="1" applyFill="1"/>
    <xf numFmtId="14" fontId="2" fillId="0" borderId="0" xfId="1" applyNumberFormat="1" applyFont="1" applyFill="1"/>
    <xf numFmtId="164" fontId="0" fillId="0" borderId="0" xfId="1" applyNumberFormat="1" applyFont="1" applyFill="1"/>
    <xf numFmtId="165" fontId="2" fillId="0" borderId="0" xfId="1" applyNumberFormat="1" applyFont="1" applyFill="1"/>
    <xf numFmtId="44" fontId="0" fillId="3" borderId="0" xfId="1" applyFont="1" applyFill="1"/>
    <xf numFmtId="44" fontId="2" fillId="6" borderId="0" xfId="1" applyFont="1" applyFill="1"/>
    <xf numFmtId="44" fontId="0" fillId="5" borderId="0" xfId="1" applyFont="1" applyFill="1"/>
    <xf numFmtId="44" fontId="0" fillId="6" borderId="0" xfId="1" applyFont="1" applyFill="1"/>
    <xf numFmtId="0" fontId="2" fillId="0" borderId="0" xfId="0" applyFont="1"/>
    <xf numFmtId="165" fontId="2" fillId="2" borderId="0" xfId="1" applyNumberFormat="1" applyFont="1" applyFill="1"/>
    <xf numFmtId="44" fontId="2" fillId="7" borderId="0" xfId="1" applyFont="1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6" fontId="0" fillId="0" borderId="1" xfId="0" applyNumberFormat="1" applyFill="1" applyBorder="1"/>
    <xf numFmtId="167" fontId="0" fillId="0" borderId="1" xfId="0" applyNumberFormat="1" applyFill="1" applyBorder="1"/>
    <xf numFmtId="166" fontId="2" fillId="0" borderId="1" xfId="0" applyNumberFormat="1" applyFont="1" applyFill="1" applyBorder="1"/>
    <xf numFmtId="0" fontId="0" fillId="0" borderId="3" xfId="0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4" fontId="2" fillId="0" borderId="0" xfId="0" applyNumberFormat="1" applyFont="1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167" fontId="2" fillId="0" borderId="0" xfId="0" applyNumberFormat="1" applyFont="1" applyFill="1" applyBorder="1"/>
    <xf numFmtId="0" fontId="0" fillId="4" borderId="0" xfId="0" applyFill="1"/>
    <xf numFmtId="14" fontId="0" fillId="0" borderId="4" xfId="0" applyNumberFormat="1" applyFill="1" applyBorder="1"/>
    <xf numFmtId="0" fontId="2" fillId="0" borderId="3" xfId="0" applyFont="1" applyFill="1" applyBorder="1"/>
    <xf numFmtId="166" fontId="2" fillId="0" borderId="0" xfId="0" applyNumberFormat="1" applyFont="1" applyFill="1" applyBorder="1"/>
    <xf numFmtId="0" fontId="0" fillId="2" borderId="0" xfId="0" applyFill="1" applyBorder="1"/>
    <xf numFmtId="166" fontId="2" fillId="4" borderId="0" xfId="0" applyNumberFormat="1" applyFont="1" applyFill="1" applyBorder="1"/>
    <xf numFmtId="4" fontId="0" fillId="9" borderId="0" xfId="0" applyNumberFormat="1" applyFill="1" applyBorder="1"/>
    <xf numFmtId="0" fontId="0" fillId="0" borderId="5" xfId="0" applyFill="1" applyBorder="1"/>
    <xf numFmtId="14" fontId="0" fillId="0" borderId="6" xfId="0" applyNumberFormat="1" applyFill="1" applyBorder="1"/>
    <xf numFmtId="0" fontId="0" fillId="9" borderId="2" xfId="0" applyFill="1" applyBorder="1" applyAlignment="1">
      <alignment horizontal="center" textRotation="255"/>
    </xf>
    <xf numFmtId="0" fontId="0" fillId="9" borderId="3" xfId="0" applyFill="1" applyBorder="1" applyAlignment="1">
      <alignment horizontal="center" textRotation="255"/>
    </xf>
    <xf numFmtId="166" fontId="0" fillId="3" borderId="0" xfId="0" applyNumberFormat="1" applyFill="1" applyBorder="1"/>
    <xf numFmtId="0" fontId="0" fillId="9" borderId="7" xfId="0" applyFill="1" applyBorder="1" applyAlignment="1">
      <alignment horizontal="center" textRotation="255"/>
    </xf>
    <xf numFmtId="44" fontId="0" fillId="0" borderId="1" xfId="1" applyFont="1" applyFill="1" applyBorder="1"/>
    <xf numFmtId="0" fontId="0" fillId="7" borderId="8" xfId="0" applyFill="1" applyBorder="1" applyAlignment="1">
      <alignment textRotation="255"/>
    </xf>
    <xf numFmtId="0" fontId="0" fillId="10" borderId="0" xfId="0" applyFill="1" applyBorder="1"/>
    <xf numFmtId="166" fontId="0" fillId="10" borderId="0" xfId="0" applyNumberFormat="1" applyFill="1" applyBorder="1"/>
    <xf numFmtId="167" fontId="2" fillId="10" borderId="0" xfId="0" applyNumberFormat="1" applyFont="1" applyFill="1" applyBorder="1"/>
    <xf numFmtId="167" fontId="0" fillId="3" borderId="0" xfId="0" applyNumberFormat="1" applyFill="1" applyBorder="1"/>
    <xf numFmtId="0" fontId="0" fillId="7" borderId="9" xfId="0" applyFill="1" applyBorder="1" applyAlignment="1">
      <alignment textRotation="255"/>
    </xf>
    <xf numFmtId="0" fontId="0" fillId="11" borderId="8" xfId="0" applyFill="1" applyBorder="1" applyAlignment="1">
      <alignment textRotation="255"/>
    </xf>
    <xf numFmtId="0" fontId="0" fillId="11" borderId="9" xfId="0" applyFill="1" applyBorder="1" applyAlignment="1">
      <alignment textRotation="255"/>
    </xf>
    <xf numFmtId="0" fontId="0" fillId="8" borderId="2" xfId="0" applyFill="1" applyBorder="1" applyAlignment="1">
      <alignment horizontal="center" textRotation="255"/>
    </xf>
    <xf numFmtId="0" fontId="0" fillId="8" borderId="3" xfId="0" applyFill="1" applyBorder="1" applyAlignment="1">
      <alignment horizontal="center"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64"/>
  <sheetViews>
    <sheetView workbookViewId="0">
      <selection activeCell="E7" sqref="E7"/>
    </sheetView>
  </sheetViews>
  <sheetFormatPr baseColWidth="10" defaultRowHeight="15"/>
  <cols>
    <col min="1" max="1" width="3.7109375" customWidth="1"/>
    <col min="2" max="2" width="5.5703125" customWidth="1"/>
    <col min="3" max="3" width="16.5703125" customWidth="1"/>
    <col min="4" max="4" width="22.28515625" customWidth="1"/>
    <col min="5" max="5" width="15.28515625" customWidth="1"/>
    <col min="6" max="6" width="21.7109375" customWidth="1"/>
    <col min="8" max="8" width="18" customWidth="1"/>
  </cols>
  <sheetData>
    <row r="2" spans="1:14">
      <c r="A2" t="s">
        <v>0</v>
      </c>
      <c r="B2">
        <v>12</v>
      </c>
      <c r="C2" s="1">
        <v>530447.5</v>
      </c>
      <c r="D2" s="1" t="s">
        <v>1</v>
      </c>
      <c r="E2" s="2" t="s">
        <v>2</v>
      </c>
      <c r="F2" s="1" t="s">
        <v>3</v>
      </c>
      <c r="G2" s="3">
        <v>41101</v>
      </c>
      <c r="H2" s="1" t="s">
        <v>4</v>
      </c>
      <c r="I2" s="4"/>
      <c r="J2" s="4"/>
      <c r="K2" s="4"/>
      <c r="L2" s="4"/>
      <c r="M2" s="4"/>
      <c r="N2" s="4"/>
    </row>
    <row r="3" spans="1:14">
      <c r="B3">
        <v>12</v>
      </c>
      <c r="C3" s="1">
        <f>325437+335790</f>
        <v>661227</v>
      </c>
      <c r="D3" s="1" t="s">
        <v>5</v>
      </c>
      <c r="E3" s="2" t="s">
        <v>6</v>
      </c>
      <c r="F3" s="1" t="s">
        <v>7</v>
      </c>
      <c r="G3" s="3">
        <v>41103</v>
      </c>
      <c r="H3" s="1" t="s">
        <v>4</v>
      </c>
      <c r="I3" s="4"/>
      <c r="J3" s="4"/>
      <c r="K3" s="4"/>
      <c r="L3" s="4"/>
      <c r="M3" s="4"/>
      <c r="N3" s="4"/>
    </row>
    <row r="4" spans="1:14">
      <c r="B4">
        <v>12</v>
      </c>
      <c r="C4" s="4">
        <f>52.5*300</f>
        <v>15750</v>
      </c>
      <c r="D4" s="5" t="s">
        <v>8</v>
      </c>
      <c r="E4" s="6" t="s">
        <v>9</v>
      </c>
      <c r="F4" s="5" t="s">
        <v>10</v>
      </c>
      <c r="G4" s="4"/>
      <c r="H4" s="4"/>
      <c r="I4" s="4"/>
      <c r="J4" s="4"/>
      <c r="K4" s="4"/>
      <c r="L4" s="4"/>
      <c r="M4" s="4"/>
      <c r="N4" s="4"/>
    </row>
    <row r="5" spans="1:14">
      <c r="A5" t="s">
        <v>11</v>
      </c>
      <c r="B5">
        <v>13</v>
      </c>
      <c r="C5" s="1">
        <f>4*16000</f>
        <v>64000</v>
      </c>
      <c r="D5" s="1" t="s">
        <v>12</v>
      </c>
      <c r="E5" s="2" t="s">
        <v>13</v>
      </c>
      <c r="F5" s="1" t="s">
        <v>14</v>
      </c>
      <c r="G5" s="3">
        <v>41103</v>
      </c>
      <c r="H5" s="1" t="s">
        <v>4</v>
      </c>
      <c r="I5" s="4"/>
      <c r="J5" s="4"/>
      <c r="K5" s="4"/>
      <c r="L5" s="4"/>
      <c r="M5" s="4"/>
      <c r="N5" s="4"/>
    </row>
    <row r="6" spans="1:14">
      <c r="A6" s="7" t="s">
        <v>15</v>
      </c>
      <c r="B6">
        <v>14</v>
      </c>
      <c r="C6" s="5"/>
      <c r="D6" s="5"/>
      <c r="E6" s="8"/>
      <c r="F6" s="4"/>
      <c r="G6" s="4"/>
      <c r="H6" s="4"/>
      <c r="I6" s="4"/>
      <c r="J6" s="4"/>
      <c r="K6" s="4"/>
      <c r="L6" s="4"/>
      <c r="M6" s="4"/>
      <c r="N6" s="4"/>
    </row>
    <row r="7" spans="1:14">
      <c r="A7" s="7" t="s">
        <v>16</v>
      </c>
      <c r="B7">
        <v>15</v>
      </c>
      <c r="C7" s="5"/>
      <c r="D7" s="5"/>
      <c r="E7" s="8"/>
      <c r="F7" s="4"/>
      <c r="G7" s="4"/>
      <c r="H7" s="4"/>
      <c r="I7" s="4"/>
      <c r="J7" s="4"/>
      <c r="K7" s="4"/>
      <c r="L7" s="4"/>
      <c r="M7" s="4"/>
      <c r="N7" s="4"/>
    </row>
    <row r="8" spans="1:14" s="9" customFormat="1">
      <c r="A8" s="9" t="s">
        <v>17</v>
      </c>
      <c r="B8" s="9">
        <v>16</v>
      </c>
      <c r="C8" s="10">
        <f>38584*G8</f>
        <v>516446.83999999997</v>
      </c>
      <c r="D8" s="5" t="s">
        <v>18</v>
      </c>
      <c r="E8" s="8" t="s">
        <v>19</v>
      </c>
      <c r="F8" s="4" t="s">
        <v>20</v>
      </c>
      <c r="G8" s="11">
        <v>13.385</v>
      </c>
      <c r="H8" s="12">
        <v>26.85</v>
      </c>
      <c r="I8" s="13">
        <v>41106</v>
      </c>
      <c r="J8" s="1" t="s">
        <v>21</v>
      </c>
      <c r="K8" s="12"/>
      <c r="L8" s="12"/>
      <c r="M8" s="12"/>
      <c r="N8" s="12"/>
    </row>
    <row r="9" spans="1:14">
      <c r="A9" t="s">
        <v>17</v>
      </c>
      <c r="B9">
        <v>16</v>
      </c>
      <c r="C9" s="5">
        <f>289777+294980</f>
        <v>584757</v>
      </c>
      <c r="D9" s="5" t="s">
        <v>22</v>
      </c>
      <c r="E9" s="14" t="s">
        <v>23</v>
      </c>
      <c r="F9" s="5" t="s">
        <v>7</v>
      </c>
      <c r="G9" s="4"/>
      <c r="H9" s="4"/>
      <c r="I9" s="4"/>
      <c r="J9" s="4"/>
      <c r="K9" s="4"/>
      <c r="L9" s="4"/>
      <c r="M9" s="4"/>
      <c r="N9" s="4"/>
    </row>
    <row r="10" spans="1:14">
      <c r="B10">
        <v>16</v>
      </c>
      <c r="C10" s="5">
        <f>250*52.5</f>
        <v>13125</v>
      </c>
      <c r="D10" s="5" t="s">
        <v>24</v>
      </c>
      <c r="E10" s="6"/>
      <c r="F10" s="5" t="s">
        <v>10</v>
      </c>
      <c r="G10" s="4"/>
      <c r="H10" s="4"/>
      <c r="I10" s="4"/>
      <c r="J10" s="4"/>
      <c r="K10" s="4"/>
      <c r="L10" s="4"/>
      <c r="M10" s="4"/>
      <c r="N10" s="4"/>
    </row>
    <row r="11" spans="1:14">
      <c r="B11">
        <v>16</v>
      </c>
      <c r="C11" s="5">
        <f>327015+317555</f>
        <v>644570</v>
      </c>
      <c r="D11" s="5" t="s">
        <v>25</v>
      </c>
      <c r="E11" s="8" t="s">
        <v>26</v>
      </c>
      <c r="F11" s="4" t="s">
        <v>7</v>
      </c>
      <c r="G11" s="4"/>
      <c r="H11" s="4"/>
      <c r="I11" s="4"/>
      <c r="J11" s="4"/>
      <c r="K11" s="4"/>
      <c r="L11" s="4"/>
      <c r="M11" s="4"/>
      <c r="N11" s="4"/>
    </row>
    <row r="12" spans="1:14">
      <c r="B12">
        <v>16</v>
      </c>
      <c r="C12" s="5">
        <f>52.5*250</f>
        <v>13125</v>
      </c>
      <c r="D12" s="5" t="s">
        <v>27</v>
      </c>
      <c r="E12" s="6"/>
      <c r="F12" s="4" t="s">
        <v>10</v>
      </c>
      <c r="G12" s="4"/>
      <c r="H12" s="4"/>
      <c r="I12" s="4"/>
      <c r="J12" s="4"/>
      <c r="K12" s="4"/>
      <c r="L12" s="4"/>
      <c r="M12" s="4"/>
      <c r="N12" s="4"/>
    </row>
    <row r="13" spans="1:14">
      <c r="A13" t="s">
        <v>28</v>
      </c>
      <c r="B13">
        <v>17</v>
      </c>
      <c r="C13" s="15">
        <v>529683.43999999994</v>
      </c>
      <c r="D13" s="16" t="s">
        <v>29</v>
      </c>
      <c r="E13" s="17" t="s">
        <v>30</v>
      </c>
      <c r="F13" s="12" t="s">
        <v>3</v>
      </c>
      <c r="G13" s="18" t="s">
        <v>31</v>
      </c>
      <c r="H13" s="16"/>
      <c r="I13" s="19"/>
      <c r="J13" s="16"/>
      <c r="K13" s="16"/>
      <c r="L13" s="12"/>
      <c r="M13" s="12"/>
      <c r="N13" s="4"/>
    </row>
    <row r="14" spans="1:14">
      <c r="B14">
        <v>17</v>
      </c>
      <c r="C14" s="16">
        <f>293023.5+290078</f>
        <v>583101.5</v>
      </c>
      <c r="D14" s="16" t="s">
        <v>32</v>
      </c>
      <c r="E14" s="20" t="s">
        <v>33</v>
      </c>
      <c r="F14" s="12" t="s">
        <v>7</v>
      </c>
      <c r="G14" s="21"/>
      <c r="H14" s="16"/>
      <c r="I14" s="19"/>
      <c r="J14" s="16"/>
      <c r="K14" s="16"/>
      <c r="L14" s="12"/>
      <c r="M14" s="12"/>
      <c r="N14" s="4"/>
    </row>
    <row r="15" spans="1:14">
      <c r="B15">
        <v>17</v>
      </c>
      <c r="C15" s="16">
        <f>250*52.5</f>
        <v>13125</v>
      </c>
      <c r="D15" s="16" t="s">
        <v>34</v>
      </c>
      <c r="E15" s="6"/>
      <c r="F15" s="12" t="s">
        <v>10</v>
      </c>
      <c r="G15" s="21"/>
      <c r="H15" s="16"/>
      <c r="I15" s="19"/>
      <c r="J15" s="16"/>
      <c r="K15" s="16"/>
      <c r="L15" s="12"/>
      <c r="M15" s="12"/>
      <c r="N15" s="4"/>
    </row>
    <row r="16" spans="1:14">
      <c r="A16" t="s">
        <v>35</v>
      </c>
      <c r="B16">
        <v>18</v>
      </c>
      <c r="C16" s="5">
        <v>514085.51</v>
      </c>
      <c r="D16" s="5" t="s">
        <v>36</v>
      </c>
      <c r="E16" s="8" t="s">
        <v>37</v>
      </c>
      <c r="F16" s="4" t="s">
        <v>38</v>
      </c>
      <c r="G16" s="4"/>
      <c r="H16" s="4"/>
      <c r="I16" s="4"/>
      <c r="J16" s="4"/>
      <c r="K16" s="4"/>
      <c r="L16" s="4"/>
      <c r="M16" s="4"/>
      <c r="N16" s="4"/>
    </row>
    <row r="17" spans="1:14">
      <c r="B17">
        <v>18</v>
      </c>
      <c r="C17" s="10">
        <v>521149.2</v>
      </c>
      <c r="D17" s="5" t="s">
        <v>39</v>
      </c>
      <c r="E17" s="8" t="s">
        <v>40</v>
      </c>
      <c r="F17" s="4" t="s">
        <v>3</v>
      </c>
      <c r="G17" s="4"/>
      <c r="H17" s="4"/>
      <c r="I17" s="4"/>
      <c r="J17" s="4"/>
      <c r="K17" s="4"/>
      <c r="L17" s="4"/>
      <c r="M17" s="4"/>
      <c r="N17" s="4"/>
    </row>
    <row r="18" spans="1:14">
      <c r="B18">
        <v>18</v>
      </c>
      <c r="C18" s="10">
        <f>34814.64*G18</f>
        <v>469997.64</v>
      </c>
      <c r="D18" s="5" t="s">
        <v>41</v>
      </c>
      <c r="E18" s="14" t="s">
        <v>42</v>
      </c>
      <c r="F18" s="5" t="s">
        <v>43</v>
      </c>
      <c r="G18" s="22">
        <v>13.5</v>
      </c>
      <c r="H18" s="4"/>
      <c r="I18" s="4"/>
      <c r="J18" s="4"/>
      <c r="K18" s="4"/>
      <c r="L18" s="4"/>
      <c r="M18" s="4"/>
      <c r="N18" s="4"/>
    </row>
    <row r="19" spans="1:14">
      <c r="B19">
        <v>18</v>
      </c>
      <c r="C19" s="10">
        <f>35195.16*G19</f>
        <v>475134.66000000003</v>
      </c>
      <c r="D19" s="5" t="s">
        <v>44</v>
      </c>
      <c r="E19" s="14" t="s">
        <v>45</v>
      </c>
      <c r="F19" s="5" t="s">
        <v>46</v>
      </c>
      <c r="G19" s="22">
        <v>13.5</v>
      </c>
      <c r="H19" s="4"/>
      <c r="I19" s="4"/>
      <c r="J19" s="4"/>
      <c r="K19" s="4"/>
      <c r="L19" s="4"/>
      <c r="M19" s="4"/>
      <c r="N19" s="4"/>
    </row>
    <row r="20" spans="1:14">
      <c r="B20">
        <v>18</v>
      </c>
      <c r="C20" s="10"/>
      <c r="D20" s="5" t="s">
        <v>47</v>
      </c>
      <c r="E20" s="14"/>
      <c r="F20" s="5"/>
      <c r="G20" s="22">
        <v>13.5</v>
      </c>
      <c r="H20" s="4"/>
      <c r="I20" s="4"/>
      <c r="J20" s="4"/>
      <c r="K20" s="4"/>
      <c r="L20" s="4"/>
      <c r="M20" s="4"/>
      <c r="N20" s="4"/>
    </row>
    <row r="21" spans="1:14">
      <c r="A21" t="s">
        <v>0</v>
      </c>
      <c r="B21">
        <v>19</v>
      </c>
      <c r="C21" s="5">
        <f>258860+279715</f>
        <v>538575</v>
      </c>
      <c r="D21" s="5" t="s">
        <v>48</v>
      </c>
      <c r="E21" s="8" t="s">
        <v>49</v>
      </c>
      <c r="F21" s="4" t="s">
        <v>7</v>
      </c>
      <c r="G21" s="4"/>
      <c r="H21" s="4"/>
      <c r="I21" s="4"/>
      <c r="J21" s="4"/>
      <c r="K21" s="4"/>
      <c r="L21" s="4"/>
      <c r="M21" s="4"/>
      <c r="N21" s="4"/>
    </row>
    <row r="22" spans="1:14">
      <c r="B22">
        <v>19</v>
      </c>
      <c r="C22" s="5">
        <v>13125</v>
      </c>
      <c r="D22" s="5" t="s">
        <v>50</v>
      </c>
      <c r="E22" s="6"/>
      <c r="F22" s="4" t="s">
        <v>10</v>
      </c>
      <c r="G22" s="4"/>
      <c r="H22" s="4"/>
      <c r="I22" s="4"/>
      <c r="J22" s="4"/>
      <c r="K22" s="4"/>
      <c r="L22" s="4"/>
      <c r="M22" s="4"/>
      <c r="N22" s="4"/>
    </row>
    <row r="23" spans="1:14">
      <c r="A23" t="s">
        <v>11</v>
      </c>
      <c r="B23">
        <v>20</v>
      </c>
      <c r="C23" s="15">
        <f>56297.8+551001</f>
        <v>607298.80000000005</v>
      </c>
      <c r="D23" s="5" t="s">
        <v>51</v>
      </c>
      <c r="E23" s="8" t="s">
        <v>52</v>
      </c>
      <c r="F23" s="4" t="s">
        <v>3</v>
      </c>
      <c r="G23" s="4"/>
      <c r="H23" s="4"/>
      <c r="I23" s="4"/>
      <c r="J23" s="4"/>
      <c r="K23" s="4"/>
      <c r="L23" s="4"/>
      <c r="M23" s="4"/>
      <c r="N23" s="4"/>
    </row>
    <row r="24" spans="1:14">
      <c r="A24" s="7" t="s">
        <v>15</v>
      </c>
      <c r="B24">
        <v>21</v>
      </c>
      <c r="C24" s="5"/>
      <c r="D24" s="5"/>
      <c r="E24" s="8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7" t="s">
        <v>16</v>
      </c>
      <c r="B25">
        <v>22</v>
      </c>
      <c r="C25" s="5"/>
      <c r="D25" s="5"/>
      <c r="E25" s="8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t="s">
        <v>17</v>
      </c>
      <c r="B26">
        <v>23</v>
      </c>
      <c r="C26" s="23"/>
      <c r="D26" s="5" t="s">
        <v>53</v>
      </c>
      <c r="E26" s="8"/>
      <c r="F26" s="4"/>
      <c r="G26" s="22">
        <v>13.5</v>
      </c>
      <c r="H26" s="4"/>
      <c r="I26" s="4"/>
      <c r="J26" s="4"/>
      <c r="K26" s="4"/>
      <c r="L26" s="4"/>
      <c r="M26" s="4"/>
      <c r="N26" s="4"/>
    </row>
    <row r="27" spans="1:14">
      <c r="B27">
        <v>23</v>
      </c>
      <c r="C27" s="5"/>
      <c r="D27" s="5" t="s">
        <v>54</v>
      </c>
      <c r="E27" s="8"/>
      <c r="F27" s="5" t="s">
        <v>7</v>
      </c>
      <c r="G27" s="4"/>
      <c r="H27" s="4"/>
      <c r="I27" s="4"/>
      <c r="J27" s="4"/>
      <c r="K27" s="4"/>
      <c r="L27" s="4"/>
      <c r="M27" s="4"/>
      <c r="N27" s="4"/>
    </row>
    <row r="28" spans="1:14">
      <c r="B28">
        <v>23</v>
      </c>
      <c r="C28" s="5"/>
      <c r="D28" s="5" t="s">
        <v>55</v>
      </c>
      <c r="E28" s="8"/>
      <c r="F28" s="5" t="s">
        <v>10</v>
      </c>
      <c r="G28" s="4"/>
      <c r="H28" s="4"/>
      <c r="I28" s="4"/>
      <c r="J28" s="4"/>
      <c r="K28" s="4"/>
      <c r="L28" s="4"/>
      <c r="M28" s="4"/>
      <c r="N28" s="4"/>
    </row>
    <row r="29" spans="1:14">
      <c r="B29">
        <v>23</v>
      </c>
      <c r="C29" s="5"/>
      <c r="D29" s="5" t="s">
        <v>56</v>
      </c>
      <c r="E29" s="8"/>
      <c r="F29" s="5" t="s">
        <v>7</v>
      </c>
      <c r="G29" s="4"/>
      <c r="H29" s="4"/>
      <c r="I29" s="4"/>
      <c r="J29" s="4"/>
      <c r="K29" s="4"/>
      <c r="L29" s="4"/>
      <c r="M29" s="4"/>
      <c r="N29" s="4"/>
    </row>
    <row r="30" spans="1:14">
      <c r="B30">
        <v>23</v>
      </c>
      <c r="C30" s="5"/>
      <c r="D30" s="5" t="s">
        <v>57</v>
      </c>
      <c r="E30" s="8"/>
      <c r="F30" s="5" t="s">
        <v>10</v>
      </c>
      <c r="G30" s="4"/>
      <c r="H30" s="4"/>
      <c r="I30" s="4"/>
      <c r="J30" s="4"/>
      <c r="K30" s="4"/>
      <c r="L30" s="4"/>
      <c r="M30" s="4"/>
      <c r="N30" s="4"/>
    </row>
    <row r="31" spans="1:14">
      <c r="A31" t="s">
        <v>28</v>
      </c>
      <c r="B31">
        <v>24</v>
      </c>
      <c r="C31" s="24"/>
      <c r="D31" s="5" t="s">
        <v>58</v>
      </c>
      <c r="E31" s="14" t="s">
        <v>59</v>
      </c>
      <c r="F31" s="5" t="s">
        <v>60</v>
      </c>
      <c r="G31" s="4"/>
      <c r="H31" s="4"/>
      <c r="I31" s="4"/>
      <c r="J31" s="4"/>
      <c r="K31" s="4"/>
      <c r="L31" s="4"/>
      <c r="M31" s="4"/>
      <c r="N31" s="4"/>
    </row>
    <row r="32" spans="1:14">
      <c r="B32">
        <v>24</v>
      </c>
      <c r="C32" s="24"/>
      <c r="D32" s="5" t="s">
        <v>58</v>
      </c>
      <c r="E32" s="14" t="s">
        <v>61</v>
      </c>
      <c r="F32" s="5" t="s">
        <v>60</v>
      </c>
      <c r="G32" s="4"/>
      <c r="H32" s="4"/>
      <c r="I32" s="4"/>
      <c r="J32" s="4"/>
      <c r="K32" s="4"/>
      <c r="L32" s="4"/>
      <c r="M32" s="4"/>
      <c r="N32" s="4"/>
    </row>
    <row r="33" spans="1:14">
      <c r="B33">
        <v>24</v>
      </c>
      <c r="C33" s="4"/>
      <c r="D33" s="5" t="s">
        <v>62</v>
      </c>
      <c r="E33" s="14"/>
      <c r="F33" s="5" t="s">
        <v>7</v>
      </c>
      <c r="G33" s="4"/>
      <c r="H33" s="4"/>
      <c r="I33" s="4"/>
      <c r="J33" s="4"/>
      <c r="K33" s="4"/>
      <c r="L33" s="4"/>
      <c r="M33" s="4"/>
      <c r="N33" s="4"/>
    </row>
    <row r="34" spans="1:14">
      <c r="B34">
        <v>24</v>
      </c>
      <c r="C34" s="4"/>
      <c r="D34" s="5" t="s">
        <v>63</v>
      </c>
      <c r="E34" s="14"/>
      <c r="F34" s="5" t="s">
        <v>10</v>
      </c>
      <c r="G34" s="4"/>
      <c r="H34" s="4"/>
      <c r="I34" s="4"/>
      <c r="J34" s="4"/>
      <c r="K34" s="4"/>
      <c r="L34" s="4"/>
      <c r="M34" s="4"/>
      <c r="N34" s="4"/>
    </row>
    <row r="35" spans="1:14">
      <c r="A35" t="s">
        <v>35</v>
      </c>
      <c r="B35">
        <v>25</v>
      </c>
      <c r="C35" s="4"/>
      <c r="D35" s="5" t="s">
        <v>64</v>
      </c>
      <c r="E35" s="14" t="s">
        <v>59</v>
      </c>
      <c r="F35" s="5" t="s">
        <v>60</v>
      </c>
      <c r="G35" s="4"/>
      <c r="H35" s="4"/>
      <c r="I35" s="4"/>
      <c r="J35" s="4"/>
      <c r="K35" s="4"/>
      <c r="L35" s="4"/>
      <c r="M35" s="4"/>
      <c r="N35" s="4"/>
    </row>
    <row r="36" spans="1:14">
      <c r="B36">
        <v>25</v>
      </c>
      <c r="C36" s="4"/>
      <c r="D36" s="5" t="s">
        <v>65</v>
      </c>
      <c r="E36" s="8"/>
      <c r="F36" s="5" t="s">
        <v>7</v>
      </c>
      <c r="G36" s="4"/>
      <c r="H36" s="4"/>
      <c r="I36" s="4"/>
      <c r="J36" s="4"/>
      <c r="K36" s="4"/>
      <c r="L36" s="4"/>
      <c r="M36" s="4"/>
      <c r="N36" s="4"/>
    </row>
    <row r="37" spans="1:14">
      <c r="B37">
        <v>25</v>
      </c>
      <c r="C37" s="4"/>
      <c r="D37" s="5" t="s">
        <v>66</v>
      </c>
      <c r="E37" s="8"/>
      <c r="F37" s="5" t="s">
        <v>10</v>
      </c>
      <c r="G37" s="4"/>
      <c r="H37" s="4"/>
      <c r="I37" s="4"/>
      <c r="J37" s="4"/>
      <c r="K37" s="4"/>
      <c r="L37" s="4"/>
      <c r="M37" s="4"/>
      <c r="N37" s="4"/>
    </row>
    <row r="38" spans="1:14">
      <c r="B38">
        <v>25</v>
      </c>
      <c r="C38" s="25"/>
      <c r="D38" s="5" t="s">
        <v>67</v>
      </c>
      <c r="E38" s="8"/>
      <c r="F38" s="4"/>
      <c r="G38" s="22">
        <v>13.5</v>
      </c>
      <c r="H38" s="4"/>
      <c r="I38" s="4"/>
      <c r="J38" s="4"/>
      <c r="K38" s="4"/>
      <c r="L38" s="4"/>
      <c r="M38" s="4"/>
      <c r="N38" s="4"/>
    </row>
    <row r="39" spans="1:14">
      <c r="B39">
        <v>25</v>
      </c>
      <c r="C39" s="25"/>
      <c r="D39" s="5" t="s">
        <v>68</v>
      </c>
      <c r="E39" s="8"/>
      <c r="F39" s="4"/>
      <c r="G39" s="22">
        <v>13.5</v>
      </c>
      <c r="H39" s="4"/>
      <c r="I39" s="4"/>
      <c r="J39" s="4"/>
      <c r="K39" s="4"/>
      <c r="L39" s="4"/>
      <c r="M39" s="4"/>
      <c r="N39" s="4"/>
    </row>
    <row r="40" spans="1:14">
      <c r="B40">
        <v>25</v>
      </c>
      <c r="C40" s="25"/>
      <c r="D40" s="5" t="s">
        <v>69</v>
      </c>
      <c r="E40" s="8"/>
      <c r="F40" s="4"/>
      <c r="G40" s="22">
        <v>13.5</v>
      </c>
      <c r="H40" s="4"/>
      <c r="I40" s="4"/>
      <c r="J40" s="4"/>
      <c r="K40" s="4"/>
      <c r="L40" s="4"/>
      <c r="M40" s="4"/>
      <c r="N40" s="4"/>
    </row>
    <row r="41" spans="1:14">
      <c r="B41">
        <v>25</v>
      </c>
      <c r="C41" s="25"/>
      <c r="D41" s="5" t="s">
        <v>70</v>
      </c>
      <c r="E41" s="8"/>
      <c r="F41" s="5" t="s">
        <v>71</v>
      </c>
      <c r="G41" s="4"/>
      <c r="H41" s="4"/>
      <c r="I41" s="4"/>
      <c r="J41" s="4"/>
      <c r="K41" s="4"/>
      <c r="L41" s="4"/>
      <c r="M41" s="4"/>
      <c r="N41" s="4"/>
    </row>
    <row r="42" spans="1:14">
      <c r="A42" t="s">
        <v>0</v>
      </c>
      <c r="B42">
        <v>26</v>
      </c>
      <c r="C42" s="4"/>
      <c r="D42" s="4"/>
      <c r="E42" s="8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t="s">
        <v>11</v>
      </c>
      <c r="B43">
        <v>27</v>
      </c>
      <c r="C43" s="24"/>
      <c r="D43" s="5" t="s">
        <v>72</v>
      </c>
      <c r="E43" s="8"/>
      <c r="F43" s="5" t="s">
        <v>60</v>
      </c>
      <c r="G43" s="4"/>
      <c r="H43" s="4"/>
      <c r="I43" s="4"/>
      <c r="J43" s="4"/>
      <c r="K43" s="4"/>
      <c r="L43" s="4"/>
      <c r="M43" s="4"/>
      <c r="N43" s="4"/>
    </row>
    <row r="44" spans="1:14">
      <c r="A44" s="7" t="s">
        <v>15</v>
      </c>
      <c r="B44">
        <v>28</v>
      </c>
      <c r="C44" s="4"/>
      <c r="D44" s="4"/>
      <c r="E44" s="8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7" t="s">
        <v>16</v>
      </c>
      <c r="B45">
        <v>29</v>
      </c>
      <c r="C45" s="4"/>
      <c r="D45" s="4"/>
      <c r="E45" s="8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t="s">
        <v>17</v>
      </c>
      <c r="B46">
        <v>30</v>
      </c>
      <c r="C46" s="22">
        <v>1135830.94</v>
      </c>
      <c r="D46" s="4" t="s">
        <v>73</v>
      </c>
      <c r="E46" s="8"/>
      <c r="F46" s="4" t="s">
        <v>74</v>
      </c>
      <c r="G46" s="4"/>
      <c r="H46" s="4"/>
      <c r="I46" s="4"/>
      <c r="J46" s="4"/>
      <c r="K46" s="4"/>
      <c r="L46" s="4"/>
      <c r="M46" s="4"/>
      <c r="N46" s="4"/>
    </row>
    <row r="47" spans="1:14">
      <c r="A47" t="s">
        <v>28</v>
      </c>
      <c r="B47">
        <v>31</v>
      </c>
      <c r="C47" s="4"/>
      <c r="D47" s="4"/>
      <c r="E47" s="8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26" t="s">
        <v>75</v>
      </c>
      <c r="C48" s="4"/>
      <c r="D48" s="4"/>
      <c r="E48" s="8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t="s">
        <v>35</v>
      </c>
      <c r="B49">
        <v>1</v>
      </c>
      <c r="C49" s="4"/>
      <c r="D49" s="4"/>
      <c r="E49" s="8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t="s">
        <v>0</v>
      </c>
      <c r="B50">
        <v>2</v>
      </c>
      <c r="C50" s="4"/>
      <c r="D50" s="4"/>
      <c r="E50" s="8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26" t="s">
        <v>11</v>
      </c>
      <c r="B51">
        <v>3</v>
      </c>
      <c r="C51" s="1">
        <f>32000*G51</f>
        <v>428096</v>
      </c>
      <c r="D51" s="1" t="s">
        <v>76</v>
      </c>
      <c r="E51" s="2" t="s">
        <v>77</v>
      </c>
      <c r="F51" s="1" t="s">
        <v>78</v>
      </c>
      <c r="G51" s="27">
        <v>13.378</v>
      </c>
      <c r="H51" s="1">
        <v>24.92</v>
      </c>
      <c r="I51" s="3">
        <v>41093</v>
      </c>
      <c r="J51" s="1" t="s">
        <v>21</v>
      </c>
      <c r="K51" s="28" t="s">
        <v>79</v>
      </c>
      <c r="L51" s="4" t="s">
        <v>80</v>
      </c>
      <c r="M51" s="4"/>
      <c r="N51" s="4"/>
    </row>
    <row r="52" spans="1:14">
      <c r="A52" t="s">
        <v>11</v>
      </c>
      <c r="B52">
        <v>3</v>
      </c>
      <c r="C52" s="4"/>
      <c r="D52" s="4"/>
      <c r="E52" s="8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7" t="s">
        <v>15</v>
      </c>
      <c r="B53">
        <v>4</v>
      </c>
      <c r="C53" s="4"/>
      <c r="D53" s="4"/>
      <c r="E53" s="8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7" t="s">
        <v>16</v>
      </c>
      <c r="B54">
        <v>5</v>
      </c>
      <c r="C54" s="4"/>
      <c r="D54" s="4"/>
      <c r="E54" s="8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t="s">
        <v>17</v>
      </c>
      <c r="B55">
        <v>6</v>
      </c>
      <c r="C55" s="4"/>
      <c r="D55" s="4"/>
      <c r="E55" s="8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t="s">
        <v>28</v>
      </c>
      <c r="B56">
        <v>7</v>
      </c>
      <c r="C56" s="4"/>
      <c r="D56" s="4"/>
      <c r="E56" s="8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t="s">
        <v>35</v>
      </c>
      <c r="B57">
        <v>8</v>
      </c>
      <c r="C57" s="4"/>
      <c r="D57" s="4"/>
      <c r="E57" s="8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t="s">
        <v>0</v>
      </c>
      <c r="B58">
        <v>9</v>
      </c>
      <c r="C58" s="4"/>
      <c r="D58" s="4"/>
      <c r="E58" s="8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t="s">
        <v>11</v>
      </c>
      <c r="B59">
        <v>10</v>
      </c>
      <c r="C59" s="4"/>
      <c r="D59" s="4"/>
      <c r="E59" s="8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7" t="s">
        <v>15</v>
      </c>
      <c r="B60">
        <v>11</v>
      </c>
      <c r="C60" s="4"/>
      <c r="D60" s="4"/>
      <c r="E60" s="8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7" t="s">
        <v>16</v>
      </c>
      <c r="B61">
        <v>12</v>
      </c>
      <c r="C61" s="4"/>
      <c r="D61" s="4"/>
      <c r="E61" s="8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t="s">
        <v>17</v>
      </c>
      <c r="B62">
        <v>13</v>
      </c>
      <c r="C62" s="4"/>
      <c r="D62" s="4"/>
      <c r="E62" s="8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t="s">
        <v>28</v>
      </c>
      <c r="B63">
        <v>14</v>
      </c>
      <c r="C63" s="4"/>
      <c r="D63" s="4"/>
      <c r="E63" s="8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t="s">
        <v>35</v>
      </c>
      <c r="B64">
        <v>15</v>
      </c>
      <c r="C64" s="4"/>
      <c r="D64" s="4"/>
      <c r="E64" s="8"/>
      <c r="F64" s="4"/>
      <c r="G64" s="4"/>
      <c r="H64" s="4"/>
      <c r="I64" s="4"/>
      <c r="J64" s="4"/>
      <c r="K64" s="4"/>
      <c r="L64" s="4"/>
      <c r="M64" s="4"/>
      <c r="N64" s="4"/>
    </row>
  </sheetData>
  <pageMargins left="0.70866141732283472" right="0.11811023622047245" top="0.35433070866141736" bottom="0.74803149606299213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B70"/>
  <sheetViews>
    <sheetView tabSelected="1" zoomScale="75" zoomScaleNormal="75" workbookViewId="0">
      <selection activeCell="N43" sqref="N43"/>
    </sheetView>
  </sheetViews>
  <sheetFormatPr baseColWidth="10" defaultRowHeight="15"/>
  <cols>
    <col min="1" max="1" width="5.7109375" customWidth="1"/>
    <col min="2" max="2" width="17.42578125" customWidth="1"/>
    <col min="3" max="3" width="14.28515625" customWidth="1"/>
    <col min="4" max="4" width="18.140625" customWidth="1"/>
    <col min="7" max="7" width="11.7109375" customWidth="1"/>
    <col min="13" max="13" width="4" customWidth="1"/>
    <col min="14" max="14" width="23.140625" bestFit="1" customWidth="1"/>
    <col min="19" max="19" width="14" customWidth="1"/>
    <col min="20" max="20" width="12.42578125" customWidth="1"/>
    <col min="21" max="21" width="11.42578125" style="9"/>
    <col min="22" max="22" width="6.42578125" customWidth="1"/>
    <col min="23" max="23" width="13.7109375" hidden="1" customWidth="1"/>
    <col min="24" max="24" width="12.140625" customWidth="1"/>
    <col min="25" max="25" width="16.42578125" customWidth="1"/>
    <col min="26" max="26" width="13.28515625" customWidth="1"/>
    <col min="257" max="257" width="5.7109375" customWidth="1"/>
    <col min="258" max="258" width="17.42578125" customWidth="1"/>
    <col min="259" max="259" width="14.28515625" customWidth="1"/>
    <col min="260" max="260" width="18.140625" customWidth="1"/>
    <col min="269" max="269" width="4" customWidth="1"/>
    <col min="275" max="275" width="14" customWidth="1"/>
    <col min="276" max="276" width="12.42578125" customWidth="1"/>
    <col min="278" max="278" width="6.42578125" customWidth="1"/>
    <col min="279" max="279" width="0" hidden="1" customWidth="1"/>
    <col min="280" max="280" width="12.140625" customWidth="1"/>
    <col min="281" max="281" width="16.42578125" customWidth="1"/>
    <col min="513" max="513" width="5.7109375" customWidth="1"/>
    <col min="514" max="514" width="17.42578125" customWidth="1"/>
    <col min="515" max="515" width="14.28515625" customWidth="1"/>
    <col min="516" max="516" width="18.140625" customWidth="1"/>
    <col min="525" max="525" width="4" customWidth="1"/>
    <col min="531" max="531" width="14" customWidth="1"/>
    <col min="532" max="532" width="12.42578125" customWidth="1"/>
    <col min="534" max="534" width="6.42578125" customWidth="1"/>
    <col min="535" max="535" width="0" hidden="1" customWidth="1"/>
    <col min="536" max="536" width="12.140625" customWidth="1"/>
    <col min="537" max="537" width="16.42578125" customWidth="1"/>
    <col min="769" max="769" width="5.7109375" customWidth="1"/>
    <col min="770" max="770" width="17.42578125" customWidth="1"/>
    <col min="771" max="771" width="14.28515625" customWidth="1"/>
    <col min="772" max="772" width="18.140625" customWidth="1"/>
    <col min="781" max="781" width="4" customWidth="1"/>
    <col min="787" max="787" width="14" customWidth="1"/>
    <col min="788" max="788" width="12.42578125" customWidth="1"/>
    <col min="790" max="790" width="6.42578125" customWidth="1"/>
    <col min="791" max="791" width="0" hidden="1" customWidth="1"/>
    <col min="792" max="792" width="12.140625" customWidth="1"/>
    <col min="793" max="793" width="16.42578125" customWidth="1"/>
    <col min="1025" max="1025" width="5.7109375" customWidth="1"/>
    <col min="1026" max="1026" width="17.42578125" customWidth="1"/>
    <col min="1027" max="1027" width="14.28515625" customWidth="1"/>
    <col min="1028" max="1028" width="18.140625" customWidth="1"/>
    <col min="1037" max="1037" width="4" customWidth="1"/>
    <col min="1043" max="1043" width="14" customWidth="1"/>
    <col min="1044" max="1044" width="12.42578125" customWidth="1"/>
    <col min="1046" max="1046" width="6.42578125" customWidth="1"/>
    <col min="1047" max="1047" width="0" hidden="1" customWidth="1"/>
    <col min="1048" max="1048" width="12.140625" customWidth="1"/>
    <col min="1049" max="1049" width="16.42578125" customWidth="1"/>
    <col min="1281" max="1281" width="5.7109375" customWidth="1"/>
    <col min="1282" max="1282" width="17.42578125" customWidth="1"/>
    <col min="1283" max="1283" width="14.28515625" customWidth="1"/>
    <col min="1284" max="1284" width="18.140625" customWidth="1"/>
    <col min="1293" max="1293" width="4" customWidth="1"/>
    <col min="1299" max="1299" width="14" customWidth="1"/>
    <col min="1300" max="1300" width="12.42578125" customWidth="1"/>
    <col min="1302" max="1302" width="6.42578125" customWidth="1"/>
    <col min="1303" max="1303" width="0" hidden="1" customWidth="1"/>
    <col min="1304" max="1304" width="12.140625" customWidth="1"/>
    <col min="1305" max="1305" width="16.42578125" customWidth="1"/>
    <col min="1537" max="1537" width="5.7109375" customWidth="1"/>
    <col min="1538" max="1538" width="17.42578125" customWidth="1"/>
    <col min="1539" max="1539" width="14.28515625" customWidth="1"/>
    <col min="1540" max="1540" width="18.140625" customWidth="1"/>
    <col min="1549" max="1549" width="4" customWidth="1"/>
    <col min="1555" max="1555" width="14" customWidth="1"/>
    <col min="1556" max="1556" width="12.42578125" customWidth="1"/>
    <col min="1558" max="1558" width="6.42578125" customWidth="1"/>
    <col min="1559" max="1559" width="0" hidden="1" customWidth="1"/>
    <col min="1560" max="1560" width="12.140625" customWidth="1"/>
    <col min="1561" max="1561" width="16.42578125" customWidth="1"/>
    <col min="1793" max="1793" width="5.7109375" customWidth="1"/>
    <col min="1794" max="1794" width="17.42578125" customWidth="1"/>
    <col min="1795" max="1795" width="14.28515625" customWidth="1"/>
    <col min="1796" max="1796" width="18.140625" customWidth="1"/>
    <col min="1805" max="1805" width="4" customWidth="1"/>
    <col min="1811" max="1811" width="14" customWidth="1"/>
    <col min="1812" max="1812" width="12.42578125" customWidth="1"/>
    <col min="1814" max="1814" width="6.42578125" customWidth="1"/>
    <col min="1815" max="1815" width="0" hidden="1" customWidth="1"/>
    <col min="1816" max="1816" width="12.140625" customWidth="1"/>
    <col min="1817" max="1817" width="16.42578125" customWidth="1"/>
    <col min="2049" max="2049" width="5.7109375" customWidth="1"/>
    <col min="2050" max="2050" width="17.42578125" customWidth="1"/>
    <col min="2051" max="2051" width="14.28515625" customWidth="1"/>
    <col min="2052" max="2052" width="18.140625" customWidth="1"/>
    <col min="2061" max="2061" width="4" customWidth="1"/>
    <col min="2067" max="2067" width="14" customWidth="1"/>
    <col min="2068" max="2068" width="12.42578125" customWidth="1"/>
    <col min="2070" max="2070" width="6.42578125" customWidth="1"/>
    <col min="2071" max="2071" width="0" hidden="1" customWidth="1"/>
    <col min="2072" max="2072" width="12.140625" customWidth="1"/>
    <col min="2073" max="2073" width="16.42578125" customWidth="1"/>
    <col min="2305" max="2305" width="5.7109375" customWidth="1"/>
    <col min="2306" max="2306" width="17.42578125" customWidth="1"/>
    <col min="2307" max="2307" width="14.28515625" customWidth="1"/>
    <col min="2308" max="2308" width="18.140625" customWidth="1"/>
    <col min="2317" max="2317" width="4" customWidth="1"/>
    <col min="2323" max="2323" width="14" customWidth="1"/>
    <col min="2324" max="2324" width="12.42578125" customWidth="1"/>
    <col min="2326" max="2326" width="6.42578125" customWidth="1"/>
    <col min="2327" max="2327" width="0" hidden="1" customWidth="1"/>
    <col min="2328" max="2328" width="12.140625" customWidth="1"/>
    <col min="2329" max="2329" width="16.42578125" customWidth="1"/>
    <col min="2561" max="2561" width="5.7109375" customWidth="1"/>
    <col min="2562" max="2562" width="17.42578125" customWidth="1"/>
    <col min="2563" max="2563" width="14.28515625" customWidth="1"/>
    <col min="2564" max="2564" width="18.140625" customWidth="1"/>
    <col min="2573" max="2573" width="4" customWidth="1"/>
    <col min="2579" max="2579" width="14" customWidth="1"/>
    <col min="2580" max="2580" width="12.42578125" customWidth="1"/>
    <col min="2582" max="2582" width="6.42578125" customWidth="1"/>
    <col min="2583" max="2583" width="0" hidden="1" customWidth="1"/>
    <col min="2584" max="2584" width="12.140625" customWidth="1"/>
    <col min="2585" max="2585" width="16.42578125" customWidth="1"/>
    <col min="2817" max="2817" width="5.7109375" customWidth="1"/>
    <col min="2818" max="2818" width="17.42578125" customWidth="1"/>
    <col min="2819" max="2819" width="14.28515625" customWidth="1"/>
    <col min="2820" max="2820" width="18.140625" customWidth="1"/>
    <col min="2829" max="2829" width="4" customWidth="1"/>
    <col min="2835" max="2835" width="14" customWidth="1"/>
    <col min="2836" max="2836" width="12.42578125" customWidth="1"/>
    <col min="2838" max="2838" width="6.42578125" customWidth="1"/>
    <col min="2839" max="2839" width="0" hidden="1" customWidth="1"/>
    <col min="2840" max="2840" width="12.140625" customWidth="1"/>
    <col min="2841" max="2841" width="16.42578125" customWidth="1"/>
    <col min="3073" max="3073" width="5.7109375" customWidth="1"/>
    <col min="3074" max="3074" width="17.42578125" customWidth="1"/>
    <col min="3075" max="3075" width="14.28515625" customWidth="1"/>
    <col min="3076" max="3076" width="18.140625" customWidth="1"/>
    <col min="3085" max="3085" width="4" customWidth="1"/>
    <col min="3091" max="3091" width="14" customWidth="1"/>
    <col min="3092" max="3092" width="12.42578125" customWidth="1"/>
    <col min="3094" max="3094" width="6.42578125" customWidth="1"/>
    <col min="3095" max="3095" width="0" hidden="1" customWidth="1"/>
    <col min="3096" max="3096" width="12.140625" customWidth="1"/>
    <col min="3097" max="3097" width="16.42578125" customWidth="1"/>
    <col min="3329" max="3329" width="5.7109375" customWidth="1"/>
    <col min="3330" max="3330" width="17.42578125" customWidth="1"/>
    <col min="3331" max="3331" width="14.28515625" customWidth="1"/>
    <col min="3332" max="3332" width="18.140625" customWidth="1"/>
    <col min="3341" max="3341" width="4" customWidth="1"/>
    <col min="3347" max="3347" width="14" customWidth="1"/>
    <col min="3348" max="3348" width="12.42578125" customWidth="1"/>
    <col min="3350" max="3350" width="6.42578125" customWidth="1"/>
    <col min="3351" max="3351" width="0" hidden="1" customWidth="1"/>
    <col min="3352" max="3352" width="12.140625" customWidth="1"/>
    <col min="3353" max="3353" width="16.42578125" customWidth="1"/>
    <col min="3585" max="3585" width="5.7109375" customWidth="1"/>
    <col min="3586" max="3586" width="17.42578125" customWidth="1"/>
    <col min="3587" max="3587" width="14.28515625" customWidth="1"/>
    <col min="3588" max="3588" width="18.140625" customWidth="1"/>
    <col min="3597" max="3597" width="4" customWidth="1"/>
    <col min="3603" max="3603" width="14" customWidth="1"/>
    <col min="3604" max="3604" width="12.42578125" customWidth="1"/>
    <col min="3606" max="3606" width="6.42578125" customWidth="1"/>
    <col min="3607" max="3607" width="0" hidden="1" customWidth="1"/>
    <col min="3608" max="3608" width="12.140625" customWidth="1"/>
    <col min="3609" max="3609" width="16.42578125" customWidth="1"/>
    <col min="3841" max="3841" width="5.7109375" customWidth="1"/>
    <col min="3842" max="3842" width="17.42578125" customWidth="1"/>
    <col min="3843" max="3843" width="14.28515625" customWidth="1"/>
    <col min="3844" max="3844" width="18.140625" customWidth="1"/>
    <col min="3853" max="3853" width="4" customWidth="1"/>
    <col min="3859" max="3859" width="14" customWidth="1"/>
    <col min="3860" max="3860" width="12.42578125" customWidth="1"/>
    <col min="3862" max="3862" width="6.42578125" customWidth="1"/>
    <col min="3863" max="3863" width="0" hidden="1" customWidth="1"/>
    <col min="3864" max="3864" width="12.140625" customWidth="1"/>
    <col min="3865" max="3865" width="16.42578125" customWidth="1"/>
    <col min="4097" max="4097" width="5.7109375" customWidth="1"/>
    <col min="4098" max="4098" width="17.42578125" customWidth="1"/>
    <col min="4099" max="4099" width="14.28515625" customWidth="1"/>
    <col min="4100" max="4100" width="18.140625" customWidth="1"/>
    <col min="4109" max="4109" width="4" customWidth="1"/>
    <col min="4115" max="4115" width="14" customWidth="1"/>
    <col min="4116" max="4116" width="12.42578125" customWidth="1"/>
    <col min="4118" max="4118" width="6.42578125" customWidth="1"/>
    <col min="4119" max="4119" width="0" hidden="1" customWidth="1"/>
    <col min="4120" max="4120" width="12.140625" customWidth="1"/>
    <col min="4121" max="4121" width="16.42578125" customWidth="1"/>
    <col min="4353" max="4353" width="5.7109375" customWidth="1"/>
    <col min="4354" max="4354" width="17.42578125" customWidth="1"/>
    <col min="4355" max="4355" width="14.28515625" customWidth="1"/>
    <col min="4356" max="4356" width="18.140625" customWidth="1"/>
    <col min="4365" max="4365" width="4" customWidth="1"/>
    <col min="4371" max="4371" width="14" customWidth="1"/>
    <col min="4372" max="4372" width="12.42578125" customWidth="1"/>
    <col min="4374" max="4374" width="6.42578125" customWidth="1"/>
    <col min="4375" max="4375" width="0" hidden="1" customWidth="1"/>
    <col min="4376" max="4376" width="12.140625" customWidth="1"/>
    <col min="4377" max="4377" width="16.42578125" customWidth="1"/>
    <col min="4609" max="4609" width="5.7109375" customWidth="1"/>
    <col min="4610" max="4610" width="17.42578125" customWidth="1"/>
    <col min="4611" max="4611" width="14.28515625" customWidth="1"/>
    <col min="4612" max="4612" width="18.140625" customWidth="1"/>
    <col min="4621" max="4621" width="4" customWidth="1"/>
    <col min="4627" max="4627" width="14" customWidth="1"/>
    <col min="4628" max="4628" width="12.42578125" customWidth="1"/>
    <col min="4630" max="4630" width="6.42578125" customWidth="1"/>
    <col min="4631" max="4631" width="0" hidden="1" customWidth="1"/>
    <col min="4632" max="4632" width="12.140625" customWidth="1"/>
    <col min="4633" max="4633" width="16.42578125" customWidth="1"/>
    <col min="4865" max="4865" width="5.7109375" customWidth="1"/>
    <col min="4866" max="4866" width="17.42578125" customWidth="1"/>
    <col min="4867" max="4867" width="14.28515625" customWidth="1"/>
    <col min="4868" max="4868" width="18.140625" customWidth="1"/>
    <col min="4877" max="4877" width="4" customWidth="1"/>
    <col min="4883" max="4883" width="14" customWidth="1"/>
    <col min="4884" max="4884" width="12.42578125" customWidth="1"/>
    <col min="4886" max="4886" width="6.42578125" customWidth="1"/>
    <col min="4887" max="4887" width="0" hidden="1" customWidth="1"/>
    <col min="4888" max="4888" width="12.140625" customWidth="1"/>
    <col min="4889" max="4889" width="16.42578125" customWidth="1"/>
    <col min="5121" max="5121" width="5.7109375" customWidth="1"/>
    <col min="5122" max="5122" width="17.42578125" customWidth="1"/>
    <col min="5123" max="5123" width="14.28515625" customWidth="1"/>
    <col min="5124" max="5124" width="18.140625" customWidth="1"/>
    <col min="5133" max="5133" width="4" customWidth="1"/>
    <col min="5139" max="5139" width="14" customWidth="1"/>
    <col min="5140" max="5140" width="12.42578125" customWidth="1"/>
    <col min="5142" max="5142" width="6.42578125" customWidth="1"/>
    <col min="5143" max="5143" width="0" hidden="1" customWidth="1"/>
    <col min="5144" max="5144" width="12.140625" customWidth="1"/>
    <col min="5145" max="5145" width="16.42578125" customWidth="1"/>
    <col min="5377" max="5377" width="5.7109375" customWidth="1"/>
    <col min="5378" max="5378" width="17.42578125" customWidth="1"/>
    <col min="5379" max="5379" width="14.28515625" customWidth="1"/>
    <col min="5380" max="5380" width="18.140625" customWidth="1"/>
    <col min="5389" max="5389" width="4" customWidth="1"/>
    <col min="5395" max="5395" width="14" customWidth="1"/>
    <col min="5396" max="5396" width="12.42578125" customWidth="1"/>
    <col min="5398" max="5398" width="6.42578125" customWidth="1"/>
    <col min="5399" max="5399" width="0" hidden="1" customWidth="1"/>
    <col min="5400" max="5400" width="12.140625" customWidth="1"/>
    <col min="5401" max="5401" width="16.42578125" customWidth="1"/>
    <col min="5633" max="5633" width="5.7109375" customWidth="1"/>
    <col min="5634" max="5634" width="17.42578125" customWidth="1"/>
    <col min="5635" max="5635" width="14.28515625" customWidth="1"/>
    <col min="5636" max="5636" width="18.140625" customWidth="1"/>
    <col min="5645" max="5645" width="4" customWidth="1"/>
    <col min="5651" max="5651" width="14" customWidth="1"/>
    <col min="5652" max="5652" width="12.42578125" customWidth="1"/>
    <col min="5654" max="5654" width="6.42578125" customWidth="1"/>
    <col min="5655" max="5655" width="0" hidden="1" customWidth="1"/>
    <col min="5656" max="5656" width="12.140625" customWidth="1"/>
    <col min="5657" max="5657" width="16.42578125" customWidth="1"/>
    <col min="5889" max="5889" width="5.7109375" customWidth="1"/>
    <col min="5890" max="5890" width="17.42578125" customWidth="1"/>
    <col min="5891" max="5891" width="14.28515625" customWidth="1"/>
    <col min="5892" max="5892" width="18.140625" customWidth="1"/>
    <col min="5901" max="5901" width="4" customWidth="1"/>
    <col min="5907" max="5907" width="14" customWidth="1"/>
    <col min="5908" max="5908" width="12.42578125" customWidth="1"/>
    <col min="5910" max="5910" width="6.42578125" customWidth="1"/>
    <col min="5911" max="5911" width="0" hidden="1" customWidth="1"/>
    <col min="5912" max="5912" width="12.140625" customWidth="1"/>
    <col min="5913" max="5913" width="16.42578125" customWidth="1"/>
    <col min="6145" max="6145" width="5.7109375" customWidth="1"/>
    <col min="6146" max="6146" width="17.42578125" customWidth="1"/>
    <col min="6147" max="6147" width="14.28515625" customWidth="1"/>
    <col min="6148" max="6148" width="18.140625" customWidth="1"/>
    <col min="6157" max="6157" width="4" customWidth="1"/>
    <col min="6163" max="6163" width="14" customWidth="1"/>
    <col min="6164" max="6164" width="12.42578125" customWidth="1"/>
    <col min="6166" max="6166" width="6.42578125" customWidth="1"/>
    <col min="6167" max="6167" width="0" hidden="1" customWidth="1"/>
    <col min="6168" max="6168" width="12.140625" customWidth="1"/>
    <col min="6169" max="6169" width="16.42578125" customWidth="1"/>
    <col min="6401" max="6401" width="5.7109375" customWidth="1"/>
    <col min="6402" max="6402" width="17.42578125" customWidth="1"/>
    <col min="6403" max="6403" width="14.28515625" customWidth="1"/>
    <col min="6404" max="6404" width="18.140625" customWidth="1"/>
    <col min="6413" max="6413" width="4" customWidth="1"/>
    <col min="6419" max="6419" width="14" customWidth="1"/>
    <col min="6420" max="6420" width="12.42578125" customWidth="1"/>
    <col min="6422" max="6422" width="6.42578125" customWidth="1"/>
    <col min="6423" max="6423" width="0" hidden="1" customWidth="1"/>
    <col min="6424" max="6424" width="12.140625" customWidth="1"/>
    <col min="6425" max="6425" width="16.42578125" customWidth="1"/>
    <col min="6657" max="6657" width="5.7109375" customWidth="1"/>
    <col min="6658" max="6658" width="17.42578125" customWidth="1"/>
    <col min="6659" max="6659" width="14.28515625" customWidth="1"/>
    <col min="6660" max="6660" width="18.140625" customWidth="1"/>
    <col min="6669" max="6669" width="4" customWidth="1"/>
    <col min="6675" max="6675" width="14" customWidth="1"/>
    <col min="6676" max="6676" width="12.42578125" customWidth="1"/>
    <col min="6678" max="6678" width="6.42578125" customWidth="1"/>
    <col min="6679" max="6679" width="0" hidden="1" customWidth="1"/>
    <col min="6680" max="6680" width="12.140625" customWidth="1"/>
    <col min="6681" max="6681" width="16.42578125" customWidth="1"/>
    <col min="6913" max="6913" width="5.7109375" customWidth="1"/>
    <col min="6914" max="6914" width="17.42578125" customWidth="1"/>
    <col min="6915" max="6915" width="14.28515625" customWidth="1"/>
    <col min="6916" max="6916" width="18.140625" customWidth="1"/>
    <col min="6925" max="6925" width="4" customWidth="1"/>
    <col min="6931" max="6931" width="14" customWidth="1"/>
    <col min="6932" max="6932" width="12.42578125" customWidth="1"/>
    <col min="6934" max="6934" width="6.42578125" customWidth="1"/>
    <col min="6935" max="6935" width="0" hidden="1" customWidth="1"/>
    <col min="6936" max="6936" width="12.140625" customWidth="1"/>
    <col min="6937" max="6937" width="16.42578125" customWidth="1"/>
    <col min="7169" max="7169" width="5.7109375" customWidth="1"/>
    <col min="7170" max="7170" width="17.42578125" customWidth="1"/>
    <col min="7171" max="7171" width="14.28515625" customWidth="1"/>
    <col min="7172" max="7172" width="18.140625" customWidth="1"/>
    <col min="7181" max="7181" width="4" customWidth="1"/>
    <col min="7187" max="7187" width="14" customWidth="1"/>
    <col min="7188" max="7188" width="12.42578125" customWidth="1"/>
    <col min="7190" max="7190" width="6.42578125" customWidth="1"/>
    <col min="7191" max="7191" width="0" hidden="1" customWidth="1"/>
    <col min="7192" max="7192" width="12.140625" customWidth="1"/>
    <col min="7193" max="7193" width="16.42578125" customWidth="1"/>
    <col min="7425" max="7425" width="5.7109375" customWidth="1"/>
    <col min="7426" max="7426" width="17.42578125" customWidth="1"/>
    <col min="7427" max="7427" width="14.28515625" customWidth="1"/>
    <col min="7428" max="7428" width="18.140625" customWidth="1"/>
    <col min="7437" max="7437" width="4" customWidth="1"/>
    <col min="7443" max="7443" width="14" customWidth="1"/>
    <col min="7444" max="7444" width="12.42578125" customWidth="1"/>
    <col min="7446" max="7446" width="6.42578125" customWidth="1"/>
    <col min="7447" max="7447" width="0" hidden="1" customWidth="1"/>
    <col min="7448" max="7448" width="12.140625" customWidth="1"/>
    <col min="7449" max="7449" width="16.42578125" customWidth="1"/>
    <col min="7681" max="7681" width="5.7109375" customWidth="1"/>
    <col min="7682" max="7682" width="17.42578125" customWidth="1"/>
    <col min="7683" max="7683" width="14.28515625" customWidth="1"/>
    <col min="7684" max="7684" width="18.140625" customWidth="1"/>
    <col min="7693" max="7693" width="4" customWidth="1"/>
    <col min="7699" max="7699" width="14" customWidth="1"/>
    <col min="7700" max="7700" width="12.42578125" customWidth="1"/>
    <col min="7702" max="7702" width="6.42578125" customWidth="1"/>
    <col min="7703" max="7703" width="0" hidden="1" customWidth="1"/>
    <col min="7704" max="7704" width="12.140625" customWidth="1"/>
    <col min="7705" max="7705" width="16.42578125" customWidth="1"/>
    <col min="7937" max="7937" width="5.7109375" customWidth="1"/>
    <col min="7938" max="7938" width="17.42578125" customWidth="1"/>
    <col min="7939" max="7939" width="14.28515625" customWidth="1"/>
    <col min="7940" max="7940" width="18.140625" customWidth="1"/>
    <col min="7949" max="7949" width="4" customWidth="1"/>
    <col min="7955" max="7955" width="14" customWidth="1"/>
    <col min="7956" max="7956" width="12.42578125" customWidth="1"/>
    <col min="7958" max="7958" width="6.42578125" customWidth="1"/>
    <col min="7959" max="7959" width="0" hidden="1" customWidth="1"/>
    <col min="7960" max="7960" width="12.140625" customWidth="1"/>
    <col min="7961" max="7961" width="16.42578125" customWidth="1"/>
    <col min="8193" max="8193" width="5.7109375" customWidth="1"/>
    <col min="8194" max="8194" width="17.42578125" customWidth="1"/>
    <col min="8195" max="8195" width="14.28515625" customWidth="1"/>
    <col min="8196" max="8196" width="18.140625" customWidth="1"/>
    <col min="8205" max="8205" width="4" customWidth="1"/>
    <col min="8211" max="8211" width="14" customWidth="1"/>
    <col min="8212" max="8212" width="12.42578125" customWidth="1"/>
    <col min="8214" max="8214" width="6.42578125" customWidth="1"/>
    <col min="8215" max="8215" width="0" hidden="1" customWidth="1"/>
    <col min="8216" max="8216" width="12.140625" customWidth="1"/>
    <col min="8217" max="8217" width="16.42578125" customWidth="1"/>
    <col min="8449" max="8449" width="5.7109375" customWidth="1"/>
    <col min="8450" max="8450" width="17.42578125" customWidth="1"/>
    <col min="8451" max="8451" width="14.28515625" customWidth="1"/>
    <col min="8452" max="8452" width="18.140625" customWidth="1"/>
    <col min="8461" max="8461" width="4" customWidth="1"/>
    <col min="8467" max="8467" width="14" customWidth="1"/>
    <col min="8468" max="8468" width="12.42578125" customWidth="1"/>
    <col min="8470" max="8470" width="6.42578125" customWidth="1"/>
    <col min="8471" max="8471" width="0" hidden="1" customWidth="1"/>
    <col min="8472" max="8472" width="12.140625" customWidth="1"/>
    <col min="8473" max="8473" width="16.42578125" customWidth="1"/>
    <col min="8705" max="8705" width="5.7109375" customWidth="1"/>
    <col min="8706" max="8706" width="17.42578125" customWidth="1"/>
    <col min="8707" max="8707" width="14.28515625" customWidth="1"/>
    <col min="8708" max="8708" width="18.140625" customWidth="1"/>
    <col min="8717" max="8717" width="4" customWidth="1"/>
    <col min="8723" max="8723" width="14" customWidth="1"/>
    <col min="8724" max="8724" width="12.42578125" customWidth="1"/>
    <col min="8726" max="8726" width="6.42578125" customWidth="1"/>
    <col min="8727" max="8727" width="0" hidden="1" customWidth="1"/>
    <col min="8728" max="8728" width="12.140625" customWidth="1"/>
    <col min="8729" max="8729" width="16.42578125" customWidth="1"/>
    <col min="8961" max="8961" width="5.7109375" customWidth="1"/>
    <col min="8962" max="8962" width="17.42578125" customWidth="1"/>
    <col min="8963" max="8963" width="14.28515625" customWidth="1"/>
    <col min="8964" max="8964" width="18.140625" customWidth="1"/>
    <col min="8973" max="8973" width="4" customWidth="1"/>
    <col min="8979" max="8979" width="14" customWidth="1"/>
    <col min="8980" max="8980" width="12.42578125" customWidth="1"/>
    <col min="8982" max="8982" width="6.42578125" customWidth="1"/>
    <col min="8983" max="8983" width="0" hidden="1" customWidth="1"/>
    <col min="8984" max="8984" width="12.140625" customWidth="1"/>
    <col min="8985" max="8985" width="16.42578125" customWidth="1"/>
    <col min="9217" max="9217" width="5.7109375" customWidth="1"/>
    <col min="9218" max="9218" width="17.42578125" customWidth="1"/>
    <col min="9219" max="9219" width="14.28515625" customWidth="1"/>
    <col min="9220" max="9220" width="18.140625" customWidth="1"/>
    <col min="9229" max="9229" width="4" customWidth="1"/>
    <col min="9235" max="9235" width="14" customWidth="1"/>
    <col min="9236" max="9236" width="12.42578125" customWidth="1"/>
    <col min="9238" max="9238" width="6.42578125" customWidth="1"/>
    <col min="9239" max="9239" width="0" hidden="1" customWidth="1"/>
    <col min="9240" max="9240" width="12.140625" customWidth="1"/>
    <col min="9241" max="9241" width="16.42578125" customWidth="1"/>
    <col min="9473" max="9473" width="5.7109375" customWidth="1"/>
    <col min="9474" max="9474" width="17.42578125" customWidth="1"/>
    <col min="9475" max="9475" width="14.28515625" customWidth="1"/>
    <col min="9476" max="9476" width="18.140625" customWidth="1"/>
    <col min="9485" max="9485" width="4" customWidth="1"/>
    <col min="9491" max="9491" width="14" customWidth="1"/>
    <col min="9492" max="9492" width="12.42578125" customWidth="1"/>
    <col min="9494" max="9494" width="6.42578125" customWidth="1"/>
    <col min="9495" max="9495" width="0" hidden="1" customWidth="1"/>
    <col min="9496" max="9496" width="12.140625" customWidth="1"/>
    <col min="9497" max="9497" width="16.42578125" customWidth="1"/>
    <col min="9729" max="9729" width="5.7109375" customWidth="1"/>
    <col min="9730" max="9730" width="17.42578125" customWidth="1"/>
    <col min="9731" max="9731" width="14.28515625" customWidth="1"/>
    <col min="9732" max="9732" width="18.140625" customWidth="1"/>
    <col min="9741" max="9741" width="4" customWidth="1"/>
    <col min="9747" max="9747" width="14" customWidth="1"/>
    <col min="9748" max="9748" width="12.42578125" customWidth="1"/>
    <col min="9750" max="9750" width="6.42578125" customWidth="1"/>
    <col min="9751" max="9751" width="0" hidden="1" customWidth="1"/>
    <col min="9752" max="9752" width="12.140625" customWidth="1"/>
    <col min="9753" max="9753" width="16.42578125" customWidth="1"/>
    <col min="9985" max="9985" width="5.7109375" customWidth="1"/>
    <col min="9986" max="9986" width="17.42578125" customWidth="1"/>
    <col min="9987" max="9987" width="14.28515625" customWidth="1"/>
    <col min="9988" max="9988" width="18.140625" customWidth="1"/>
    <col min="9997" max="9997" width="4" customWidth="1"/>
    <col min="10003" max="10003" width="14" customWidth="1"/>
    <col min="10004" max="10004" width="12.42578125" customWidth="1"/>
    <col min="10006" max="10006" width="6.42578125" customWidth="1"/>
    <col min="10007" max="10007" width="0" hidden="1" customWidth="1"/>
    <col min="10008" max="10008" width="12.140625" customWidth="1"/>
    <col min="10009" max="10009" width="16.42578125" customWidth="1"/>
    <col min="10241" max="10241" width="5.7109375" customWidth="1"/>
    <col min="10242" max="10242" width="17.42578125" customWidth="1"/>
    <col min="10243" max="10243" width="14.28515625" customWidth="1"/>
    <col min="10244" max="10244" width="18.140625" customWidth="1"/>
    <col min="10253" max="10253" width="4" customWidth="1"/>
    <col min="10259" max="10259" width="14" customWidth="1"/>
    <col min="10260" max="10260" width="12.42578125" customWidth="1"/>
    <col min="10262" max="10262" width="6.42578125" customWidth="1"/>
    <col min="10263" max="10263" width="0" hidden="1" customWidth="1"/>
    <col min="10264" max="10264" width="12.140625" customWidth="1"/>
    <col min="10265" max="10265" width="16.42578125" customWidth="1"/>
    <col min="10497" max="10497" width="5.7109375" customWidth="1"/>
    <col min="10498" max="10498" width="17.42578125" customWidth="1"/>
    <col min="10499" max="10499" width="14.28515625" customWidth="1"/>
    <col min="10500" max="10500" width="18.140625" customWidth="1"/>
    <col min="10509" max="10509" width="4" customWidth="1"/>
    <col min="10515" max="10515" width="14" customWidth="1"/>
    <col min="10516" max="10516" width="12.42578125" customWidth="1"/>
    <col min="10518" max="10518" width="6.42578125" customWidth="1"/>
    <col min="10519" max="10519" width="0" hidden="1" customWidth="1"/>
    <col min="10520" max="10520" width="12.140625" customWidth="1"/>
    <col min="10521" max="10521" width="16.42578125" customWidth="1"/>
    <col min="10753" max="10753" width="5.7109375" customWidth="1"/>
    <col min="10754" max="10754" width="17.42578125" customWidth="1"/>
    <col min="10755" max="10755" width="14.28515625" customWidth="1"/>
    <col min="10756" max="10756" width="18.140625" customWidth="1"/>
    <col min="10765" max="10765" width="4" customWidth="1"/>
    <col min="10771" max="10771" width="14" customWidth="1"/>
    <col min="10772" max="10772" width="12.42578125" customWidth="1"/>
    <col min="10774" max="10774" width="6.42578125" customWidth="1"/>
    <col min="10775" max="10775" width="0" hidden="1" customWidth="1"/>
    <col min="10776" max="10776" width="12.140625" customWidth="1"/>
    <col min="10777" max="10777" width="16.42578125" customWidth="1"/>
    <col min="11009" max="11009" width="5.7109375" customWidth="1"/>
    <col min="11010" max="11010" width="17.42578125" customWidth="1"/>
    <col min="11011" max="11011" width="14.28515625" customWidth="1"/>
    <col min="11012" max="11012" width="18.140625" customWidth="1"/>
    <col min="11021" max="11021" width="4" customWidth="1"/>
    <col min="11027" max="11027" width="14" customWidth="1"/>
    <col min="11028" max="11028" width="12.42578125" customWidth="1"/>
    <col min="11030" max="11030" width="6.42578125" customWidth="1"/>
    <col min="11031" max="11031" width="0" hidden="1" customWidth="1"/>
    <col min="11032" max="11032" width="12.140625" customWidth="1"/>
    <col min="11033" max="11033" width="16.42578125" customWidth="1"/>
    <col min="11265" max="11265" width="5.7109375" customWidth="1"/>
    <col min="11266" max="11266" width="17.42578125" customWidth="1"/>
    <col min="11267" max="11267" width="14.28515625" customWidth="1"/>
    <col min="11268" max="11268" width="18.140625" customWidth="1"/>
    <col min="11277" max="11277" width="4" customWidth="1"/>
    <col min="11283" max="11283" width="14" customWidth="1"/>
    <col min="11284" max="11284" width="12.42578125" customWidth="1"/>
    <col min="11286" max="11286" width="6.42578125" customWidth="1"/>
    <col min="11287" max="11287" width="0" hidden="1" customWidth="1"/>
    <col min="11288" max="11288" width="12.140625" customWidth="1"/>
    <col min="11289" max="11289" width="16.42578125" customWidth="1"/>
    <col min="11521" max="11521" width="5.7109375" customWidth="1"/>
    <col min="11522" max="11522" width="17.42578125" customWidth="1"/>
    <col min="11523" max="11523" width="14.28515625" customWidth="1"/>
    <col min="11524" max="11524" width="18.140625" customWidth="1"/>
    <col min="11533" max="11533" width="4" customWidth="1"/>
    <col min="11539" max="11539" width="14" customWidth="1"/>
    <col min="11540" max="11540" width="12.42578125" customWidth="1"/>
    <col min="11542" max="11542" width="6.42578125" customWidth="1"/>
    <col min="11543" max="11543" width="0" hidden="1" customWidth="1"/>
    <col min="11544" max="11544" width="12.140625" customWidth="1"/>
    <col min="11545" max="11545" width="16.42578125" customWidth="1"/>
    <col min="11777" max="11777" width="5.7109375" customWidth="1"/>
    <col min="11778" max="11778" width="17.42578125" customWidth="1"/>
    <col min="11779" max="11779" width="14.28515625" customWidth="1"/>
    <col min="11780" max="11780" width="18.140625" customWidth="1"/>
    <col min="11789" max="11789" width="4" customWidth="1"/>
    <col min="11795" max="11795" width="14" customWidth="1"/>
    <col min="11796" max="11796" width="12.42578125" customWidth="1"/>
    <col min="11798" max="11798" width="6.42578125" customWidth="1"/>
    <col min="11799" max="11799" width="0" hidden="1" customWidth="1"/>
    <col min="11800" max="11800" width="12.140625" customWidth="1"/>
    <col min="11801" max="11801" width="16.42578125" customWidth="1"/>
    <col min="12033" max="12033" width="5.7109375" customWidth="1"/>
    <col min="12034" max="12034" width="17.42578125" customWidth="1"/>
    <col min="12035" max="12035" width="14.28515625" customWidth="1"/>
    <col min="12036" max="12036" width="18.140625" customWidth="1"/>
    <col min="12045" max="12045" width="4" customWidth="1"/>
    <col min="12051" max="12051" width="14" customWidth="1"/>
    <col min="12052" max="12052" width="12.42578125" customWidth="1"/>
    <col min="12054" max="12054" width="6.42578125" customWidth="1"/>
    <col min="12055" max="12055" width="0" hidden="1" customWidth="1"/>
    <col min="12056" max="12056" width="12.140625" customWidth="1"/>
    <col min="12057" max="12057" width="16.42578125" customWidth="1"/>
    <col min="12289" max="12289" width="5.7109375" customWidth="1"/>
    <col min="12290" max="12290" width="17.42578125" customWidth="1"/>
    <col min="12291" max="12291" width="14.28515625" customWidth="1"/>
    <col min="12292" max="12292" width="18.140625" customWidth="1"/>
    <col min="12301" max="12301" width="4" customWidth="1"/>
    <col min="12307" max="12307" width="14" customWidth="1"/>
    <col min="12308" max="12308" width="12.42578125" customWidth="1"/>
    <col min="12310" max="12310" width="6.42578125" customWidth="1"/>
    <col min="12311" max="12311" width="0" hidden="1" customWidth="1"/>
    <col min="12312" max="12312" width="12.140625" customWidth="1"/>
    <col min="12313" max="12313" width="16.42578125" customWidth="1"/>
    <col min="12545" max="12545" width="5.7109375" customWidth="1"/>
    <col min="12546" max="12546" width="17.42578125" customWidth="1"/>
    <col min="12547" max="12547" width="14.28515625" customWidth="1"/>
    <col min="12548" max="12548" width="18.140625" customWidth="1"/>
    <col min="12557" max="12557" width="4" customWidth="1"/>
    <col min="12563" max="12563" width="14" customWidth="1"/>
    <col min="12564" max="12564" width="12.42578125" customWidth="1"/>
    <col min="12566" max="12566" width="6.42578125" customWidth="1"/>
    <col min="12567" max="12567" width="0" hidden="1" customWidth="1"/>
    <col min="12568" max="12568" width="12.140625" customWidth="1"/>
    <col min="12569" max="12569" width="16.42578125" customWidth="1"/>
    <col min="12801" max="12801" width="5.7109375" customWidth="1"/>
    <col min="12802" max="12802" width="17.42578125" customWidth="1"/>
    <col min="12803" max="12803" width="14.28515625" customWidth="1"/>
    <col min="12804" max="12804" width="18.140625" customWidth="1"/>
    <col min="12813" max="12813" width="4" customWidth="1"/>
    <col min="12819" max="12819" width="14" customWidth="1"/>
    <col min="12820" max="12820" width="12.42578125" customWidth="1"/>
    <col min="12822" max="12822" width="6.42578125" customWidth="1"/>
    <col min="12823" max="12823" width="0" hidden="1" customWidth="1"/>
    <col min="12824" max="12824" width="12.140625" customWidth="1"/>
    <col min="12825" max="12825" width="16.42578125" customWidth="1"/>
    <col min="13057" max="13057" width="5.7109375" customWidth="1"/>
    <col min="13058" max="13058" width="17.42578125" customWidth="1"/>
    <col min="13059" max="13059" width="14.28515625" customWidth="1"/>
    <col min="13060" max="13060" width="18.140625" customWidth="1"/>
    <col min="13069" max="13069" width="4" customWidth="1"/>
    <col min="13075" max="13075" width="14" customWidth="1"/>
    <col min="13076" max="13076" width="12.42578125" customWidth="1"/>
    <col min="13078" max="13078" width="6.42578125" customWidth="1"/>
    <col min="13079" max="13079" width="0" hidden="1" customWidth="1"/>
    <col min="13080" max="13080" width="12.140625" customWidth="1"/>
    <col min="13081" max="13081" width="16.42578125" customWidth="1"/>
    <col min="13313" max="13313" width="5.7109375" customWidth="1"/>
    <col min="13314" max="13314" width="17.42578125" customWidth="1"/>
    <col min="13315" max="13315" width="14.28515625" customWidth="1"/>
    <col min="13316" max="13316" width="18.140625" customWidth="1"/>
    <col min="13325" max="13325" width="4" customWidth="1"/>
    <col min="13331" max="13331" width="14" customWidth="1"/>
    <col min="13332" max="13332" width="12.42578125" customWidth="1"/>
    <col min="13334" max="13334" width="6.42578125" customWidth="1"/>
    <col min="13335" max="13335" width="0" hidden="1" customWidth="1"/>
    <col min="13336" max="13336" width="12.140625" customWidth="1"/>
    <col min="13337" max="13337" width="16.42578125" customWidth="1"/>
    <col min="13569" max="13569" width="5.7109375" customWidth="1"/>
    <col min="13570" max="13570" width="17.42578125" customWidth="1"/>
    <col min="13571" max="13571" width="14.28515625" customWidth="1"/>
    <col min="13572" max="13572" width="18.140625" customWidth="1"/>
    <col min="13581" max="13581" width="4" customWidth="1"/>
    <col min="13587" max="13587" width="14" customWidth="1"/>
    <col min="13588" max="13588" width="12.42578125" customWidth="1"/>
    <col min="13590" max="13590" width="6.42578125" customWidth="1"/>
    <col min="13591" max="13591" width="0" hidden="1" customWidth="1"/>
    <col min="13592" max="13592" width="12.140625" customWidth="1"/>
    <col min="13593" max="13593" width="16.42578125" customWidth="1"/>
    <col min="13825" max="13825" width="5.7109375" customWidth="1"/>
    <col min="13826" max="13826" width="17.42578125" customWidth="1"/>
    <col min="13827" max="13827" width="14.28515625" customWidth="1"/>
    <col min="13828" max="13828" width="18.140625" customWidth="1"/>
    <col min="13837" max="13837" width="4" customWidth="1"/>
    <col min="13843" max="13843" width="14" customWidth="1"/>
    <col min="13844" max="13844" width="12.42578125" customWidth="1"/>
    <col min="13846" max="13846" width="6.42578125" customWidth="1"/>
    <col min="13847" max="13847" width="0" hidden="1" customWidth="1"/>
    <col min="13848" max="13848" width="12.140625" customWidth="1"/>
    <col min="13849" max="13849" width="16.42578125" customWidth="1"/>
    <col min="14081" max="14081" width="5.7109375" customWidth="1"/>
    <col min="14082" max="14082" width="17.42578125" customWidth="1"/>
    <col min="14083" max="14083" width="14.28515625" customWidth="1"/>
    <col min="14084" max="14084" width="18.140625" customWidth="1"/>
    <col min="14093" max="14093" width="4" customWidth="1"/>
    <col min="14099" max="14099" width="14" customWidth="1"/>
    <col min="14100" max="14100" width="12.42578125" customWidth="1"/>
    <col min="14102" max="14102" width="6.42578125" customWidth="1"/>
    <col min="14103" max="14103" width="0" hidden="1" customWidth="1"/>
    <col min="14104" max="14104" width="12.140625" customWidth="1"/>
    <col min="14105" max="14105" width="16.42578125" customWidth="1"/>
    <col min="14337" max="14337" width="5.7109375" customWidth="1"/>
    <col min="14338" max="14338" width="17.42578125" customWidth="1"/>
    <col min="14339" max="14339" width="14.28515625" customWidth="1"/>
    <col min="14340" max="14340" width="18.140625" customWidth="1"/>
    <col min="14349" max="14349" width="4" customWidth="1"/>
    <col min="14355" max="14355" width="14" customWidth="1"/>
    <col min="14356" max="14356" width="12.42578125" customWidth="1"/>
    <col min="14358" max="14358" width="6.42578125" customWidth="1"/>
    <col min="14359" max="14359" width="0" hidden="1" customWidth="1"/>
    <col min="14360" max="14360" width="12.140625" customWidth="1"/>
    <col min="14361" max="14361" width="16.42578125" customWidth="1"/>
    <col min="14593" max="14593" width="5.7109375" customWidth="1"/>
    <col min="14594" max="14594" width="17.42578125" customWidth="1"/>
    <col min="14595" max="14595" width="14.28515625" customWidth="1"/>
    <col min="14596" max="14596" width="18.140625" customWidth="1"/>
    <col min="14605" max="14605" width="4" customWidth="1"/>
    <col min="14611" max="14611" width="14" customWidth="1"/>
    <col min="14612" max="14612" width="12.42578125" customWidth="1"/>
    <col min="14614" max="14614" width="6.42578125" customWidth="1"/>
    <col min="14615" max="14615" width="0" hidden="1" customWidth="1"/>
    <col min="14616" max="14616" width="12.140625" customWidth="1"/>
    <col min="14617" max="14617" width="16.42578125" customWidth="1"/>
    <col min="14849" max="14849" width="5.7109375" customWidth="1"/>
    <col min="14850" max="14850" width="17.42578125" customWidth="1"/>
    <col min="14851" max="14851" width="14.28515625" customWidth="1"/>
    <col min="14852" max="14852" width="18.140625" customWidth="1"/>
    <col min="14861" max="14861" width="4" customWidth="1"/>
    <col min="14867" max="14867" width="14" customWidth="1"/>
    <col min="14868" max="14868" width="12.42578125" customWidth="1"/>
    <col min="14870" max="14870" width="6.42578125" customWidth="1"/>
    <col min="14871" max="14871" width="0" hidden="1" customWidth="1"/>
    <col min="14872" max="14872" width="12.140625" customWidth="1"/>
    <col min="14873" max="14873" width="16.42578125" customWidth="1"/>
    <col min="15105" max="15105" width="5.7109375" customWidth="1"/>
    <col min="15106" max="15106" width="17.42578125" customWidth="1"/>
    <col min="15107" max="15107" width="14.28515625" customWidth="1"/>
    <col min="15108" max="15108" width="18.140625" customWidth="1"/>
    <col min="15117" max="15117" width="4" customWidth="1"/>
    <col min="15123" max="15123" width="14" customWidth="1"/>
    <col min="15124" max="15124" width="12.42578125" customWidth="1"/>
    <col min="15126" max="15126" width="6.42578125" customWidth="1"/>
    <col min="15127" max="15127" width="0" hidden="1" customWidth="1"/>
    <col min="15128" max="15128" width="12.140625" customWidth="1"/>
    <col min="15129" max="15129" width="16.42578125" customWidth="1"/>
    <col min="15361" max="15361" width="5.7109375" customWidth="1"/>
    <col min="15362" max="15362" width="17.42578125" customWidth="1"/>
    <col min="15363" max="15363" width="14.28515625" customWidth="1"/>
    <col min="15364" max="15364" width="18.140625" customWidth="1"/>
    <col min="15373" max="15373" width="4" customWidth="1"/>
    <col min="15379" max="15379" width="14" customWidth="1"/>
    <col min="15380" max="15380" width="12.42578125" customWidth="1"/>
    <col min="15382" max="15382" width="6.42578125" customWidth="1"/>
    <col min="15383" max="15383" width="0" hidden="1" customWidth="1"/>
    <col min="15384" max="15384" width="12.140625" customWidth="1"/>
    <col min="15385" max="15385" width="16.42578125" customWidth="1"/>
    <col min="15617" max="15617" width="5.7109375" customWidth="1"/>
    <col min="15618" max="15618" width="17.42578125" customWidth="1"/>
    <col min="15619" max="15619" width="14.28515625" customWidth="1"/>
    <col min="15620" max="15620" width="18.140625" customWidth="1"/>
    <col min="15629" max="15629" width="4" customWidth="1"/>
    <col min="15635" max="15635" width="14" customWidth="1"/>
    <col min="15636" max="15636" width="12.42578125" customWidth="1"/>
    <col min="15638" max="15638" width="6.42578125" customWidth="1"/>
    <col min="15639" max="15639" width="0" hidden="1" customWidth="1"/>
    <col min="15640" max="15640" width="12.140625" customWidth="1"/>
    <col min="15641" max="15641" width="16.42578125" customWidth="1"/>
    <col min="15873" max="15873" width="5.7109375" customWidth="1"/>
    <col min="15874" max="15874" width="17.42578125" customWidth="1"/>
    <col min="15875" max="15875" width="14.28515625" customWidth="1"/>
    <col min="15876" max="15876" width="18.140625" customWidth="1"/>
    <col min="15885" max="15885" width="4" customWidth="1"/>
    <col min="15891" max="15891" width="14" customWidth="1"/>
    <col min="15892" max="15892" width="12.42578125" customWidth="1"/>
    <col min="15894" max="15894" width="6.42578125" customWidth="1"/>
    <col min="15895" max="15895" width="0" hidden="1" customWidth="1"/>
    <col min="15896" max="15896" width="12.140625" customWidth="1"/>
    <col min="15897" max="15897" width="16.42578125" customWidth="1"/>
    <col min="16129" max="16129" width="5.7109375" customWidth="1"/>
    <col min="16130" max="16130" width="17.42578125" customWidth="1"/>
    <col min="16131" max="16131" width="14.28515625" customWidth="1"/>
    <col min="16132" max="16132" width="18.140625" customWidth="1"/>
    <col min="16141" max="16141" width="4" customWidth="1"/>
    <col min="16147" max="16147" width="14" customWidth="1"/>
    <col min="16148" max="16148" width="12.42578125" customWidth="1"/>
    <col min="16150" max="16150" width="6.42578125" customWidth="1"/>
    <col min="16151" max="16151" width="0" hidden="1" customWidth="1"/>
    <col min="16152" max="16152" width="12.140625" customWidth="1"/>
    <col min="16153" max="16153" width="16.42578125" customWidth="1"/>
  </cols>
  <sheetData>
    <row r="3" spans="1:28">
      <c r="B3" s="9" t="s">
        <v>81</v>
      </c>
      <c r="C3" s="9"/>
      <c r="D3" s="29"/>
      <c r="E3" s="29">
        <v>41091</v>
      </c>
      <c r="F3" s="30"/>
      <c r="G3" s="30"/>
      <c r="H3" s="30"/>
      <c r="I3" s="31"/>
      <c r="J3" s="9"/>
      <c r="K3" s="32"/>
      <c r="L3" s="32"/>
      <c r="M3" s="9"/>
      <c r="N3" s="9"/>
      <c r="O3" s="33"/>
      <c r="P3" s="34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8">
      <c r="B4" s="9"/>
      <c r="C4" s="9"/>
      <c r="D4" s="9"/>
      <c r="E4" s="9"/>
      <c r="F4" s="30"/>
      <c r="G4" s="30"/>
      <c r="H4" s="30"/>
      <c r="I4" s="31"/>
      <c r="J4" s="9"/>
      <c r="K4" s="32"/>
      <c r="L4" s="32"/>
      <c r="M4" s="9"/>
      <c r="N4" s="9"/>
      <c r="O4" s="33"/>
      <c r="P4" s="34"/>
      <c r="Q4" s="33" t="s">
        <v>82</v>
      </c>
      <c r="R4" s="33" t="s">
        <v>10</v>
      </c>
      <c r="S4" s="33" t="s">
        <v>83</v>
      </c>
      <c r="T4" s="33"/>
      <c r="U4" s="33"/>
      <c r="V4" s="33"/>
      <c r="W4" s="33"/>
      <c r="X4" s="33"/>
      <c r="Y4" s="33"/>
      <c r="Z4" s="33"/>
    </row>
    <row r="5" spans="1:28" ht="15.75" thickBot="1">
      <c r="A5" s="35"/>
      <c r="B5" s="36" t="s">
        <v>84</v>
      </c>
      <c r="C5" s="36" t="s">
        <v>85</v>
      </c>
      <c r="D5" s="36" t="s">
        <v>86</v>
      </c>
      <c r="E5" s="36" t="s">
        <v>87</v>
      </c>
      <c r="F5" s="37" t="s">
        <v>88</v>
      </c>
      <c r="G5" s="37" t="s">
        <v>89</v>
      </c>
      <c r="H5" s="37" t="s">
        <v>90</v>
      </c>
      <c r="I5" s="38" t="s">
        <v>91</v>
      </c>
      <c r="J5" s="36" t="s">
        <v>92</v>
      </c>
      <c r="K5" s="39" t="s">
        <v>93</v>
      </c>
      <c r="L5" s="39" t="s">
        <v>94</v>
      </c>
      <c r="M5" s="36" t="s">
        <v>95</v>
      </c>
      <c r="N5" s="36" t="s">
        <v>96</v>
      </c>
      <c r="O5" s="40" t="s">
        <v>97</v>
      </c>
      <c r="P5" s="41" t="s">
        <v>98</v>
      </c>
      <c r="Q5" s="40" t="s">
        <v>82</v>
      </c>
      <c r="R5" s="40" t="s">
        <v>99</v>
      </c>
      <c r="S5" s="40" t="s">
        <v>100</v>
      </c>
      <c r="T5" s="42" t="s">
        <v>101</v>
      </c>
      <c r="U5" s="42" t="s">
        <v>102</v>
      </c>
      <c r="V5" s="40" t="s">
        <v>103</v>
      </c>
      <c r="W5" s="40" t="s">
        <v>104</v>
      </c>
      <c r="X5" s="40" t="s">
        <v>105</v>
      </c>
      <c r="Y5" s="40" t="s">
        <v>106</v>
      </c>
      <c r="Z5" s="40"/>
    </row>
    <row r="6" spans="1:28">
      <c r="A6" s="75"/>
      <c r="B6" s="43" t="s">
        <v>107</v>
      </c>
      <c r="C6" s="44" t="s">
        <v>108</v>
      </c>
      <c r="D6" s="45" t="s">
        <v>109</v>
      </c>
      <c r="E6" s="46">
        <v>300</v>
      </c>
      <c r="F6" s="47">
        <f>16090+16790</f>
        <v>32880</v>
      </c>
      <c r="G6" s="48">
        <f>12770+13150</f>
        <v>25920</v>
      </c>
      <c r="H6" s="48">
        <f>G6-F6</f>
        <v>-6960</v>
      </c>
      <c r="I6" s="45" t="s">
        <v>110</v>
      </c>
      <c r="J6" s="46"/>
      <c r="K6" s="49"/>
      <c r="L6" s="49">
        <v>41091</v>
      </c>
      <c r="M6" s="45" t="s">
        <v>111</v>
      </c>
      <c r="N6" s="46"/>
      <c r="O6" s="50">
        <v>20.5</v>
      </c>
      <c r="P6" s="51"/>
      <c r="Q6" s="50">
        <v>16000</v>
      </c>
      <c r="R6" s="50">
        <f>52.5*E6</f>
        <v>15750</v>
      </c>
      <c r="S6" s="52">
        <f>-35*E6</f>
        <v>-10500</v>
      </c>
      <c r="T6" s="53"/>
      <c r="U6" s="50">
        <f>E6*5</f>
        <v>1500</v>
      </c>
      <c r="V6" s="46"/>
      <c r="W6" s="50">
        <f>((O6*F6)+Q6+R6+S6+U6)/G6</f>
        <v>26.882330246913579</v>
      </c>
      <c r="X6" s="50">
        <f>((O6*F6)+Q6+R6+S6+T6+U6)/G6</f>
        <v>26.882330246913579</v>
      </c>
      <c r="Y6" s="50">
        <f t="shared" ref="Y6:Y22" si="0">W6*F6</f>
        <v>883891.01851851842</v>
      </c>
      <c r="Z6" s="54">
        <v>41099</v>
      </c>
      <c r="AA6" s="12">
        <v>26.3</v>
      </c>
      <c r="AB6">
        <v>26.27</v>
      </c>
    </row>
    <row r="7" spans="1:28">
      <c r="A7" s="76"/>
      <c r="B7" s="43" t="s">
        <v>107</v>
      </c>
      <c r="C7" s="44" t="s">
        <v>108</v>
      </c>
      <c r="D7" s="44" t="s">
        <v>112</v>
      </c>
      <c r="E7" s="46">
        <v>250</v>
      </c>
      <c r="F7" s="47">
        <f>12220+12840</f>
        <v>25060</v>
      </c>
      <c r="G7" s="48">
        <f>8120+11670</f>
        <v>19790</v>
      </c>
      <c r="H7" s="48">
        <f>G7-F7</f>
        <v>-5270</v>
      </c>
      <c r="I7" s="45" t="s">
        <v>113</v>
      </c>
      <c r="J7" s="46"/>
      <c r="K7" s="49"/>
      <c r="L7" s="49">
        <v>41092</v>
      </c>
      <c r="M7" s="45" t="s">
        <v>114</v>
      </c>
      <c r="N7" s="46"/>
      <c r="O7" s="50">
        <v>20.5</v>
      </c>
      <c r="P7" s="51"/>
      <c r="Q7" s="50">
        <v>16000</v>
      </c>
      <c r="R7" s="50">
        <f>52.5*E7</f>
        <v>13125</v>
      </c>
      <c r="S7" s="52">
        <f>-35*E7</f>
        <v>-8750</v>
      </c>
      <c r="T7" s="53"/>
      <c r="U7" s="50">
        <f>E7*5</f>
        <v>1250</v>
      </c>
      <c r="V7" s="46"/>
      <c r="W7" s="50">
        <f>((O7*F7)+Q7+R7+S7+U7)/G7</f>
        <v>27.051793835270338</v>
      </c>
      <c r="X7" s="50">
        <f>((O7*F7)+Q7+R7+S7+T7+U7)/G7</f>
        <v>27.051793835270338</v>
      </c>
      <c r="Y7" s="50">
        <f>W7*F7</f>
        <v>677917.95351187466</v>
      </c>
      <c r="Z7" s="54">
        <v>41099</v>
      </c>
      <c r="AA7" s="12">
        <v>26.3</v>
      </c>
    </row>
    <row r="8" spans="1:28">
      <c r="A8" s="76"/>
      <c r="B8" s="43" t="s">
        <v>115</v>
      </c>
      <c r="C8" s="45" t="s">
        <v>116</v>
      </c>
      <c r="D8" s="46" t="s">
        <v>117</v>
      </c>
      <c r="E8" s="44" t="s">
        <v>118</v>
      </c>
      <c r="F8" s="47">
        <f>43675*0.4536</f>
        <v>19810.98</v>
      </c>
      <c r="G8" s="48">
        <v>19768.32</v>
      </c>
      <c r="H8" s="48">
        <f>G8-F8</f>
        <v>-42.659999999999854</v>
      </c>
      <c r="I8" s="45" t="s">
        <v>119</v>
      </c>
      <c r="J8" s="46"/>
      <c r="K8" s="49"/>
      <c r="L8" s="49">
        <v>41092</v>
      </c>
      <c r="M8" s="45" t="s">
        <v>114</v>
      </c>
      <c r="N8" s="45" t="s">
        <v>120</v>
      </c>
      <c r="O8" s="50"/>
      <c r="P8" s="51">
        <v>0.95499999999999996</v>
      </c>
      <c r="Q8" s="50"/>
      <c r="R8" s="50"/>
      <c r="S8" s="52">
        <v>13.456</v>
      </c>
      <c r="T8" s="50"/>
      <c r="U8" s="50"/>
      <c r="V8" s="50"/>
      <c r="W8" s="50">
        <f>((P8*2.2046*S8)+(Q8*S8)/G8)</f>
        <v>28.330168207999996</v>
      </c>
      <c r="X8" s="50">
        <f t="shared" ref="X8:X15" si="1">IF(O8&gt;0,O8,((P8*2.2046*S8)+(Q8+R8+T8)/G8)+V8)</f>
        <v>28.330168207999996</v>
      </c>
      <c r="Y8" s="50">
        <f t="shared" si="0"/>
        <v>561248.39576532377</v>
      </c>
      <c r="Z8" s="54">
        <v>41092</v>
      </c>
      <c r="AA8" s="12"/>
    </row>
    <row r="9" spans="1:28">
      <c r="A9" s="76"/>
      <c r="B9" s="55" t="s">
        <v>107</v>
      </c>
      <c r="C9" s="45" t="s">
        <v>121</v>
      </c>
      <c r="D9" s="44" t="s">
        <v>122</v>
      </c>
      <c r="E9" s="46">
        <v>216</v>
      </c>
      <c r="F9" s="47">
        <v>18960.900000000001</v>
      </c>
      <c r="G9" s="48">
        <f>11340+7600</f>
        <v>18940</v>
      </c>
      <c r="H9" s="48">
        <f>G9-F9</f>
        <v>-20.900000000001455</v>
      </c>
      <c r="I9" s="45" t="s">
        <v>123</v>
      </c>
      <c r="J9" s="46"/>
      <c r="K9" s="49"/>
      <c r="L9" s="49">
        <v>41093</v>
      </c>
      <c r="M9" s="45" t="s">
        <v>124</v>
      </c>
      <c r="N9" s="45"/>
      <c r="O9" s="50">
        <v>27.5</v>
      </c>
      <c r="P9" s="51"/>
      <c r="Q9" s="50"/>
      <c r="R9" s="50"/>
      <c r="S9" s="52"/>
      <c r="T9" s="56"/>
      <c r="U9" s="56"/>
      <c r="V9" s="50"/>
      <c r="W9" s="50">
        <f>IF(O9&gt;0,O9,((P9*2.2046*S9)+(Q9+R9)/G9)+V9)</f>
        <v>27.5</v>
      </c>
      <c r="X9" s="50">
        <f t="shared" si="1"/>
        <v>27.5</v>
      </c>
      <c r="Y9" s="50">
        <f>W9*F9</f>
        <v>521424.75000000006</v>
      </c>
      <c r="Z9" s="54">
        <v>41100</v>
      </c>
      <c r="AA9" s="9">
        <v>27.5</v>
      </c>
    </row>
    <row r="10" spans="1:28">
      <c r="A10" s="76"/>
      <c r="B10" s="43" t="s">
        <v>125</v>
      </c>
      <c r="C10" s="46" t="s">
        <v>116</v>
      </c>
      <c r="D10" s="46" t="s">
        <v>117</v>
      </c>
      <c r="E10" s="44" t="s">
        <v>126</v>
      </c>
      <c r="F10" s="47">
        <v>18500</v>
      </c>
      <c r="G10" s="48">
        <v>18500</v>
      </c>
      <c r="H10" s="48">
        <f t="shared" ref="H10:H22" si="2">G10-F10</f>
        <v>0</v>
      </c>
      <c r="I10" s="45" t="s">
        <v>127</v>
      </c>
      <c r="J10" s="46"/>
      <c r="K10" s="49"/>
      <c r="L10" s="49">
        <v>41096</v>
      </c>
      <c r="M10" s="45"/>
      <c r="N10" s="45"/>
      <c r="O10" s="50"/>
      <c r="P10" s="51">
        <v>1.1399999999999999</v>
      </c>
      <c r="Q10" s="50"/>
      <c r="R10" s="50"/>
      <c r="S10" s="52">
        <v>13.75</v>
      </c>
      <c r="T10" s="50"/>
      <c r="U10" s="50"/>
      <c r="V10" s="50"/>
      <c r="W10" s="50">
        <f>((P10*2.2046*S10)+(Q10*S10)/G10)</f>
        <v>34.557105</v>
      </c>
      <c r="X10" s="50">
        <f t="shared" si="1"/>
        <v>34.557105</v>
      </c>
      <c r="Y10" s="50">
        <f t="shared" si="0"/>
        <v>639306.4425</v>
      </c>
      <c r="Z10" s="54">
        <v>41081</v>
      </c>
      <c r="AA10" s="9"/>
    </row>
    <row r="11" spans="1:28">
      <c r="A11" s="76"/>
      <c r="B11" s="43" t="s">
        <v>115</v>
      </c>
      <c r="C11" s="46" t="s">
        <v>128</v>
      </c>
      <c r="D11" s="46" t="s">
        <v>128</v>
      </c>
      <c r="E11" s="46" t="s">
        <v>129</v>
      </c>
      <c r="F11" s="47">
        <f>41291*0.4536</f>
        <v>18729.597600000001</v>
      </c>
      <c r="G11" s="48">
        <v>18703.560000000001</v>
      </c>
      <c r="H11" s="48">
        <f t="shared" si="2"/>
        <v>-26.037599999999657</v>
      </c>
      <c r="I11" s="45" t="s">
        <v>130</v>
      </c>
      <c r="J11" s="57" t="s">
        <v>131</v>
      </c>
      <c r="K11" s="49">
        <v>41092</v>
      </c>
      <c r="L11" s="49">
        <v>41093</v>
      </c>
      <c r="M11" s="45" t="s">
        <v>124</v>
      </c>
      <c r="N11" s="45" t="s">
        <v>132</v>
      </c>
      <c r="O11" s="50"/>
      <c r="P11" s="51">
        <v>0.88</v>
      </c>
      <c r="Q11" s="50">
        <v>17000</v>
      </c>
      <c r="R11" s="50">
        <v>7749</v>
      </c>
      <c r="S11" s="52">
        <v>13.457000000000001</v>
      </c>
      <c r="T11" s="58"/>
      <c r="U11" s="56"/>
      <c r="V11" s="50">
        <v>0.1</v>
      </c>
      <c r="W11" s="50">
        <f t="shared" ref="W11:W17" si="3">IF(O11&gt;0,O11,((P11*2.2046*S11)+(Q11+R11)/G11)+V11)</f>
        <v>27.530449963939073</v>
      </c>
      <c r="X11" s="50">
        <f t="shared" si="1"/>
        <v>27.530449963939073</v>
      </c>
      <c r="Y11" s="50">
        <f t="shared" si="0"/>
        <v>515634.24957151338</v>
      </c>
      <c r="Z11" s="54">
        <v>41093</v>
      </c>
      <c r="AA11" s="9"/>
    </row>
    <row r="12" spans="1:28">
      <c r="A12" s="76"/>
      <c r="B12" s="43" t="s">
        <v>115</v>
      </c>
      <c r="C12" s="46" t="s">
        <v>128</v>
      </c>
      <c r="D12" s="46" t="s">
        <v>128</v>
      </c>
      <c r="E12" s="46" t="s">
        <v>133</v>
      </c>
      <c r="F12" s="47">
        <f>40021*0.4536</f>
        <v>18153.525600000001</v>
      </c>
      <c r="G12" s="48">
        <v>18135.740000000002</v>
      </c>
      <c r="H12" s="48">
        <f t="shared" si="2"/>
        <v>-17.785599999999249</v>
      </c>
      <c r="I12" s="45" t="s">
        <v>134</v>
      </c>
      <c r="J12" s="57" t="s">
        <v>131</v>
      </c>
      <c r="K12" s="49">
        <v>41092</v>
      </c>
      <c r="L12" s="49">
        <v>41093</v>
      </c>
      <c r="M12" s="45" t="s">
        <v>124</v>
      </c>
      <c r="N12" s="45" t="s">
        <v>132</v>
      </c>
      <c r="O12" s="50"/>
      <c r="P12" s="51">
        <v>0.88</v>
      </c>
      <c r="Q12" s="50">
        <v>17000</v>
      </c>
      <c r="R12" s="50">
        <v>7749</v>
      </c>
      <c r="S12" s="52">
        <v>13.42</v>
      </c>
      <c r="T12" s="58"/>
      <c r="U12" s="56"/>
      <c r="V12" s="50">
        <v>0.1</v>
      </c>
      <c r="W12" s="50">
        <f t="shared" si="3"/>
        <v>27.50009760121608</v>
      </c>
      <c r="X12" s="50">
        <f t="shared" si="1"/>
        <v>27.50009760121608</v>
      </c>
      <c r="Y12" s="50">
        <f t="shared" si="0"/>
        <v>499223.72580617474</v>
      </c>
      <c r="Z12" s="54">
        <v>41093</v>
      </c>
      <c r="AA12" s="9"/>
    </row>
    <row r="13" spans="1:28">
      <c r="A13" s="76"/>
      <c r="B13" s="43" t="s">
        <v>135</v>
      </c>
      <c r="C13" s="46" t="s">
        <v>128</v>
      </c>
      <c r="D13" s="46" t="s">
        <v>128</v>
      </c>
      <c r="E13" s="46" t="s">
        <v>136</v>
      </c>
      <c r="F13" s="47">
        <f>40800*0.4536</f>
        <v>18506.88</v>
      </c>
      <c r="G13" s="48">
        <v>18506.88</v>
      </c>
      <c r="H13" s="48">
        <f t="shared" si="2"/>
        <v>0</v>
      </c>
      <c r="I13" s="45" t="s">
        <v>137</v>
      </c>
      <c r="J13" s="57" t="s">
        <v>131</v>
      </c>
      <c r="K13" s="49">
        <v>41092</v>
      </c>
      <c r="L13" s="49">
        <v>41093</v>
      </c>
      <c r="M13" s="45" t="s">
        <v>124</v>
      </c>
      <c r="N13" s="45"/>
      <c r="O13" s="50"/>
      <c r="P13" s="51">
        <v>0.6</v>
      </c>
      <c r="Q13" s="50">
        <v>17000</v>
      </c>
      <c r="R13" s="50">
        <v>6937</v>
      </c>
      <c r="S13" s="52">
        <v>13.73</v>
      </c>
      <c r="T13" s="58"/>
      <c r="U13" s="56"/>
      <c r="V13" s="50">
        <v>0.1</v>
      </c>
      <c r="W13" s="50">
        <f>IF(O13&gt;0,O13,((P13*2.2046*S13)+(Q13+R13)/G13)+V13)</f>
        <v>19.55490568287167</v>
      </c>
      <c r="X13" s="50">
        <f t="shared" si="1"/>
        <v>19.55490568287167</v>
      </c>
      <c r="Y13" s="50">
        <f>W13*F13</f>
        <v>361900.29288422409</v>
      </c>
      <c r="Z13" s="54">
        <v>41087</v>
      </c>
      <c r="AA13" s="9"/>
    </row>
    <row r="14" spans="1:28">
      <c r="A14" s="76"/>
      <c r="B14" s="43" t="s">
        <v>115</v>
      </c>
      <c r="C14" s="45" t="s">
        <v>116</v>
      </c>
      <c r="D14" s="46" t="s">
        <v>117</v>
      </c>
      <c r="E14" s="45" t="s">
        <v>138</v>
      </c>
      <c r="F14" s="47">
        <f>43736*0.4536</f>
        <v>19838.649600000001</v>
      </c>
      <c r="G14" s="48">
        <v>21606.65</v>
      </c>
      <c r="H14" s="59">
        <f>G14-F14</f>
        <v>1768.0004000000008</v>
      </c>
      <c r="I14" s="45" t="s">
        <v>139</v>
      </c>
      <c r="J14" s="46"/>
      <c r="K14" s="49">
        <v>41092</v>
      </c>
      <c r="L14" s="49">
        <v>41094</v>
      </c>
      <c r="M14" s="45" t="s">
        <v>140</v>
      </c>
      <c r="N14" s="45" t="s">
        <v>132</v>
      </c>
      <c r="O14" s="50"/>
      <c r="P14" s="51">
        <v>0.93</v>
      </c>
      <c r="Q14" s="50"/>
      <c r="R14" s="50"/>
      <c r="S14" s="52">
        <v>13.414</v>
      </c>
      <c r="T14" s="50"/>
      <c r="U14" s="50"/>
      <c r="V14" s="50"/>
      <c r="W14" s="50">
        <f>((P14*2.2046*S14)+(Q14*S14)/G14)</f>
        <v>27.502429092</v>
      </c>
      <c r="X14" s="50">
        <f t="shared" si="1"/>
        <v>27.502429092</v>
      </c>
      <c r="Y14" s="50">
        <f t="shared" si="0"/>
        <v>545611.0539050342</v>
      </c>
      <c r="Z14" s="54">
        <v>41094</v>
      </c>
      <c r="AA14" s="12"/>
    </row>
    <row r="15" spans="1:28">
      <c r="A15" s="76"/>
      <c r="B15" s="43" t="s">
        <v>141</v>
      </c>
      <c r="C15" s="46" t="s">
        <v>142</v>
      </c>
      <c r="D15" s="46" t="s">
        <v>143</v>
      </c>
      <c r="E15" s="44" t="s">
        <v>144</v>
      </c>
      <c r="F15" s="47">
        <v>18731.099999999999</v>
      </c>
      <c r="G15" s="48">
        <v>18688.240000000002</v>
      </c>
      <c r="H15" s="48">
        <f>G15-F15</f>
        <v>-42.859999999996944</v>
      </c>
      <c r="I15" s="45" t="s">
        <v>145</v>
      </c>
      <c r="J15" s="46"/>
      <c r="K15" s="49">
        <v>41092</v>
      </c>
      <c r="L15" s="49">
        <v>41094</v>
      </c>
      <c r="M15" s="45" t="s">
        <v>140</v>
      </c>
      <c r="N15" s="45" t="s">
        <v>146</v>
      </c>
      <c r="O15" s="50">
        <v>28.08</v>
      </c>
      <c r="P15" s="51"/>
      <c r="Q15" s="50"/>
      <c r="R15" s="50"/>
      <c r="S15" s="52"/>
      <c r="T15" s="50"/>
      <c r="U15" s="50"/>
      <c r="V15" s="50"/>
      <c r="W15" s="50">
        <f>IF(O15&gt;0,O15,((P15*2.2046*S15)+(Q15+R15)/G15)+V15)</f>
        <v>28.08</v>
      </c>
      <c r="X15" s="50">
        <f t="shared" si="1"/>
        <v>28.08</v>
      </c>
      <c r="Y15" s="50">
        <f t="shared" si="0"/>
        <v>525969.28799999994</v>
      </c>
      <c r="Z15" s="54">
        <v>41101</v>
      </c>
      <c r="AA15" s="12"/>
    </row>
    <row r="16" spans="1:28">
      <c r="A16" s="76"/>
      <c r="B16" s="43" t="s">
        <v>107</v>
      </c>
      <c r="C16" s="44" t="s">
        <v>108</v>
      </c>
      <c r="D16" s="44" t="s">
        <v>147</v>
      </c>
      <c r="E16" s="46">
        <v>300</v>
      </c>
      <c r="F16" s="47">
        <f>17310+16270</f>
        <v>33580</v>
      </c>
      <c r="G16" s="48">
        <f>13450+13000</f>
        <v>26450</v>
      </c>
      <c r="H16" s="48">
        <f t="shared" si="2"/>
        <v>-7130</v>
      </c>
      <c r="I16" s="45" t="s">
        <v>148</v>
      </c>
      <c r="J16" s="46"/>
      <c r="K16" s="49"/>
      <c r="L16" s="49">
        <v>41094</v>
      </c>
      <c r="M16" s="45" t="s">
        <v>140</v>
      </c>
      <c r="N16" s="46"/>
      <c r="O16" s="50">
        <v>21</v>
      </c>
      <c r="P16" s="51"/>
      <c r="Q16" s="50">
        <v>16000</v>
      </c>
      <c r="R16" s="50">
        <f>52.5*E16</f>
        <v>15750</v>
      </c>
      <c r="S16" s="52">
        <f>-35*E16</f>
        <v>-10500</v>
      </c>
      <c r="T16" s="53"/>
      <c r="U16" s="50">
        <f>E16*5</f>
        <v>1500</v>
      </c>
      <c r="V16" s="46"/>
      <c r="W16" s="50">
        <f>((O16*F16)+Q16+R16+S16+U16)/G16</f>
        <v>27.520982986767486</v>
      </c>
      <c r="X16" s="50">
        <f>((O16*F16)+Q16+R16+S16+T16+U16)/G16</f>
        <v>27.520982986767486</v>
      </c>
      <c r="Y16" s="50">
        <f t="shared" si="0"/>
        <v>924154.60869565222</v>
      </c>
      <c r="Z16" s="54">
        <v>41100</v>
      </c>
      <c r="AA16" s="12">
        <v>27</v>
      </c>
      <c r="AB16">
        <v>26.92</v>
      </c>
    </row>
    <row r="17" spans="1:28">
      <c r="A17" s="76"/>
      <c r="B17" s="43"/>
      <c r="C17" s="46"/>
      <c r="D17" s="46"/>
      <c r="E17" s="46"/>
      <c r="F17" s="47"/>
      <c r="G17" s="48"/>
      <c r="H17" s="48">
        <f t="shared" si="2"/>
        <v>0</v>
      </c>
      <c r="I17" s="46"/>
      <c r="J17" s="46"/>
      <c r="K17" s="49"/>
      <c r="L17" s="49"/>
      <c r="M17" s="45"/>
      <c r="N17" s="46"/>
      <c r="O17" s="50"/>
      <c r="P17" s="51"/>
      <c r="Q17" s="50"/>
      <c r="R17" s="50"/>
      <c r="S17" s="52"/>
      <c r="U17" s="50"/>
      <c r="V17" s="50"/>
      <c r="W17" s="50" t="e">
        <f t="shared" si="3"/>
        <v>#DIV/0!</v>
      </c>
      <c r="X17" s="50" t="e">
        <f>IF(O17&gt;0,O17,((P17*2.2046*S17)+(Q17+R17+U17)/G17)+V17)</f>
        <v>#DIV/0!</v>
      </c>
      <c r="Y17" s="50" t="e">
        <f t="shared" si="0"/>
        <v>#DIV/0!</v>
      </c>
      <c r="Z17" s="54"/>
      <c r="AA17" s="9"/>
    </row>
    <row r="18" spans="1:28">
      <c r="A18" s="76"/>
      <c r="B18" s="55" t="s">
        <v>107</v>
      </c>
      <c r="C18" s="45" t="s">
        <v>121</v>
      </c>
      <c r="D18" s="44" t="s">
        <v>122</v>
      </c>
      <c r="E18" s="46">
        <v>216</v>
      </c>
      <c r="F18" s="47">
        <f>19289</f>
        <v>19289</v>
      </c>
      <c r="G18" s="48">
        <f>7470+11800</f>
        <v>19270</v>
      </c>
      <c r="H18" s="48">
        <f>G18-F18</f>
        <v>-19</v>
      </c>
      <c r="I18" s="45" t="s">
        <v>2</v>
      </c>
      <c r="J18" s="46"/>
      <c r="K18" s="49"/>
      <c r="L18" s="49">
        <v>41095</v>
      </c>
      <c r="M18" s="45" t="s">
        <v>149</v>
      </c>
      <c r="N18" s="45"/>
      <c r="O18" s="50">
        <v>27.5</v>
      </c>
      <c r="P18" s="51"/>
      <c r="Q18" s="50"/>
      <c r="R18" s="50"/>
      <c r="S18" s="52"/>
      <c r="U18" s="56"/>
      <c r="V18" s="50"/>
      <c r="W18" s="50">
        <f>IF(O18&gt;0,O18,((P18*2.2046*S18)+(Q18+R18)/G18)+V18)</f>
        <v>27.5</v>
      </c>
      <c r="X18" s="50">
        <f>IF(O18&gt;0,O18,((P18*2.2046*S18)+(Q18+R18+U18)/G18)+V18)</f>
        <v>27.5</v>
      </c>
      <c r="Y18" s="50">
        <f>W18*F18</f>
        <v>530447.5</v>
      </c>
      <c r="Z18" s="54">
        <v>41102</v>
      </c>
      <c r="AA18" s="9">
        <v>27.5</v>
      </c>
    </row>
    <row r="19" spans="1:28">
      <c r="A19" s="76"/>
      <c r="B19" s="43" t="s">
        <v>107</v>
      </c>
      <c r="C19" s="44" t="s">
        <v>108</v>
      </c>
      <c r="D19" s="44" t="s">
        <v>109</v>
      </c>
      <c r="E19" s="46">
        <v>300</v>
      </c>
      <c r="F19" s="47">
        <f>15990+15497</f>
        <v>31487</v>
      </c>
      <c r="G19" s="48">
        <f>11970+12450</f>
        <v>24420</v>
      </c>
      <c r="H19" s="48">
        <f t="shared" si="2"/>
        <v>-7067</v>
      </c>
      <c r="I19" s="45" t="s">
        <v>150</v>
      </c>
      <c r="J19" s="46"/>
      <c r="K19" s="49"/>
      <c r="L19" s="49">
        <v>41096</v>
      </c>
      <c r="M19" s="45" t="s">
        <v>151</v>
      </c>
      <c r="N19" s="46"/>
      <c r="O19" s="50">
        <v>21</v>
      </c>
      <c r="P19" s="51"/>
      <c r="Q19" s="50">
        <v>16000</v>
      </c>
      <c r="R19" s="50">
        <f>52.5*E19</f>
        <v>15750</v>
      </c>
      <c r="S19" s="52">
        <f>-35*E19</f>
        <v>-10500</v>
      </c>
      <c r="T19" s="56">
        <f>F19*O19*0.005</f>
        <v>3306.1350000000002</v>
      </c>
      <c r="U19" s="50">
        <f>E19*5</f>
        <v>1500</v>
      </c>
      <c r="V19" s="46"/>
      <c r="W19" s="50">
        <f>((O19*F19)+Q19+R19+S19+U19)/G19</f>
        <v>28.00888615888616</v>
      </c>
      <c r="X19" s="50">
        <f>((O19*F19)+Q19+R19+S19+T19+U19)/G19</f>
        <v>28.144272522522524</v>
      </c>
      <c r="Y19" s="50">
        <f t="shared" si="0"/>
        <v>881915.79848484846</v>
      </c>
      <c r="Z19" s="54">
        <v>41072</v>
      </c>
      <c r="AA19" s="12">
        <v>27.4</v>
      </c>
      <c r="AB19">
        <v>27.35</v>
      </c>
    </row>
    <row r="20" spans="1:28">
      <c r="A20" s="76"/>
      <c r="B20" s="43" t="s">
        <v>152</v>
      </c>
      <c r="C20" s="46" t="s">
        <v>116</v>
      </c>
      <c r="D20" s="46" t="s">
        <v>117</v>
      </c>
      <c r="E20" s="46"/>
      <c r="F20" s="47">
        <v>18500</v>
      </c>
      <c r="G20" s="48">
        <v>18500</v>
      </c>
      <c r="H20" s="48">
        <f>G20-F20</f>
        <v>0</v>
      </c>
      <c r="I20" s="45">
        <v>231860</v>
      </c>
      <c r="J20" s="46"/>
      <c r="K20" s="49"/>
      <c r="L20" s="49">
        <v>41096</v>
      </c>
      <c r="M20" s="45" t="s">
        <v>151</v>
      </c>
      <c r="N20" s="45"/>
      <c r="O20" s="50"/>
      <c r="P20" s="51">
        <v>0.56999999999999995</v>
      </c>
      <c r="Q20" s="50"/>
      <c r="R20" s="50"/>
      <c r="S20" s="52">
        <v>13.67</v>
      </c>
      <c r="U20" s="50"/>
      <c r="V20" s="50"/>
      <c r="W20" s="50">
        <f>((P20*2.2046*S20)+(Q20*S20)/G20)</f>
        <v>17.178022739999999</v>
      </c>
      <c r="X20" s="50">
        <f>IF(O20&gt;0,O20,((P20*2.2046*S20)+(Q20+R20+U20)/G20)+V20)</f>
        <v>17.178022739999999</v>
      </c>
      <c r="Y20" s="50">
        <f>W20*F20</f>
        <v>317793.42069</v>
      </c>
      <c r="Z20" s="54">
        <v>41088</v>
      </c>
      <c r="AA20" s="9"/>
    </row>
    <row r="21" spans="1:28">
      <c r="A21" s="76"/>
      <c r="B21" s="43"/>
      <c r="C21" s="44"/>
      <c r="D21" s="44"/>
      <c r="E21" s="46"/>
      <c r="F21" s="47"/>
      <c r="G21" s="48"/>
      <c r="H21" s="48">
        <f t="shared" si="2"/>
        <v>0</v>
      </c>
      <c r="I21" s="45"/>
      <c r="J21" s="46"/>
      <c r="K21" s="49"/>
      <c r="L21" s="49"/>
      <c r="M21" s="45"/>
      <c r="N21" s="46"/>
      <c r="O21" s="50"/>
      <c r="P21" s="51"/>
      <c r="Q21" s="50"/>
      <c r="R21" s="50"/>
      <c r="S21" s="52"/>
      <c r="U21" s="50"/>
      <c r="V21" s="50"/>
      <c r="W21" s="50" t="e">
        <f>IF(O21&gt;0,O21,((P21*2.2046*S21)+(Q21+R21)/G21)+V21)</f>
        <v>#DIV/0!</v>
      </c>
      <c r="X21" s="50" t="e">
        <f>IF(O21&gt;0,O21,((P21*2.2046*S21)+(Q21+R21+U21)/G21)+V21)</f>
        <v>#DIV/0!</v>
      </c>
      <c r="Y21" s="50" t="e">
        <f t="shared" si="0"/>
        <v>#DIV/0!</v>
      </c>
      <c r="Z21" s="54"/>
      <c r="AA21" s="12"/>
    </row>
    <row r="22" spans="1:28">
      <c r="A22" s="76"/>
      <c r="B22" s="43" t="s">
        <v>107</v>
      </c>
      <c r="C22" s="44" t="s">
        <v>108</v>
      </c>
      <c r="D22" s="44" t="s">
        <v>153</v>
      </c>
      <c r="E22" s="46">
        <v>250</v>
      </c>
      <c r="F22" s="47">
        <f>13720+13478</f>
        <v>27198</v>
      </c>
      <c r="G22" s="48">
        <f>13190+8470</f>
        <v>21660</v>
      </c>
      <c r="H22" s="48">
        <f t="shared" si="2"/>
        <v>-5538</v>
      </c>
      <c r="I22" s="45" t="s">
        <v>23</v>
      </c>
      <c r="J22" s="46"/>
      <c r="K22" s="49"/>
      <c r="L22" s="49">
        <v>41098</v>
      </c>
      <c r="M22" s="45" t="s">
        <v>111</v>
      </c>
      <c r="N22" s="46"/>
      <c r="O22" s="50">
        <v>21.5</v>
      </c>
      <c r="P22" s="51"/>
      <c r="Q22" s="50">
        <v>15000</v>
      </c>
      <c r="R22" s="50">
        <f>52.5*E22</f>
        <v>13125</v>
      </c>
      <c r="S22" s="52">
        <f>-35*E22</f>
        <v>-8750</v>
      </c>
      <c r="T22" s="58"/>
      <c r="U22" s="50">
        <f>E22*5</f>
        <v>1250</v>
      </c>
      <c r="V22" s="46"/>
      <c r="W22" s="50">
        <f>((O22*F22)+Q22+R22+S22+U22)/G22</f>
        <v>27.949307479224377</v>
      </c>
      <c r="X22" s="50">
        <f>((O22*F22)+Q22+R22+S22+T22+U22)/G22</f>
        <v>27.949307479224377</v>
      </c>
      <c r="Y22" s="50">
        <f t="shared" si="0"/>
        <v>760165.26481994463</v>
      </c>
      <c r="Z22" s="54">
        <v>41106</v>
      </c>
      <c r="AA22" s="12">
        <v>27.4</v>
      </c>
      <c r="AB22">
        <v>27.26</v>
      </c>
    </row>
    <row r="23" spans="1:28" ht="15.75" thickBot="1">
      <c r="A23" s="76"/>
      <c r="B23" s="60"/>
      <c r="C23" s="36"/>
      <c r="D23" s="36"/>
      <c r="E23" s="36"/>
      <c r="F23" s="37"/>
      <c r="G23" s="37"/>
      <c r="H23" s="37"/>
      <c r="I23" s="38"/>
      <c r="J23" s="36"/>
      <c r="K23" s="39"/>
      <c r="L23" s="39"/>
      <c r="M23" s="36"/>
      <c r="N23" s="36"/>
      <c r="O23" s="40"/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61"/>
      <c r="AA23" s="9"/>
    </row>
    <row r="24" spans="1:28">
      <c r="A24" s="62"/>
      <c r="B24" s="43" t="s">
        <v>107</v>
      </c>
      <c r="C24" s="44" t="s">
        <v>108</v>
      </c>
      <c r="D24" s="44" t="s">
        <v>147</v>
      </c>
      <c r="E24" s="46">
        <v>250</v>
      </c>
      <c r="F24" s="47">
        <f>15210+14770</f>
        <v>29980</v>
      </c>
      <c r="G24" s="48">
        <f>9440+13850</f>
        <v>23290</v>
      </c>
      <c r="H24" s="48">
        <f t="shared" ref="H24:H40" si="4">G24-F24</f>
        <v>-6690</v>
      </c>
      <c r="I24" s="45" t="s">
        <v>26</v>
      </c>
      <c r="J24" s="46"/>
      <c r="K24" s="49"/>
      <c r="L24" s="49">
        <v>41099</v>
      </c>
      <c r="M24" s="44" t="s">
        <v>114</v>
      </c>
      <c r="N24" s="46"/>
      <c r="O24" s="50">
        <v>21.5</v>
      </c>
      <c r="P24" s="51"/>
      <c r="Q24" s="50">
        <v>15000</v>
      </c>
      <c r="R24" s="50">
        <f>52.5*E24</f>
        <v>13125</v>
      </c>
      <c r="S24" s="52">
        <f>-35*E24</f>
        <v>-8750</v>
      </c>
      <c r="T24" s="56">
        <v>2500</v>
      </c>
      <c r="U24" s="50">
        <f>E24*5</f>
        <v>1250</v>
      </c>
      <c r="V24" s="46"/>
      <c r="W24" s="50">
        <f>((O24*F24)+Q24+R24+S24+U24)/G24</f>
        <v>28.561399742378704</v>
      </c>
      <c r="X24" s="50">
        <f>((O24*F24)+Q24+R24+S24+T24+U24)/G24</f>
        <v>28.668741949334478</v>
      </c>
      <c r="Y24" s="50">
        <f t="shared" ref="Y24:Y40" si="5">W24*F24</f>
        <v>856270.7642765136</v>
      </c>
      <c r="Z24" s="54">
        <v>41106</v>
      </c>
      <c r="AA24" s="12">
        <v>28.1</v>
      </c>
      <c r="AB24">
        <v>28.06</v>
      </c>
    </row>
    <row r="25" spans="1:28">
      <c r="A25" s="63"/>
      <c r="B25" s="43" t="s">
        <v>115</v>
      </c>
      <c r="C25" s="45" t="s">
        <v>154</v>
      </c>
      <c r="D25" s="46" t="s">
        <v>117</v>
      </c>
      <c r="E25" s="44" t="s">
        <v>118</v>
      </c>
      <c r="F25" s="47">
        <f>42412*0.4536</f>
        <v>19238.083200000001</v>
      </c>
      <c r="G25" s="48">
        <v>19137.52</v>
      </c>
      <c r="H25" s="48">
        <f t="shared" si="4"/>
        <v>-100.56320000000051</v>
      </c>
      <c r="I25" s="45" t="s">
        <v>155</v>
      </c>
      <c r="J25" s="46"/>
      <c r="K25" s="49">
        <v>41096</v>
      </c>
      <c r="L25" s="49">
        <v>41097</v>
      </c>
      <c r="M25" s="45" t="s">
        <v>156</v>
      </c>
      <c r="N25" s="45" t="s">
        <v>157</v>
      </c>
      <c r="O25" s="50"/>
      <c r="P25" s="51">
        <v>0.91</v>
      </c>
      <c r="Q25" s="50"/>
      <c r="R25" s="50"/>
      <c r="S25" s="52">
        <v>13.472</v>
      </c>
      <c r="T25" s="56"/>
      <c r="U25" s="50"/>
      <c r="V25" s="50"/>
      <c r="W25" s="50">
        <f>((P25*2.2046*S25)+(Q25*S25)/G25)</f>
        <v>27.027337792000001</v>
      </c>
      <c r="X25" s="50">
        <f t="shared" ref="X25:X33" si="6">IF(O25&gt;0,O25,((P25*2.2046*S25)+(Q25+R25+T25)/G25)+V25)</f>
        <v>27.027337792000001</v>
      </c>
      <c r="Y25" s="50">
        <f t="shared" si="5"/>
        <v>519954.17311700032</v>
      </c>
      <c r="Z25" s="54">
        <v>41099</v>
      </c>
      <c r="AA25" s="12"/>
    </row>
    <row r="26" spans="1:28">
      <c r="A26" s="63"/>
      <c r="B26" s="43"/>
      <c r="C26" s="46"/>
      <c r="D26" s="46"/>
      <c r="E26" s="46"/>
      <c r="F26" s="47"/>
      <c r="G26" s="48"/>
      <c r="H26" s="48">
        <f t="shared" si="4"/>
        <v>0</v>
      </c>
      <c r="I26" s="45"/>
      <c r="J26" s="46"/>
      <c r="K26" s="49"/>
      <c r="L26" s="49"/>
      <c r="M26" s="45"/>
      <c r="N26" s="46"/>
      <c r="O26" s="50"/>
      <c r="P26" s="51"/>
      <c r="Q26" s="50"/>
      <c r="R26" s="50"/>
      <c r="S26" s="52"/>
      <c r="T26" s="50"/>
      <c r="U26" s="50"/>
      <c r="V26" s="50"/>
      <c r="W26" s="50" t="e">
        <f>IF(O26&gt;0,O26,((P26*2.2046*S26)+(Q26+R26)/G26)+V26)</f>
        <v>#DIV/0!</v>
      </c>
      <c r="X26" s="50" t="e">
        <f t="shared" si="6"/>
        <v>#DIV/0!</v>
      </c>
      <c r="Y26" s="50" t="e">
        <f t="shared" si="5"/>
        <v>#DIV/0!</v>
      </c>
      <c r="Z26" s="54"/>
      <c r="AA26" s="9"/>
    </row>
    <row r="27" spans="1:28">
      <c r="A27" s="63"/>
      <c r="B27" s="55" t="s">
        <v>107</v>
      </c>
      <c r="C27" s="45" t="s">
        <v>121</v>
      </c>
      <c r="D27" s="44" t="s">
        <v>122</v>
      </c>
      <c r="E27" s="46">
        <v>217</v>
      </c>
      <c r="F27" s="47">
        <v>18621.400000000001</v>
      </c>
      <c r="G27" s="48">
        <v>18520</v>
      </c>
      <c r="H27" s="48">
        <f t="shared" si="4"/>
        <v>-101.40000000000146</v>
      </c>
      <c r="I27" s="45" t="s">
        <v>158</v>
      </c>
      <c r="J27" s="46"/>
      <c r="K27" s="49"/>
      <c r="L27" s="49">
        <v>41100</v>
      </c>
      <c r="M27" s="45" t="s">
        <v>124</v>
      </c>
      <c r="N27" s="46"/>
      <c r="O27" s="50">
        <v>28.6</v>
      </c>
      <c r="P27" s="51"/>
      <c r="Q27" s="50"/>
      <c r="R27" s="50"/>
      <c r="S27" s="52"/>
      <c r="U27" s="50">
        <f>E27*5</f>
        <v>1085</v>
      </c>
      <c r="V27" s="50"/>
      <c r="W27" s="50">
        <f>IF(O27&gt;0,O27,((P27*2.2046*S27)+(Q27+R27)/G27)+V27)</f>
        <v>28.6</v>
      </c>
      <c r="X27" s="50">
        <f>IF(O27&gt;0,O27,((P27*2.2046*S27)+(Q27+R27+U27)/G27)+V27)</f>
        <v>28.6</v>
      </c>
      <c r="Y27" s="50">
        <f>W27*F27</f>
        <v>532572.04</v>
      </c>
      <c r="Z27" s="54">
        <v>41107</v>
      </c>
      <c r="AA27" s="9"/>
    </row>
    <row r="28" spans="1:28">
      <c r="A28" s="63"/>
      <c r="B28" s="43" t="s">
        <v>115</v>
      </c>
      <c r="C28" s="46" t="s">
        <v>128</v>
      </c>
      <c r="D28" s="46" t="s">
        <v>128</v>
      </c>
      <c r="E28" s="46" t="s">
        <v>129</v>
      </c>
      <c r="F28" s="47">
        <f>41870*0.4536</f>
        <v>18992.232</v>
      </c>
      <c r="G28" s="48">
        <v>18903.41</v>
      </c>
      <c r="H28" s="48">
        <f t="shared" si="4"/>
        <v>-88.822000000000116</v>
      </c>
      <c r="I28" s="45" t="s">
        <v>159</v>
      </c>
      <c r="J28" s="57" t="s">
        <v>131</v>
      </c>
      <c r="K28" s="49">
        <v>41099</v>
      </c>
      <c r="L28" s="49">
        <v>41100</v>
      </c>
      <c r="M28" s="45" t="s">
        <v>124</v>
      </c>
      <c r="N28" s="45" t="s">
        <v>160</v>
      </c>
      <c r="O28" s="50"/>
      <c r="P28" s="51">
        <v>0.86</v>
      </c>
      <c r="Q28" s="50">
        <v>17000</v>
      </c>
      <c r="R28" s="50">
        <v>7762</v>
      </c>
      <c r="S28" s="52">
        <v>13.324</v>
      </c>
      <c r="T28" s="56">
        <f>W28*F28*0.005</f>
        <v>2532.7698861952967</v>
      </c>
      <c r="U28" s="56"/>
      <c r="V28" s="50">
        <v>0.1</v>
      </c>
      <c r="W28" s="50">
        <f>IF(O28&gt;0,O28,((P28*2.2046*S28)+(Q28+R28)/G28)+V28)</f>
        <v>26.671640133664088</v>
      </c>
      <c r="X28" s="50">
        <f t="shared" si="6"/>
        <v>26.805624948371872</v>
      </c>
      <c r="Y28" s="50">
        <f t="shared" si="5"/>
        <v>506553.97723905934</v>
      </c>
      <c r="Z28" s="54">
        <v>41101</v>
      </c>
      <c r="AA28" s="9"/>
    </row>
    <row r="29" spans="1:28">
      <c r="A29" s="63"/>
      <c r="B29" s="43" t="s">
        <v>115</v>
      </c>
      <c r="C29" s="46" t="s">
        <v>128</v>
      </c>
      <c r="D29" s="46" t="s">
        <v>128</v>
      </c>
      <c r="E29" s="46" t="s">
        <v>129</v>
      </c>
      <c r="F29" s="47">
        <f>40534*0.4536</f>
        <v>18386.222399999999</v>
      </c>
      <c r="G29" s="48">
        <v>18353.41</v>
      </c>
      <c r="H29" s="48">
        <f t="shared" si="4"/>
        <v>-32.812399999998888</v>
      </c>
      <c r="I29" s="45" t="s">
        <v>161</v>
      </c>
      <c r="J29" s="57" t="s">
        <v>131</v>
      </c>
      <c r="K29" s="49">
        <v>41099</v>
      </c>
      <c r="L29" s="49">
        <v>41100</v>
      </c>
      <c r="M29" s="45" t="s">
        <v>124</v>
      </c>
      <c r="N29" s="45" t="s">
        <v>160</v>
      </c>
      <c r="O29" s="50"/>
      <c r="P29" s="51">
        <v>0.86</v>
      </c>
      <c r="Q29" s="50">
        <v>17000</v>
      </c>
      <c r="R29" s="50">
        <v>7706.5</v>
      </c>
      <c r="S29" s="52">
        <v>13.324</v>
      </c>
      <c r="T29" s="56">
        <f>W29*F29*0.005</f>
        <v>2455.2842670080254</v>
      </c>
      <c r="U29" s="56"/>
      <c r="V29" s="50">
        <v>0.1</v>
      </c>
      <c r="W29" s="50">
        <f>IF(O29&gt;0,O29,((P29*2.2046*S29)+(Q29+R29)/G29)+V29)</f>
        <v>26.707870856691319</v>
      </c>
      <c r="X29" s="50">
        <f>IF(O29&gt;0,O29,((P29*2.2046*S29)+(Q29+R29+T29)/G29)+V29)</f>
        <v>26.841648953895493</v>
      </c>
      <c r="Y29" s="50">
        <f t="shared" si="5"/>
        <v>491056.8534016051</v>
      </c>
      <c r="Z29" s="54">
        <v>41101</v>
      </c>
      <c r="AA29" s="9"/>
    </row>
    <row r="30" spans="1:28">
      <c r="A30" s="63"/>
      <c r="B30" s="43" t="s">
        <v>162</v>
      </c>
      <c r="C30" s="46" t="s">
        <v>128</v>
      </c>
      <c r="D30" s="46" t="s">
        <v>128</v>
      </c>
      <c r="E30" s="46" t="s">
        <v>136</v>
      </c>
      <c r="F30" s="47">
        <f>40800*0.4536</f>
        <v>18506.88</v>
      </c>
      <c r="G30" s="48">
        <v>18506.88</v>
      </c>
      <c r="H30" s="48">
        <f t="shared" si="4"/>
        <v>0</v>
      </c>
      <c r="I30" s="45" t="s">
        <v>163</v>
      </c>
      <c r="J30" s="57" t="s">
        <v>131</v>
      </c>
      <c r="K30" s="49">
        <v>41099</v>
      </c>
      <c r="L30" s="49">
        <v>41100</v>
      </c>
      <c r="M30" s="45" t="s">
        <v>124</v>
      </c>
      <c r="N30" s="45"/>
      <c r="O30" s="50"/>
      <c r="P30" s="51">
        <v>0.6</v>
      </c>
      <c r="Q30" s="50">
        <v>17000</v>
      </c>
      <c r="R30" s="50">
        <v>6950</v>
      </c>
      <c r="S30" s="52">
        <v>13.473000000000001</v>
      </c>
      <c r="T30" s="56">
        <f>W30*F30*0.005</f>
        <v>1778.1094580645124</v>
      </c>
      <c r="U30" s="56"/>
      <c r="V30" s="50">
        <v>0.1</v>
      </c>
      <c r="W30" s="50">
        <f>IF(O30&gt;0,O30,((P30*2.2046*S30)+(Q30+R30)/G30)+V30)</f>
        <v>19.215658804342084</v>
      </c>
      <c r="X30" s="50">
        <f t="shared" si="6"/>
        <v>19.311737098363796</v>
      </c>
      <c r="Y30" s="50">
        <f t="shared" si="5"/>
        <v>355621.89161290246</v>
      </c>
      <c r="Z30" s="54">
        <v>41101</v>
      </c>
      <c r="AA30" s="9"/>
    </row>
    <row r="31" spans="1:28">
      <c r="A31" s="63"/>
      <c r="B31" s="43" t="s">
        <v>115</v>
      </c>
      <c r="C31" s="45" t="s">
        <v>116</v>
      </c>
      <c r="D31" s="46" t="s">
        <v>117</v>
      </c>
      <c r="E31" s="46" t="s">
        <v>118</v>
      </c>
      <c r="F31" s="47">
        <f>43489*0.4536</f>
        <v>19726.610400000001</v>
      </c>
      <c r="G31" s="48">
        <v>19697.95</v>
      </c>
      <c r="H31" s="48">
        <f t="shared" si="4"/>
        <v>-28.660400000000664</v>
      </c>
      <c r="I31" s="45" t="s">
        <v>164</v>
      </c>
      <c r="J31" s="46"/>
      <c r="K31" s="49">
        <v>41099</v>
      </c>
      <c r="L31" s="49">
        <v>41100</v>
      </c>
      <c r="M31" s="45" t="s">
        <v>124</v>
      </c>
      <c r="N31" s="45" t="s">
        <v>165</v>
      </c>
      <c r="O31" s="50"/>
      <c r="P31" s="51">
        <v>0.91</v>
      </c>
      <c r="Q31" s="50"/>
      <c r="R31" s="50"/>
      <c r="S31" s="52">
        <v>13.324</v>
      </c>
      <c r="T31" s="50"/>
      <c r="U31" s="50"/>
      <c r="V31" s="50"/>
      <c r="W31" s="50">
        <f>((P31*2.2046*S31)+(Q31*S31)/G31)</f>
        <v>26.730422264000001</v>
      </c>
      <c r="X31" s="50">
        <f t="shared" si="6"/>
        <v>26.730422264000001</v>
      </c>
      <c r="Y31" s="50">
        <f t="shared" si="5"/>
        <v>527300.625829414</v>
      </c>
      <c r="Z31" s="54">
        <v>41101</v>
      </c>
      <c r="AA31" s="12"/>
    </row>
    <row r="32" spans="1:28">
      <c r="A32" s="63"/>
      <c r="B32" s="43" t="s">
        <v>162</v>
      </c>
      <c r="C32" s="45" t="s">
        <v>128</v>
      </c>
      <c r="D32" s="46" t="s">
        <v>117</v>
      </c>
      <c r="E32" s="46" t="s">
        <v>129</v>
      </c>
      <c r="F32" s="47">
        <f>42517*0.4536</f>
        <v>19285.711200000002</v>
      </c>
      <c r="G32" s="48">
        <v>19208.98</v>
      </c>
      <c r="H32" s="48">
        <f t="shared" si="4"/>
        <v>-76.731200000001991</v>
      </c>
      <c r="I32" s="45" t="s">
        <v>166</v>
      </c>
      <c r="J32" s="44" t="s">
        <v>167</v>
      </c>
      <c r="K32" s="49">
        <v>41099</v>
      </c>
      <c r="L32" s="49">
        <v>41100</v>
      </c>
      <c r="M32" s="45" t="s">
        <v>124</v>
      </c>
      <c r="N32" s="45"/>
      <c r="O32" s="50"/>
      <c r="P32" s="51">
        <v>0.56999999999999995</v>
      </c>
      <c r="Q32" s="50"/>
      <c r="R32" s="50"/>
      <c r="S32" s="52">
        <v>13.67</v>
      </c>
      <c r="T32" s="50"/>
      <c r="U32" s="50"/>
      <c r="V32" s="50"/>
      <c r="W32" s="50">
        <f>((P32*2.2046*S32)+(Q32*S32)/G32)</f>
        <v>17.178022739999999</v>
      </c>
      <c r="X32" s="50">
        <f t="shared" si="6"/>
        <v>17.178022739999999</v>
      </c>
      <c r="Y32" s="50">
        <f t="shared" si="5"/>
        <v>331290.38555067271</v>
      </c>
      <c r="Z32" s="54">
        <v>41101</v>
      </c>
      <c r="AA32" s="12"/>
    </row>
    <row r="33" spans="1:28">
      <c r="A33" s="63"/>
      <c r="B33" s="43" t="s">
        <v>141</v>
      </c>
      <c r="C33" s="46" t="s">
        <v>142</v>
      </c>
      <c r="D33" s="46" t="s">
        <v>143</v>
      </c>
      <c r="E33" s="46" t="s">
        <v>144</v>
      </c>
      <c r="F33" s="47">
        <v>18782.810000000001</v>
      </c>
      <c r="G33" s="48">
        <v>18751</v>
      </c>
      <c r="H33" s="48">
        <f t="shared" si="4"/>
        <v>-31.81000000000131</v>
      </c>
      <c r="I33" s="45" t="s">
        <v>37</v>
      </c>
      <c r="J33" s="46"/>
      <c r="K33" s="49">
        <v>41099</v>
      </c>
      <c r="L33" s="49">
        <v>37448</v>
      </c>
      <c r="M33" s="45" t="s">
        <v>140</v>
      </c>
      <c r="N33" s="45" t="s">
        <v>168</v>
      </c>
      <c r="O33" s="50">
        <v>27.37</v>
      </c>
      <c r="P33" s="51"/>
      <c r="Q33" s="50"/>
      <c r="R33" s="50"/>
      <c r="S33" s="52"/>
      <c r="T33" s="50"/>
      <c r="U33" s="50"/>
      <c r="V33" s="50"/>
      <c r="W33" s="50">
        <f>IF(O33&gt;0,O33,((P33*2.2046*S33)+(Q33+R33)/G33)+V33)</f>
        <v>27.37</v>
      </c>
      <c r="X33" s="50">
        <f t="shared" si="6"/>
        <v>27.37</v>
      </c>
      <c r="Y33" s="50">
        <f t="shared" si="5"/>
        <v>514085.50970000005</v>
      </c>
      <c r="Z33" s="54">
        <v>41108</v>
      </c>
      <c r="AA33" s="12"/>
    </row>
    <row r="34" spans="1:28">
      <c r="A34" s="63"/>
      <c r="B34" s="43" t="s">
        <v>107</v>
      </c>
      <c r="C34" s="44" t="s">
        <v>108</v>
      </c>
      <c r="D34" s="44" t="s">
        <v>153</v>
      </c>
      <c r="E34" s="46">
        <v>251</v>
      </c>
      <c r="F34" s="47">
        <f>13629+13492</f>
        <v>27121</v>
      </c>
      <c r="G34" s="48">
        <f>13090+8540</f>
        <v>21630</v>
      </c>
      <c r="H34" s="48">
        <f t="shared" si="4"/>
        <v>-5491</v>
      </c>
      <c r="I34" s="45" t="s">
        <v>33</v>
      </c>
      <c r="J34" s="46"/>
      <c r="K34" s="49"/>
      <c r="L34" s="49">
        <v>41101</v>
      </c>
      <c r="M34" s="45" t="s">
        <v>140</v>
      </c>
      <c r="N34" s="46"/>
      <c r="O34" s="50">
        <v>21.5</v>
      </c>
      <c r="P34" s="51"/>
      <c r="Q34" s="50">
        <v>15000</v>
      </c>
      <c r="R34" s="50">
        <f>52.5*E34</f>
        <v>13177.5</v>
      </c>
      <c r="S34" s="52">
        <f>-35*E34</f>
        <v>-8785</v>
      </c>
      <c r="T34" s="56">
        <v>2500</v>
      </c>
      <c r="U34" s="50">
        <f>E34*5</f>
        <v>1255</v>
      </c>
      <c r="V34" s="46"/>
      <c r="W34" s="50">
        <f>((O34*F34)+Q34+R34+S34+U34)/G34</f>
        <v>27.912575127138233</v>
      </c>
      <c r="X34" s="50">
        <f>((O34*F34)+Q34+R34+S34+T34+U34)/G34</f>
        <v>28.028155339805824</v>
      </c>
      <c r="Y34" s="50">
        <f t="shared" si="5"/>
        <v>757016.95002311596</v>
      </c>
      <c r="Z34" s="54">
        <v>41107</v>
      </c>
      <c r="AA34" s="12">
        <v>27.5</v>
      </c>
      <c r="AB34">
        <v>27.22</v>
      </c>
    </row>
    <row r="35" spans="1:28">
      <c r="A35" s="63"/>
      <c r="B35" s="55" t="s">
        <v>107</v>
      </c>
      <c r="C35" s="45" t="s">
        <v>121</v>
      </c>
      <c r="D35" s="44" t="s">
        <v>122</v>
      </c>
      <c r="E35" s="46">
        <v>216</v>
      </c>
      <c r="F35" s="47">
        <v>18222</v>
      </c>
      <c r="G35" s="48">
        <v>18220</v>
      </c>
      <c r="H35" s="48">
        <f t="shared" si="4"/>
        <v>-2</v>
      </c>
      <c r="I35" s="45" t="s">
        <v>40</v>
      </c>
      <c r="J35" s="46"/>
      <c r="K35" s="49"/>
      <c r="L35" s="49">
        <v>41101</v>
      </c>
      <c r="M35" s="45" t="s">
        <v>140</v>
      </c>
      <c r="N35" s="46"/>
      <c r="O35" s="50">
        <v>28.6</v>
      </c>
      <c r="P35" s="51"/>
      <c r="Q35" s="50"/>
      <c r="R35" s="50"/>
      <c r="S35" s="52"/>
      <c r="U35" s="50">
        <f>E35*5</f>
        <v>1080</v>
      </c>
      <c r="V35" s="50"/>
      <c r="W35" s="50">
        <f>IF(O35&gt;0,O35,((P35*2.2046*S35)+(Q35+R35)/G35)+V35)</f>
        <v>28.6</v>
      </c>
      <c r="X35" s="50">
        <f>IF(O35&gt;0,O35,((P35*2.2046*S35)+(Q35+R35+U35)/G35)+V35)</f>
        <v>28.6</v>
      </c>
      <c r="Y35" s="50">
        <f t="shared" si="5"/>
        <v>521149.2</v>
      </c>
      <c r="Z35" s="54">
        <v>41108</v>
      </c>
      <c r="AA35" s="9"/>
    </row>
    <row r="36" spans="1:28">
      <c r="A36" s="63"/>
      <c r="B36" s="43" t="s">
        <v>107</v>
      </c>
      <c r="C36" s="44" t="s">
        <v>108</v>
      </c>
      <c r="D36" s="44" t="s">
        <v>169</v>
      </c>
      <c r="E36" s="46">
        <v>250</v>
      </c>
      <c r="F36" s="47">
        <f>12040+13010</f>
        <v>25050</v>
      </c>
      <c r="G36" s="48">
        <f>12270+7920</f>
        <v>20190</v>
      </c>
      <c r="H36" s="48">
        <f t="shared" si="4"/>
        <v>-4860</v>
      </c>
      <c r="I36" s="45" t="s">
        <v>170</v>
      </c>
      <c r="J36" s="46"/>
      <c r="K36" s="49"/>
      <c r="L36" s="49">
        <v>41102</v>
      </c>
      <c r="M36" s="45" t="s">
        <v>149</v>
      </c>
      <c r="N36" s="46"/>
      <c r="O36" s="50">
        <v>21.5</v>
      </c>
      <c r="P36" s="51"/>
      <c r="Q36" s="50">
        <v>15000</v>
      </c>
      <c r="R36" s="50">
        <f>52.5*E36</f>
        <v>13125</v>
      </c>
      <c r="S36" s="52">
        <f>-35*E36</f>
        <v>-8750</v>
      </c>
      <c r="T36" s="56">
        <v>2500</v>
      </c>
      <c r="U36" s="50">
        <f>E36*5</f>
        <v>1250</v>
      </c>
      <c r="V36" s="46"/>
      <c r="W36" s="50">
        <f>((O36*F36)+Q36+R36+S36+U36)/G36</f>
        <v>27.696879643387817</v>
      </c>
      <c r="X36" s="50">
        <f>((O36*F36)+Q36+R36+S36+T36+U36)/G36</f>
        <v>27.820703318474493</v>
      </c>
      <c r="Y36" s="50">
        <f t="shared" si="5"/>
        <v>693806.83506686485</v>
      </c>
      <c r="Z36" s="54">
        <v>41109</v>
      </c>
      <c r="AA36" s="12">
        <v>27.4</v>
      </c>
    </row>
    <row r="37" spans="1:28">
      <c r="A37" s="63"/>
      <c r="B37" s="55" t="s">
        <v>107</v>
      </c>
      <c r="C37" s="45" t="s">
        <v>121</v>
      </c>
      <c r="D37" s="44" t="s">
        <v>122</v>
      </c>
      <c r="E37" s="46">
        <v>240</v>
      </c>
      <c r="F37" s="47">
        <f>1908.4+18678</f>
        <v>20586.400000000001</v>
      </c>
      <c r="G37" s="48">
        <f>8350+12220</f>
        <v>20570</v>
      </c>
      <c r="H37" s="48">
        <f>G37-F37</f>
        <v>-16.400000000001455</v>
      </c>
      <c r="I37" s="45" t="s">
        <v>52</v>
      </c>
      <c r="J37" s="46"/>
      <c r="K37" s="49"/>
      <c r="L37" s="49">
        <v>41103</v>
      </c>
      <c r="M37" s="45" t="s">
        <v>151</v>
      </c>
      <c r="N37" s="46"/>
      <c r="O37" s="50">
        <v>29.5</v>
      </c>
      <c r="P37" s="51"/>
      <c r="Q37" s="50"/>
      <c r="R37" s="50"/>
      <c r="S37" s="52"/>
      <c r="U37" s="50">
        <f>E37*5</f>
        <v>1200</v>
      </c>
      <c r="V37" s="50"/>
      <c r="W37" s="50">
        <f>IF(O37&gt;0,O37,((P37*2.2046*S37)+(Q37+R37)/G37)+V37)</f>
        <v>29.5</v>
      </c>
      <c r="X37" s="50">
        <f>IF(O37&gt;0,O37,((P37*2.2046*S37)+(Q37+R37+U37)/G37)+V37)</f>
        <v>29.5</v>
      </c>
      <c r="Y37" s="50">
        <f>W37*F37</f>
        <v>607298.80000000005</v>
      </c>
      <c r="Z37" s="54">
        <v>41110</v>
      </c>
      <c r="AA37" s="9"/>
    </row>
    <row r="38" spans="1:28">
      <c r="A38" s="63"/>
      <c r="B38" s="55" t="s">
        <v>171</v>
      </c>
      <c r="C38" s="44" t="s">
        <v>172</v>
      </c>
      <c r="D38" s="45" t="s">
        <v>143</v>
      </c>
      <c r="E38" s="45" t="s">
        <v>173</v>
      </c>
      <c r="F38" s="47">
        <f>41184.8*0.4536</f>
        <v>18681.425280000003</v>
      </c>
      <c r="G38" s="48"/>
      <c r="H38" s="48">
        <f t="shared" si="4"/>
        <v>-18681.425280000003</v>
      </c>
      <c r="I38" s="45"/>
      <c r="J38" s="46"/>
      <c r="K38" s="49"/>
      <c r="L38" s="49">
        <v>41074</v>
      </c>
      <c r="M38" s="45" t="s">
        <v>156</v>
      </c>
      <c r="N38" s="46"/>
      <c r="O38" s="50">
        <v>60.8</v>
      </c>
      <c r="P38" s="51"/>
      <c r="Q38" s="50"/>
      <c r="R38" s="50"/>
      <c r="S38" s="52"/>
      <c r="U38" s="50"/>
      <c r="V38" s="50"/>
      <c r="W38" s="50">
        <f>IF(O38&gt;0,O38,((P38*2.2046*S38)+(Q38+R38)/G38)+V38)</f>
        <v>60.8</v>
      </c>
      <c r="X38" s="50">
        <f>IF(O38&gt;0,O38,((P38*2.2046*S38)+(Q38+R38+U38)/G38)+V38)</f>
        <v>60.8</v>
      </c>
      <c r="Y38" s="50">
        <f t="shared" si="5"/>
        <v>1135830.6570240001</v>
      </c>
      <c r="Z38" s="54">
        <v>41120</v>
      </c>
      <c r="AA38" s="12"/>
    </row>
    <row r="39" spans="1:28">
      <c r="A39" s="63"/>
      <c r="B39" s="43"/>
      <c r="C39" s="44"/>
      <c r="D39" s="44"/>
      <c r="E39" s="46"/>
      <c r="F39" s="47"/>
      <c r="G39" s="48"/>
      <c r="H39" s="48">
        <f t="shared" si="4"/>
        <v>0</v>
      </c>
      <c r="I39" s="45"/>
      <c r="J39" s="46"/>
      <c r="K39" s="49"/>
      <c r="L39" s="49"/>
      <c r="M39" s="45"/>
      <c r="N39" s="46"/>
      <c r="O39" s="50"/>
      <c r="P39" s="51"/>
      <c r="Q39" s="50"/>
      <c r="R39" s="50"/>
      <c r="S39" s="52"/>
      <c r="U39" s="50"/>
      <c r="V39" s="50"/>
      <c r="W39" s="50" t="e">
        <f>IF(O39&gt;0,O39,((P39*2.2046*S39)+(Q39+R39)/G39)+V39)</f>
        <v>#DIV/0!</v>
      </c>
      <c r="X39" s="50" t="e">
        <f>IF(O39&gt;0,O39,((P39*2.2046*S39)+(Q39+R39+U39)/G39)+V39)</f>
        <v>#DIV/0!</v>
      </c>
      <c r="Y39" s="50" t="e">
        <f t="shared" si="5"/>
        <v>#DIV/0!</v>
      </c>
      <c r="Z39" s="54"/>
      <c r="AA39" s="12"/>
    </row>
    <row r="40" spans="1:28">
      <c r="A40" s="63"/>
      <c r="B40" s="43" t="s">
        <v>107</v>
      </c>
      <c r="C40" s="44" t="s">
        <v>108</v>
      </c>
      <c r="D40" s="44"/>
      <c r="E40" s="46">
        <v>250</v>
      </c>
      <c r="F40" s="47"/>
      <c r="G40" s="48"/>
      <c r="H40" s="48">
        <f t="shared" si="4"/>
        <v>0</v>
      </c>
      <c r="I40" s="45"/>
      <c r="J40" s="46"/>
      <c r="K40" s="49"/>
      <c r="L40" s="49">
        <v>41105</v>
      </c>
      <c r="M40" s="45" t="s">
        <v>111</v>
      </c>
      <c r="N40" s="46"/>
      <c r="O40" s="64">
        <v>21.5</v>
      </c>
      <c r="P40" s="51"/>
      <c r="Q40" s="50">
        <v>15000</v>
      </c>
      <c r="R40" s="50">
        <f>52.5*E40</f>
        <v>13125</v>
      </c>
      <c r="S40" s="52">
        <f>-35*E40</f>
        <v>-8750</v>
      </c>
      <c r="T40" s="4">
        <v>2500</v>
      </c>
      <c r="U40" s="50">
        <f>E40*5</f>
        <v>1250</v>
      </c>
      <c r="V40" s="46"/>
      <c r="W40" s="50" t="e">
        <f>((O40*F40)+Q40+R40+S40+U40)/G40</f>
        <v>#DIV/0!</v>
      </c>
      <c r="X40" s="50" t="e">
        <f>((O40*F40)+Q40+R40+S40+T40+U40)/G40</f>
        <v>#DIV/0!</v>
      </c>
      <c r="Y40" s="50" t="e">
        <f t="shared" si="5"/>
        <v>#DIV/0!</v>
      </c>
      <c r="Z40" s="54"/>
      <c r="AA40" s="12"/>
    </row>
    <row r="41" spans="1:28" ht="15.75" thickBot="1">
      <c r="A41" s="65"/>
      <c r="B41" s="60"/>
      <c r="C41" s="36"/>
      <c r="D41" s="36"/>
      <c r="E41" s="36"/>
      <c r="F41" s="37"/>
      <c r="G41" s="37"/>
      <c r="H41" s="37"/>
      <c r="I41" s="38"/>
      <c r="J41" s="36"/>
      <c r="K41" s="39"/>
      <c r="L41" s="39"/>
      <c r="M41" s="36"/>
      <c r="N41" s="36"/>
      <c r="O41" s="40"/>
      <c r="P41" s="41"/>
      <c r="Q41" s="40"/>
      <c r="R41" s="40"/>
      <c r="S41" s="40"/>
      <c r="T41" s="66"/>
      <c r="U41" s="40"/>
      <c r="V41" s="40"/>
      <c r="W41" s="40"/>
      <c r="X41" s="40"/>
      <c r="Y41" s="40"/>
      <c r="Z41" s="61"/>
      <c r="AA41" s="9"/>
    </row>
    <row r="42" spans="1:28">
      <c r="A42" s="67"/>
      <c r="B42" s="43" t="s">
        <v>107</v>
      </c>
      <c r="C42" s="44" t="s">
        <v>108</v>
      </c>
      <c r="D42" s="44"/>
      <c r="E42" s="46">
        <v>250</v>
      </c>
      <c r="F42" s="47"/>
      <c r="G42" s="48"/>
      <c r="H42" s="48">
        <f t="shared" ref="H42:H53" si="7">G42-F42</f>
        <v>0</v>
      </c>
      <c r="I42" s="45"/>
      <c r="J42" s="46"/>
      <c r="K42" s="49"/>
      <c r="L42" s="49">
        <v>41106</v>
      </c>
      <c r="M42" s="45" t="s">
        <v>114</v>
      </c>
      <c r="N42" s="46"/>
      <c r="O42" s="64"/>
      <c r="P42" s="51"/>
      <c r="Q42" s="50">
        <v>15000</v>
      </c>
      <c r="R42" s="50">
        <f>52.5*E42</f>
        <v>13125</v>
      </c>
      <c r="S42" s="52">
        <f>-35*E42</f>
        <v>-8750</v>
      </c>
      <c r="T42" s="4">
        <v>2500</v>
      </c>
      <c r="U42" s="50">
        <f>E42*5</f>
        <v>1250</v>
      </c>
      <c r="V42" s="46"/>
      <c r="W42" s="50" t="e">
        <f>((O42*F42)+Q42+R42+S42+U42)/G42</f>
        <v>#DIV/0!</v>
      </c>
      <c r="X42" s="50" t="e">
        <f>((O42*F42)+Q42+R42+S42+T42+U42)/G42</f>
        <v>#DIV/0!</v>
      </c>
      <c r="Y42" s="50" t="e">
        <f t="shared" ref="Y42:Y53" si="8">W42*F42</f>
        <v>#DIV/0!</v>
      </c>
      <c r="Z42" s="54"/>
      <c r="AA42" s="12"/>
    </row>
    <row r="43" spans="1:28">
      <c r="A43" s="67"/>
      <c r="B43" s="43" t="s">
        <v>115</v>
      </c>
      <c r="C43" s="45" t="s">
        <v>116</v>
      </c>
      <c r="D43" s="46" t="s">
        <v>117</v>
      </c>
      <c r="E43" s="46" t="s">
        <v>118</v>
      </c>
      <c r="F43" s="47">
        <f>42400*0.4536</f>
        <v>19232.64</v>
      </c>
      <c r="G43" s="48">
        <v>19167.52</v>
      </c>
      <c r="H43" s="48">
        <f t="shared" si="7"/>
        <v>-65.119999999998981</v>
      </c>
      <c r="I43" s="45" t="s">
        <v>174</v>
      </c>
      <c r="J43" s="46"/>
      <c r="K43" s="49">
        <v>41102</v>
      </c>
      <c r="L43" s="49">
        <v>41103</v>
      </c>
      <c r="M43" s="45" t="s">
        <v>151</v>
      </c>
      <c r="N43" s="45" t="s">
        <v>175</v>
      </c>
      <c r="O43" s="50"/>
      <c r="P43" s="51">
        <v>0.91</v>
      </c>
      <c r="Q43" s="50"/>
      <c r="R43" s="50"/>
      <c r="S43" s="52">
        <v>13.385</v>
      </c>
      <c r="T43" s="50"/>
      <c r="U43" s="50"/>
      <c r="V43" s="50"/>
      <c r="W43" s="50">
        <f>((P43*2.2046*S43)+(Q43*S43)/G43)</f>
        <v>26.852799609999998</v>
      </c>
      <c r="X43" s="50">
        <f t="shared" ref="X43:X49" si="9">IF(O43&gt;0,O43,((P43*2.2046*S43)+(Q43+R43+T43)/G43)+V43)</f>
        <v>26.852799609999998</v>
      </c>
      <c r="Y43" s="50">
        <f t="shared" si="8"/>
        <v>516450.22789127036</v>
      </c>
      <c r="Z43" s="54">
        <v>41106</v>
      </c>
      <c r="AA43" s="12"/>
    </row>
    <row r="44" spans="1:28">
      <c r="A44" s="67"/>
      <c r="B44" s="55" t="s">
        <v>107</v>
      </c>
      <c r="C44" s="45" t="s">
        <v>121</v>
      </c>
      <c r="D44" s="44" t="s">
        <v>122</v>
      </c>
      <c r="E44" s="46">
        <v>240</v>
      </c>
      <c r="F44" s="47"/>
      <c r="G44" s="48"/>
      <c r="H44" s="48">
        <f>G44-F44</f>
        <v>0</v>
      </c>
      <c r="I44" s="45"/>
      <c r="J44" s="46"/>
      <c r="K44" s="49"/>
      <c r="L44" s="49">
        <v>41107</v>
      </c>
      <c r="M44" s="45" t="s">
        <v>124</v>
      </c>
      <c r="N44" s="46"/>
      <c r="O44" s="50">
        <v>29.5</v>
      </c>
      <c r="P44" s="51"/>
      <c r="Q44" s="50"/>
      <c r="R44" s="50"/>
      <c r="S44" s="52"/>
      <c r="U44" s="50">
        <f>E44*5</f>
        <v>1200</v>
      </c>
      <c r="V44" s="50"/>
      <c r="W44" s="50">
        <f>IF(O44&gt;0,O44,((P44*2.2046*S44)+(Q44+R44)/G44)+V44)</f>
        <v>29.5</v>
      </c>
      <c r="X44" s="50">
        <f>IF(O44&gt;0,O44,((P44*2.2046*S44)+(Q44+R44+U44)/G44)+V44)</f>
        <v>29.5</v>
      </c>
      <c r="Y44" s="50">
        <f>W44*F44</f>
        <v>0</v>
      </c>
      <c r="Z44" s="54"/>
      <c r="AA44" s="9"/>
    </row>
    <row r="45" spans="1:28">
      <c r="A45" s="67"/>
      <c r="B45" s="55" t="s">
        <v>107</v>
      </c>
      <c r="C45" s="45" t="s">
        <v>121</v>
      </c>
      <c r="D45" s="44" t="s">
        <v>122</v>
      </c>
      <c r="E45" s="46">
        <v>120</v>
      </c>
      <c r="F45" s="47"/>
      <c r="G45" s="48"/>
      <c r="H45" s="48">
        <f>G45-F45</f>
        <v>0</v>
      </c>
      <c r="I45" s="45"/>
      <c r="J45" s="46"/>
      <c r="K45" s="49"/>
      <c r="L45" s="49">
        <v>41107</v>
      </c>
      <c r="M45" s="45" t="s">
        <v>124</v>
      </c>
      <c r="N45" s="46"/>
      <c r="O45" s="50">
        <v>29.5</v>
      </c>
      <c r="P45" s="51"/>
      <c r="Q45" s="50"/>
      <c r="R45" s="50"/>
      <c r="S45" s="52"/>
      <c r="U45" s="50">
        <f>E45*5</f>
        <v>600</v>
      </c>
      <c r="V45" s="50"/>
      <c r="W45" s="50">
        <f>IF(O45&gt;0,O45,((P45*2.2046*S45)+(Q45+R45)/G45)+V45)</f>
        <v>29.5</v>
      </c>
      <c r="X45" s="50">
        <f>IF(O45&gt;0,O45,((P45*2.2046*S45)+(Q45+R45+U45)/G45)+V45)</f>
        <v>29.5</v>
      </c>
      <c r="Y45" s="50">
        <f>W45*F45</f>
        <v>0</v>
      </c>
      <c r="Z45" s="54"/>
      <c r="AA45" s="9"/>
    </row>
    <row r="46" spans="1:28">
      <c r="A46" s="67"/>
      <c r="B46" s="43" t="s">
        <v>115</v>
      </c>
      <c r="C46" s="46" t="s">
        <v>128</v>
      </c>
      <c r="D46" s="46" t="s">
        <v>128</v>
      </c>
      <c r="E46" s="44" t="s">
        <v>129</v>
      </c>
      <c r="F46" s="47">
        <f>41446*0.4536</f>
        <v>18799.905600000002</v>
      </c>
      <c r="G46" s="48">
        <v>18750</v>
      </c>
      <c r="H46" s="48">
        <f t="shared" si="7"/>
        <v>-49.905600000001868</v>
      </c>
      <c r="I46" s="45" t="s">
        <v>176</v>
      </c>
      <c r="J46" s="68" t="s">
        <v>131</v>
      </c>
      <c r="K46" s="49">
        <v>41106</v>
      </c>
      <c r="L46" s="49">
        <v>41107</v>
      </c>
      <c r="M46" s="45" t="s">
        <v>124</v>
      </c>
      <c r="N46" s="45" t="s">
        <v>177</v>
      </c>
      <c r="O46" s="50"/>
      <c r="P46" s="51">
        <v>0.84</v>
      </c>
      <c r="Q46" s="50">
        <v>19720</v>
      </c>
      <c r="R46" s="69">
        <v>8500</v>
      </c>
      <c r="S46" s="70">
        <v>13.5</v>
      </c>
      <c r="T46" s="56">
        <f>W46*F46*0.005</f>
        <v>2500.8791249977921</v>
      </c>
      <c r="U46" s="56"/>
      <c r="V46" s="50">
        <v>0.1</v>
      </c>
      <c r="W46" s="50">
        <f>IF(O46&gt;0,O46,((P46*2.2046*S46)+(Q46+R46)/G46)+V46)</f>
        <v>26.605230666666667</v>
      </c>
      <c r="X46" s="50">
        <f t="shared" si="9"/>
        <v>26.73861088666655</v>
      </c>
      <c r="Y46" s="50">
        <f t="shared" si="8"/>
        <v>500175.82499955845</v>
      </c>
      <c r="Z46" s="54"/>
      <c r="AA46" s="9"/>
    </row>
    <row r="47" spans="1:28">
      <c r="A47" s="67"/>
      <c r="B47" s="43" t="s">
        <v>115</v>
      </c>
      <c r="C47" s="46" t="s">
        <v>128</v>
      </c>
      <c r="D47" s="46" t="s">
        <v>128</v>
      </c>
      <c r="E47" s="44" t="s">
        <v>129</v>
      </c>
      <c r="F47" s="47">
        <f>41899*0.4536</f>
        <v>19005.386399999999</v>
      </c>
      <c r="G47" s="48">
        <v>19000</v>
      </c>
      <c r="H47" s="48">
        <f t="shared" si="7"/>
        <v>-5.3863999999994121</v>
      </c>
      <c r="I47" s="45" t="s">
        <v>178</v>
      </c>
      <c r="J47" s="68" t="s">
        <v>131</v>
      </c>
      <c r="K47" s="49">
        <v>41106</v>
      </c>
      <c r="L47" s="49">
        <v>41107</v>
      </c>
      <c r="M47" s="45" t="s">
        <v>124</v>
      </c>
      <c r="N47" s="45" t="s">
        <v>177</v>
      </c>
      <c r="O47" s="50"/>
      <c r="P47" s="51">
        <v>0.84</v>
      </c>
      <c r="Q47" s="50">
        <v>19720</v>
      </c>
      <c r="R47" s="69">
        <v>8500</v>
      </c>
      <c r="S47" s="70">
        <v>13.5</v>
      </c>
      <c r="T47" s="56">
        <f>W47*F47*0.005</f>
        <v>2526.3315787242163</v>
      </c>
      <c r="U47" s="56"/>
      <c r="V47" s="50">
        <v>0.1</v>
      </c>
      <c r="W47" s="50">
        <f>IF(O47&gt;0,O47,((P47*2.2046*S47)+(Q47+R47)/G47)+V47)</f>
        <v>26.585427157894735</v>
      </c>
      <c r="X47" s="50">
        <f t="shared" si="9"/>
        <v>26.71839197782759</v>
      </c>
      <c r="Y47" s="50">
        <f t="shared" si="8"/>
        <v>505266.31574484322</v>
      </c>
      <c r="Z47" s="54"/>
      <c r="AA47" s="9"/>
    </row>
    <row r="48" spans="1:28">
      <c r="A48" s="67"/>
      <c r="B48" s="43" t="s">
        <v>115</v>
      </c>
      <c r="C48" s="45" t="s">
        <v>116</v>
      </c>
      <c r="D48" s="46" t="s">
        <v>117</v>
      </c>
      <c r="E48" s="46"/>
      <c r="F48" s="47">
        <v>18500</v>
      </c>
      <c r="G48" s="48">
        <v>18500</v>
      </c>
      <c r="H48" s="48">
        <f t="shared" si="7"/>
        <v>0</v>
      </c>
      <c r="I48" s="45"/>
      <c r="J48" s="46"/>
      <c r="K48" s="49">
        <v>41106</v>
      </c>
      <c r="L48" s="49">
        <v>41108</v>
      </c>
      <c r="M48" s="45" t="s">
        <v>140</v>
      </c>
      <c r="N48" s="45" t="s">
        <v>179</v>
      </c>
      <c r="O48" s="50"/>
      <c r="P48" s="51">
        <v>0.89</v>
      </c>
      <c r="Q48" s="50"/>
      <c r="R48" s="50"/>
      <c r="S48" s="70">
        <v>13.5</v>
      </c>
      <c r="T48" s="50"/>
      <c r="U48" s="50"/>
      <c r="V48" s="50"/>
      <c r="W48" s="50">
        <f>((P48*2.2046*S48)+(Q48*S48)/G48)</f>
        <v>26.488269000000003</v>
      </c>
      <c r="X48" s="50">
        <f t="shared" si="9"/>
        <v>26.488269000000003</v>
      </c>
      <c r="Y48" s="50">
        <f t="shared" si="8"/>
        <v>490032.97650000005</v>
      </c>
      <c r="Z48" s="54"/>
      <c r="AA48" s="12"/>
    </row>
    <row r="49" spans="1:27">
      <c r="A49" s="67"/>
      <c r="B49" s="43" t="s">
        <v>141</v>
      </c>
      <c r="C49" s="46" t="s">
        <v>142</v>
      </c>
      <c r="D49" s="46" t="s">
        <v>143</v>
      </c>
      <c r="E49" s="46"/>
      <c r="F49" s="47">
        <v>18500</v>
      </c>
      <c r="G49" s="48">
        <v>18500</v>
      </c>
      <c r="H49" s="48">
        <f t="shared" si="7"/>
        <v>0</v>
      </c>
      <c r="I49" s="45"/>
      <c r="J49" s="46"/>
      <c r="K49" s="49">
        <v>41106</v>
      </c>
      <c r="L49" s="49">
        <v>41108</v>
      </c>
      <c r="M49" s="45" t="s">
        <v>140</v>
      </c>
      <c r="N49" s="45" t="s">
        <v>180</v>
      </c>
      <c r="O49" s="50"/>
      <c r="P49" s="71">
        <v>0.9</v>
      </c>
      <c r="Q49" s="50"/>
      <c r="R49" s="50"/>
      <c r="S49" s="52"/>
      <c r="T49" s="50"/>
      <c r="U49" s="50"/>
      <c r="V49" s="50"/>
      <c r="W49" s="50">
        <f>IF(O49&gt;0,O49,((P49*2.2046*S49)+(Q49+R49)/G49)+V49)</f>
        <v>0</v>
      </c>
      <c r="X49" s="50">
        <f t="shared" si="9"/>
        <v>0</v>
      </c>
      <c r="Y49" s="50">
        <f t="shared" si="8"/>
        <v>0</v>
      </c>
      <c r="Z49" s="54"/>
      <c r="AA49" s="12"/>
    </row>
    <row r="50" spans="1:27">
      <c r="A50" s="67"/>
      <c r="B50" s="43" t="s">
        <v>107</v>
      </c>
      <c r="C50" s="44" t="s">
        <v>108</v>
      </c>
      <c r="D50" s="44"/>
      <c r="E50" s="46">
        <v>250</v>
      </c>
      <c r="F50" s="47"/>
      <c r="G50" s="48"/>
      <c r="H50" s="48">
        <f t="shared" si="7"/>
        <v>0</v>
      </c>
      <c r="I50" s="45"/>
      <c r="J50" s="46"/>
      <c r="K50" s="49"/>
      <c r="L50" s="49">
        <v>41108</v>
      </c>
      <c r="M50" s="45" t="s">
        <v>140</v>
      </c>
      <c r="N50" s="46"/>
      <c r="O50" s="64"/>
      <c r="P50" s="51"/>
      <c r="Q50" s="50">
        <v>15000</v>
      </c>
      <c r="R50" s="50">
        <f>52.5*E50</f>
        <v>13125</v>
      </c>
      <c r="S50" s="52">
        <f>-35*E50</f>
        <v>-8750</v>
      </c>
      <c r="T50" s="4">
        <v>2500</v>
      </c>
      <c r="U50" s="50">
        <f>E50*5</f>
        <v>1250</v>
      </c>
      <c r="V50" s="46"/>
      <c r="W50" s="50" t="e">
        <f>((O50*F50)+Q50+R50+S50+U50)/G50</f>
        <v>#DIV/0!</v>
      </c>
      <c r="X50" s="50" t="e">
        <f>((O50*F50)+Q50+R50+S50+T50+U50)/G50</f>
        <v>#DIV/0!</v>
      </c>
      <c r="Y50" s="50" t="e">
        <f t="shared" si="8"/>
        <v>#DIV/0!</v>
      </c>
      <c r="Z50" s="54"/>
      <c r="AA50" s="12"/>
    </row>
    <row r="51" spans="1:27">
      <c r="A51" s="67"/>
      <c r="B51" s="55" t="s">
        <v>107</v>
      </c>
      <c r="C51" s="45" t="s">
        <v>121</v>
      </c>
      <c r="D51" s="44" t="s">
        <v>122</v>
      </c>
      <c r="E51" s="46">
        <v>240</v>
      </c>
      <c r="F51" s="47"/>
      <c r="G51" s="48"/>
      <c r="H51" s="48">
        <f>G51-F51</f>
        <v>0</v>
      </c>
      <c r="I51" s="45"/>
      <c r="J51" s="46"/>
      <c r="K51" s="49"/>
      <c r="L51" s="49">
        <v>41108</v>
      </c>
      <c r="M51" s="45" t="s">
        <v>140</v>
      </c>
      <c r="N51" s="46"/>
      <c r="O51" s="50">
        <v>29.5</v>
      </c>
      <c r="P51" s="51"/>
      <c r="Q51" s="50"/>
      <c r="R51" s="50"/>
      <c r="S51" s="52"/>
      <c r="T51" s="4"/>
      <c r="U51" s="50">
        <f>E51*5</f>
        <v>1200</v>
      </c>
      <c r="V51" s="50"/>
      <c r="W51" s="50">
        <f>IF(O51&gt;0,O51,((P51*2.2046*S51)+(Q51+R51)/G51)+V51)</f>
        <v>29.5</v>
      </c>
      <c r="X51" s="50">
        <f>IF(O51&gt;0,O51,((P51*2.2046*S51)+(Q51+R51+U51)/G51)+V51)</f>
        <v>29.5</v>
      </c>
      <c r="Y51" s="50">
        <f>W51*F51</f>
        <v>0</v>
      </c>
      <c r="Z51" s="54"/>
      <c r="AA51" s="9"/>
    </row>
    <row r="52" spans="1:27">
      <c r="A52" s="67"/>
      <c r="B52" s="43" t="s">
        <v>107</v>
      </c>
      <c r="C52" s="44" t="s">
        <v>108</v>
      </c>
      <c r="D52" s="44"/>
      <c r="E52" s="46">
        <v>250</v>
      </c>
      <c r="F52" s="47"/>
      <c r="G52" s="48"/>
      <c r="H52" s="48">
        <f t="shared" si="7"/>
        <v>0</v>
      </c>
      <c r="I52" s="45"/>
      <c r="J52" s="46"/>
      <c r="K52" s="49"/>
      <c r="L52" s="49">
        <v>41109</v>
      </c>
      <c r="M52" s="45" t="s">
        <v>149</v>
      </c>
      <c r="N52" s="46"/>
      <c r="O52" s="64"/>
      <c r="P52" s="51"/>
      <c r="Q52" s="50">
        <v>15000</v>
      </c>
      <c r="R52" s="50">
        <f>52.5*E52</f>
        <v>13125</v>
      </c>
      <c r="S52" s="52">
        <f>-35*E52</f>
        <v>-8750</v>
      </c>
      <c r="T52" s="4">
        <v>2500</v>
      </c>
      <c r="U52" s="50">
        <f>E52*5</f>
        <v>1250</v>
      </c>
      <c r="V52" s="46"/>
      <c r="W52" s="50" t="e">
        <f>((O52*F52)+Q52+R52+S52+U52)/G52</f>
        <v>#DIV/0!</v>
      </c>
      <c r="X52" s="50" t="e">
        <f>((O52*F52)+Q52+R52+S52+T52+U52)/G52</f>
        <v>#DIV/0!</v>
      </c>
      <c r="Y52" s="50" t="e">
        <f t="shared" si="8"/>
        <v>#DIV/0!</v>
      </c>
      <c r="Z52" s="54"/>
      <c r="AA52" s="12"/>
    </row>
    <row r="53" spans="1:27">
      <c r="A53" s="67"/>
      <c r="B53" s="43"/>
      <c r="C53" s="44"/>
      <c r="D53" s="44"/>
      <c r="E53" s="46"/>
      <c r="F53" s="47"/>
      <c r="G53" s="48"/>
      <c r="H53" s="48">
        <f t="shared" si="7"/>
        <v>0</v>
      </c>
      <c r="I53" s="45"/>
      <c r="J53" s="46"/>
      <c r="K53" s="49"/>
      <c r="L53" s="49"/>
      <c r="M53" s="45"/>
      <c r="N53" s="46"/>
      <c r="O53" s="50"/>
      <c r="P53" s="51"/>
      <c r="Q53" s="50"/>
      <c r="R53" s="50"/>
      <c r="S53" s="52"/>
      <c r="U53" s="50"/>
      <c r="V53" s="50"/>
      <c r="W53" s="50" t="e">
        <f>IF(O53&gt;0,O53,((P53*2.2046*S53)+(Q53+R53)/G53)+V53)</f>
        <v>#DIV/0!</v>
      </c>
      <c r="X53" s="50" t="e">
        <f>IF(O53&gt;0,O53,((P53*2.2046*S53)+(Q53+R53+U53)/G53)+V53)</f>
        <v>#DIV/0!</v>
      </c>
      <c r="Y53" s="50" t="e">
        <f t="shared" si="8"/>
        <v>#DIV/0!</v>
      </c>
      <c r="Z53" s="54"/>
      <c r="AA53" s="12"/>
    </row>
    <row r="54" spans="1:27">
      <c r="A54" s="67"/>
      <c r="B54" s="55" t="s">
        <v>107</v>
      </c>
      <c r="C54" s="45" t="s">
        <v>121</v>
      </c>
      <c r="D54" s="44" t="s">
        <v>122</v>
      </c>
      <c r="E54" s="46">
        <v>240</v>
      </c>
      <c r="F54" s="47"/>
      <c r="G54" s="48"/>
      <c r="H54" s="48">
        <f>G54-F54</f>
        <v>0</v>
      </c>
      <c r="I54" s="45"/>
      <c r="J54" s="46"/>
      <c r="K54" s="49"/>
      <c r="L54" s="49">
        <v>41110</v>
      </c>
      <c r="M54" s="45" t="s">
        <v>151</v>
      </c>
      <c r="N54" s="46"/>
      <c r="O54" s="64"/>
      <c r="P54" s="51"/>
      <c r="Q54" s="50"/>
      <c r="R54" s="50"/>
      <c r="S54" s="52"/>
      <c r="U54" s="50">
        <f>E54*5</f>
        <v>1200</v>
      </c>
      <c r="V54" s="50"/>
      <c r="W54" s="50" t="e">
        <f>IF(O54&gt;0,O54,((P54*2.2046*S54)+(Q54+R54)/G54)+V54)</f>
        <v>#DIV/0!</v>
      </c>
      <c r="X54" s="50" t="e">
        <f>IF(O54&gt;0,O54,((P54*2.2046*S54)+(Q54+R54+U54)/G54)+V54)</f>
        <v>#DIV/0!</v>
      </c>
      <c r="Y54" s="50" t="e">
        <f>W54*F54</f>
        <v>#DIV/0!</v>
      </c>
      <c r="Z54" s="54"/>
      <c r="AA54" s="9"/>
    </row>
    <row r="55" spans="1:27">
      <c r="A55" s="63"/>
      <c r="B55" s="43" t="s">
        <v>107</v>
      </c>
      <c r="C55" s="44" t="s">
        <v>108</v>
      </c>
      <c r="D55" s="44"/>
      <c r="E55" s="46">
        <v>250</v>
      </c>
      <c r="F55" s="47"/>
      <c r="G55" s="48"/>
      <c r="H55" s="48">
        <f t="shared" ref="H55" si="10">G55-F55</f>
        <v>0</v>
      </c>
      <c r="I55" s="45"/>
      <c r="J55" s="46"/>
      <c r="K55" s="49"/>
      <c r="L55" s="49">
        <v>41118</v>
      </c>
      <c r="M55" s="45" t="s">
        <v>111</v>
      </c>
      <c r="N55" s="46"/>
      <c r="O55" s="64"/>
      <c r="P55" s="51"/>
      <c r="Q55" s="50">
        <v>15000</v>
      </c>
      <c r="R55" s="50">
        <f>52.5*E55</f>
        <v>13125</v>
      </c>
      <c r="S55" s="52">
        <f>-35*E55</f>
        <v>-8750</v>
      </c>
      <c r="T55" s="4">
        <v>2500</v>
      </c>
      <c r="U55" s="50">
        <f>E55*5</f>
        <v>1250</v>
      </c>
      <c r="V55" s="46"/>
      <c r="W55" s="50" t="e">
        <f>((O55*F55)+Q55+R55+S55+U55)/G55</f>
        <v>#DIV/0!</v>
      </c>
      <c r="X55" s="50" t="e">
        <f>((O55*F55)+Q55+R55+S55+T55+U55)/G55</f>
        <v>#DIV/0!</v>
      </c>
      <c r="Y55" s="50" t="e">
        <f t="shared" ref="Y55" si="11">W55*F55</f>
        <v>#DIV/0!</v>
      </c>
      <c r="Z55" s="54"/>
      <c r="AA55" s="12"/>
    </row>
    <row r="56" spans="1:27" ht="15.75" thickBot="1">
      <c r="A56" s="72"/>
      <c r="B56" s="60"/>
      <c r="C56" s="36"/>
      <c r="D56" s="36"/>
      <c r="E56" s="36"/>
      <c r="F56" s="37"/>
      <c r="G56" s="37"/>
      <c r="H56" s="37"/>
      <c r="I56" s="38"/>
      <c r="J56" s="36"/>
      <c r="K56" s="39"/>
      <c r="L56" s="39"/>
      <c r="M56" s="36"/>
      <c r="N56" s="36"/>
      <c r="O56" s="40"/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61"/>
      <c r="AA56" s="9"/>
    </row>
    <row r="57" spans="1:27">
      <c r="A57" s="73"/>
      <c r="B57" s="43" t="s">
        <v>107</v>
      </c>
      <c r="C57" s="44" t="s">
        <v>108</v>
      </c>
      <c r="D57" s="44"/>
      <c r="E57" s="46">
        <v>250</v>
      </c>
      <c r="F57" s="47"/>
      <c r="G57" s="48"/>
      <c r="H57" s="48">
        <f t="shared" ref="H57:H58" si="12">G57-F57</f>
        <v>0</v>
      </c>
      <c r="I57" s="45"/>
      <c r="J57" s="46"/>
      <c r="K57" s="49"/>
      <c r="L57" s="49">
        <v>41113</v>
      </c>
      <c r="M57" s="45" t="s">
        <v>114</v>
      </c>
      <c r="N57" s="46"/>
      <c r="O57" s="64"/>
      <c r="P57" s="51"/>
      <c r="Q57" s="50">
        <v>15000</v>
      </c>
      <c r="R57" s="50">
        <f>52.5*E57</f>
        <v>13125</v>
      </c>
      <c r="S57" s="52">
        <f>-35*E57</f>
        <v>-8750</v>
      </c>
      <c r="T57" s="4"/>
      <c r="U57" s="50">
        <f>E57*5</f>
        <v>1250</v>
      </c>
      <c r="V57" s="46"/>
      <c r="W57" s="50" t="e">
        <f>((O57*F57)+Q57+R57+S57+U57)/G57</f>
        <v>#DIV/0!</v>
      </c>
      <c r="X57" s="50" t="e">
        <f>((O57*F57)+Q57+R57+S57+T57+U57)/G57</f>
        <v>#DIV/0!</v>
      </c>
      <c r="Y57" s="50" t="e">
        <f t="shared" ref="Y57:Y58" si="13">W57*F57</f>
        <v>#DIV/0!</v>
      </c>
      <c r="Z57" s="54"/>
      <c r="AA57" s="12"/>
    </row>
    <row r="58" spans="1:27">
      <c r="A58" s="73"/>
      <c r="B58" s="43" t="s">
        <v>115</v>
      </c>
      <c r="C58" s="45" t="s">
        <v>116</v>
      </c>
      <c r="D58" s="46" t="s">
        <v>117</v>
      </c>
      <c r="E58" s="46"/>
      <c r="F58" s="47"/>
      <c r="G58" s="48"/>
      <c r="H58" s="48">
        <f t="shared" si="12"/>
        <v>0</v>
      </c>
      <c r="I58" s="45"/>
      <c r="J58" s="46"/>
      <c r="K58" s="49">
        <v>41109</v>
      </c>
      <c r="L58" s="49">
        <v>41113</v>
      </c>
      <c r="M58" s="45" t="s">
        <v>114</v>
      </c>
      <c r="N58" s="45" t="s">
        <v>181</v>
      </c>
      <c r="O58" s="50"/>
      <c r="P58" s="51"/>
      <c r="Q58" s="50"/>
      <c r="R58" s="50"/>
      <c r="S58" s="52">
        <v>13.385</v>
      </c>
      <c r="T58" s="50"/>
      <c r="U58" s="50"/>
      <c r="V58" s="50"/>
      <c r="W58" s="50" t="e">
        <f>((P58*2.2046*S58)+(Q58*S58)/G58)</f>
        <v>#DIV/0!</v>
      </c>
      <c r="X58" s="50" t="e">
        <f t="shared" ref="X58" si="14">IF(O58&gt;0,O58,((P58*2.2046*S58)+(Q58+R58+T58)/G58)+V58)</f>
        <v>#DIV/0!</v>
      </c>
      <c r="Y58" s="50" t="e">
        <f t="shared" si="13"/>
        <v>#DIV/0!</v>
      </c>
      <c r="Z58" s="54">
        <v>41106</v>
      </c>
      <c r="AA58" s="12"/>
    </row>
    <row r="59" spans="1:27">
      <c r="A59" s="73"/>
      <c r="B59" s="55" t="s">
        <v>107</v>
      </c>
      <c r="C59" s="45" t="s">
        <v>121</v>
      </c>
      <c r="D59" s="44" t="s">
        <v>122</v>
      </c>
      <c r="E59" s="46">
        <v>240</v>
      </c>
      <c r="F59" s="47"/>
      <c r="G59" s="48"/>
      <c r="H59" s="48">
        <f>G59-F59</f>
        <v>0</v>
      </c>
      <c r="I59" s="45"/>
      <c r="J59" s="46"/>
      <c r="K59" s="49"/>
      <c r="L59" s="49">
        <v>41114</v>
      </c>
      <c r="M59" s="45" t="s">
        <v>124</v>
      </c>
      <c r="N59" s="46"/>
      <c r="O59" s="64"/>
      <c r="P59" s="51"/>
      <c r="Q59" s="50"/>
      <c r="R59" s="50"/>
      <c r="S59" s="52"/>
      <c r="U59" s="50">
        <f>E59*5</f>
        <v>1200</v>
      </c>
      <c r="V59" s="50"/>
      <c r="W59" s="50" t="e">
        <f>IF(O59&gt;0,O59,((P59*2.2046*S59)+(Q59+R59)/G59)+V59)</f>
        <v>#DIV/0!</v>
      </c>
      <c r="X59" s="50" t="e">
        <f>IF(O59&gt;0,O59,((P59*2.2046*S59)+(Q59+R59+U59)/G59)+V59)</f>
        <v>#DIV/0!</v>
      </c>
      <c r="Y59" s="50" t="e">
        <f>W59*F59</f>
        <v>#DIV/0!</v>
      </c>
      <c r="Z59" s="54"/>
      <c r="AA59" s="9"/>
    </row>
    <row r="60" spans="1:27">
      <c r="A60" s="73"/>
      <c r="B60" s="55" t="s">
        <v>107</v>
      </c>
      <c r="C60" s="45" t="s">
        <v>121</v>
      </c>
      <c r="D60" s="44" t="s">
        <v>122</v>
      </c>
      <c r="E60" s="46">
        <v>120</v>
      </c>
      <c r="F60" s="47"/>
      <c r="G60" s="48"/>
      <c r="H60" s="48">
        <f>G60-F60</f>
        <v>0</v>
      </c>
      <c r="I60" s="45"/>
      <c r="J60" s="46"/>
      <c r="K60" s="49"/>
      <c r="L60" s="49">
        <v>41114</v>
      </c>
      <c r="M60" s="45" t="s">
        <v>124</v>
      </c>
      <c r="N60" s="46"/>
      <c r="O60" s="64"/>
      <c r="P60" s="51"/>
      <c r="Q60" s="50"/>
      <c r="R60" s="50"/>
      <c r="S60" s="52"/>
      <c r="U60" s="50">
        <f>E60*5</f>
        <v>600</v>
      </c>
      <c r="V60" s="50"/>
      <c r="W60" s="50" t="e">
        <f>IF(O60&gt;0,O60,((P60*2.2046*S60)+(Q60+R60)/G60)+V60)</f>
        <v>#DIV/0!</v>
      </c>
      <c r="X60" s="50" t="e">
        <f>IF(O60&gt;0,O60,((P60*2.2046*S60)+(Q60+R60+U60)/G60)+V60)</f>
        <v>#DIV/0!</v>
      </c>
      <c r="Y60" s="50" t="e">
        <f>W60*F60</f>
        <v>#DIV/0!</v>
      </c>
      <c r="Z60" s="54"/>
      <c r="AA60" s="9"/>
    </row>
    <row r="61" spans="1:27">
      <c r="A61" s="73"/>
      <c r="B61" s="43" t="s">
        <v>115</v>
      </c>
      <c r="C61" s="46" t="s">
        <v>128</v>
      </c>
      <c r="D61" s="46" t="s">
        <v>128</v>
      </c>
      <c r="E61" s="44"/>
      <c r="F61" s="47">
        <v>18500</v>
      </c>
      <c r="G61" s="48">
        <v>18750</v>
      </c>
      <c r="H61" s="48">
        <f t="shared" ref="H61:H65" si="15">G61-F61</f>
        <v>250</v>
      </c>
      <c r="I61" s="45" t="s">
        <v>182</v>
      </c>
      <c r="J61" s="68" t="s">
        <v>131</v>
      </c>
      <c r="K61" s="49">
        <v>41106</v>
      </c>
      <c r="L61" s="49">
        <v>41114</v>
      </c>
      <c r="M61" s="45" t="s">
        <v>124</v>
      </c>
      <c r="N61" s="45" t="s">
        <v>183</v>
      </c>
      <c r="O61" s="50"/>
      <c r="P61" s="51"/>
      <c r="Q61" s="50">
        <v>19720</v>
      </c>
      <c r="R61" s="69">
        <v>8500</v>
      </c>
      <c r="S61" s="70">
        <v>13.5</v>
      </c>
      <c r="T61" s="56">
        <f>W61*F61*0.005</f>
        <v>148.46866666666668</v>
      </c>
      <c r="U61" s="56"/>
      <c r="V61" s="50">
        <v>0.1</v>
      </c>
      <c r="W61" s="50">
        <f>IF(O61&gt;0,O61,((P61*2.2046*S61)+(Q61+R61)/G61)+V61)</f>
        <v>1.6050666666666669</v>
      </c>
      <c r="X61" s="50">
        <f t="shared" ref="X61:X64" si="16">IF(O61&gt;0,O61,((P61*2.2046*S61)+(Q61+R61+T61)/G61)+V61)</f>
        <v>1.6129849955555557</v>
      </c>
      <c r="Y61" s="50">
        <f t="shared" ref="Y61:Y65" si="17">W61*F61</f>
        <v>29693.733333333337</v>
      </c>
      <c r="Z61" s="54"/>
      <c r="AA61" s="9"/>
    </row>
    <row r="62" spans="1:27">
      <c r="A62" s="73"/>
      <c r="B62" s="43" t="s">
        <v>115</v>
      </c>
      <c r="C62" s="46" t="s">
        <v>128</v>
      </c>
      <c r="D62" s="46" t="s">
        <v>128</v>
      </c>
      <c r="E62" s="44"/>
      <c r="F62" s="47">
        <v>18500</v>
      </c>
      <c r="G62" s="48">
        <v>19000</v>
      </c>
      <c r="H62" s="48">
        <f t="shared" si="15"/>
        <v>500</v>
      </c>
      <c r="I62" s="45" t="s">
        <v>184</v>
      </c>
      <c r="J62" s="68" t="s">
        <v>131</v>
      </c>
      <c r="K62" s="49">
        <v>41106</v>
      </c>
      <c r="L62" s="49">
        <v>41114</v>
      </c>
      <c r="M62" s="45" t="s">
        <v>124</v>
      </c>
      <c r="N62" s="45" t="s">
        <v>183</v>
      </c>
      <c r="O62" s="50"/>
      <c r="P62" s="51"/>
      <c r="Q62" s="50">
        <v>19720</v>
      </c>
      <c r="R62" s="69">
        <v>8500</v>
      </c>
      <c r="S62" s="70">
        <v>13.5</v>
      </c>
      <c r="T62" s="56">
        <f>W62*F62*0.005</f>
        <v>146.63684210526318</v>
      </c>
      <c r="U62" s="56"/>
      <c r="V62" s="50">
        <v>0.1</v>
      </c>
      <c r="W62" s="50">
        <f>IF(O62&gt;0,O62,((P62*2.2046*S62)+(Q62+R62)/G62)+V62)</f>
        <v>1.5852631578947369</v>
      </c>
      <c r="X62" s="50">
        <f t="shared" si="16"/>
        <v>1.5929808864265931</v>
      </c>
      <c r="Y62" s="50">
        <f t="shared" si="17"/>
        <v>29327.368421052633</v>
      </c>
      <c r="Z62" s="54"/>
      <c r="AA62" s="9"/>
    </row>
    <row r="63" spans="1:27">
      <c r="A63" s="73"/>
      <c r="B63" s="43" t="s">
        <v>115</v>
      </c>
      <c r="C63" s="45" t="s">
        <v>116</v>
      </c>
      <c r="D63" s="46" t="s">
        <v>117</v>
      </c>
      <c r="E63" s="46"/>
      <c r="F63" s="47">
        <v>18500</v>
      </c>
      <c r="G63" s="48">
        <v>18500</v>
      </c>
      <c r="H63" s="48">
        <f t="shared" si="15"/>
        <v>0</v>
      </c>
      <c r="I63" s="45"/>
      <c r="J63" s="46"/>
      <c r="K63" s="49">
        <v>41106</v>
      </c>
      <c r="L63" s="49">
        <v>41115</v>
      </c>
      <c r="M63" s="45" t="s">
        <v>140</v>
      </c>
      <c r="N63" s="45" t="s">
        <v>185</v>
      </c>
      <c r="O63" s="50"/>
      <c r="P63" s="51"/>
      <c r="Q63" s="50"/>
      <c r="R63" s="50"/>
      <c r="S63" s="70">
        <v>13.5</v>
      </c>
      <c r="T63" s="50"/>
      <c r="U63" s="50"/>
      <c r="V63" s="50"/>
      <c r="W63" s="50">
        <f>((P63*2.2046*S63)+(Q63*S63)/G63)</f>
        <v>0</v>
      </c>
      <c r="X63" s="50">
        <f t="shared" si="16"/>
        <v>0</v>
      </c>
      <c r="Y63" s="50">
        <f t="shared" si="17"/>
        <v>0</v>
      </c>
      <c r="Z63" s="54"/>
      <c r="AA63" s="12"/>
    </row>
    <row r="64" spans="1:27">
      <c r="A64" s="73"/>
      <c r="B64" s="43" t="s">
        <v>141</v>
      </c>
      <c r="C64" s="46" t="s">
        <v>142</v>
      </c>
      <c r="D64" s="46" t="s">
        <v>143</v>
      </c>
      <c r="E64" s="46"/>
      <c r="F64" s="47">
        <v>18500</v>
      </c>
      <c r="G64" s="48">
        <v>18500</v>
      </c>
      <c r="H64" s="48">
        <f t="shared" si="15"/>
        <v>0</v>
      </c>
      <c r="I64" s="45"/>
      <c r="J64" s="46"/>
      <c r="K64" s="49">
        <v>41106</v>
      </c>
      <c r="L64" s="49">
        <v>41115</v>
      </c>
      <c r="M64" s="45" t="s">
        <v>140</v>
      </c>
      <c r="N64" s="45" t="s">
        <v>186</v>
      </c>
      <c r="O64" s="50"/>
      <c r="P64" s="71"/>
      <c r="Q64" s="50"/>
      <c r="R64" s="50"/>
      <c r="S64" s="52"/>
      <c r="T64" s="50"/>
      <c r="U64" s="50"/>
      <c r="V64" s="50"/>
      <c r="W64" s="50">
        <f>IF(O64&gt;0,O64,((P64*2.2046*S64)+(Q64+R64)/G64)+V64)</f>
        <v>0</v>
      </c>
      <c r="X64" s="50">
        <f t="shared" si="16"/>
        <v>0</v>
      </c>
      <c r="Y64" s="50">
        <f t="shared" si="17"/>
        <v>0</v>
      </c>
      <c r="Z64" s="54"/>
      <c r="AA64" s="12"/>
    </row>
    <row r="65" spans="1:27">
      <c r="A65" s="73"/>
      <c r="B65" s="43" t="s">
        <v>107</v>
      </c>
      <c r="C65" s="44" t="s">
        <v>108</v>
      </c>
      <c r="D65" s="44"/>
      <c r="E65" s="46">
        <v>250</v>
      </c>
      <c r="F65" s="47"/>
      <c r="G65" s="48"/>
      <c r="H65" s="48">
        <f t="shared" si="15"/>
        <v>0</v>
      </c>
      <c r="I65" s="45"/>
      <c r="J65" s="46"/>
      <c r="K65" s="49"/>
      <c r="L65" s="49">
        <v>41115</v>
      </c>
      <c r="M65" s="45" t="s">
        <v>140</v>
      </c>
      <c r="N65" s="46"/>
      <c r="O65" s="64"/>
      <c r="P65" s="51"/>
      <c r="Q65" s="50">
        <v>15000</v>
      </c>
      <c r="R65" s="50">
        <f>52.5*E65</f>
        <v>13125</v>
      </c>
      <c r="S65" s="52">
        <f>-35*E65</f>
        <v>-8750</v>
      </c>
      <c r="T65" s="4">
        <v>2500</v>
      </c>
      <c r="U65" s="50">
        <f>E65*5</f>
        <v>1250</v>
      </c>
      <c r="V65" s="46"/>
      <c r="W65" s="50" t="e">
        <f>((O65*F65)+Q65+R65+S65+U65)/G65</f>
        <v>#DIV/0!</v>
      </c>
      <c r="X65" s="50" t="e">
        <f>((O65*F65)+Q65+R65+S65+T65+U65)/G65</f>
        <v>#DIV/0!</v>
      </c>
      <c r="Y65" s="50" t="e">
        <f t="shared" si="17"/>
        <v>#DIV/0!</v>
      </c>
      <c r="Z65" s="54"/>
      <c r="AA65" s="12"/>
    </row>
    <row r="66" spans="1:27">
      <c r="A66" s="73"/>
      <c r="B66" s="55" t="s">
        <v>107</v>
      </c>
      <c r="C66" s="45" t="s">
        <v>121</v>
      </c>
      <c r="D66" s="44" t="s">
        <v>122</v>
      </c>
      <c r="E66" s="46">
        <v>240</v>
      </c>
      <c r="F66" s="47"/>
      <c r="G66" s="48"/>
      <c r="H66" s="48">
        <f>G66-F66</f>
        <v>0</v>
      </c>
      <c r="I66" s="45"/>
      <c r="J66" s="46"/>
      <c r="K66" s="49"/>
      <c r="L66" s="49">
        <v>41115</v>
      </c>
      <c r="M66" s="45" t="s">
        <v>140</v>
      </c>
      <c r="N66" s="46"/>
      <c r="O66" s="64"/>
      <c r="P66" s="51"/>
      <c r="Q66" s="50"/>
      <c r="R66" s="50"/>
      <c r="S66" s="52"/>
      <c r="T66" s="4"/>
      <c r="U66" s="50">
        <f>E66*5</f>
        <v>1200</v>
      </c>
      <c r="V66" s="50"/>
      <c r="W66" s="50" t="e">
        <f>IF(O66&gt;0,O66,((P66*2.2046*S66)+(Q66+R66)/G66)+V66)</f>
        <v>#DIV/0!</v>
      </c>
      <c r="X66" s="50" t="e">
        <f>IF(O66&gt;0,O66,((P66*2.2046*S66)+(Q66+R66+U66)/G66)+V66)</f>
        <v>#DIV/0!</v>
      </c>
      <c r="Y66" s="50" t="e">
        <f>W66*F66</f>
        <v>#DIV/0!</v>
      </c>
      <c r="Z66" s="54"/>
      <c r="AA66" s="9"/>
    </row>
    <row r="67" spans="1:27">
      <c r="A67" s="73"/>
      <c r="B67" s="43" t="s">
        <v>107</v>
      </c>
      <c r="C67" s="44" t="s">
        <v>108</v>
      </c>
      <c r="D67" s="44"/>
      <c r="E67" s="46">
        <v>250</v>
      </c>
      <c r="F67" s="47"/>
      <c r="G67" s="48"/>
      <c r="H67" s="48">
        <f t="shared" ref="H67:H68" si="18">G67-F67</f>
        <v>0</v>
      </c>
      <c r="I67" s="45"/>
      <c r="J67" s="46"/>
      <c r="K67" s="49"/>
      <c r="L67" s="49">
        <v>41116</v>
      </c>
      <c r="M67" s="45" t="s">
        <v>149</v>
      </c>
      <c r="N67" s="46"/>
      <c r="O67" s="64"/>
      <c r="P67" s="51"/>
      <c r="Q67" s="50">
        <v>15000</v>
      </c>
      <c r="R67" s="50">
        <f>52.5*E67</f>
        <v>13125</v>
      </c>
      <c r="S67" s="52">
        <f>-35*E67</f>
        <v>-8750</v>
      </c>
      <c r="T67" s="4">
        <v>2500</v>
      </c>
      <c r="U67" s="50">
        <f>E67*5</f>
        <v>1250</v>
      </c>
      <c r="V67" s="46"/>
      <c r="W67" s="50" t="e">
        <f>((O67*F67)+Q67+R67+S67+U67)/G67</f>
        <v>#DIV/0!</v>
      </c>
      <c r="X67" s="50" t="e">
        <f>((O67*F67)+Q67+R67+S67+T67+U67)/G67</f>
        <v>#DIV/0!</v>
      </c>
      <c r="Y67" s="50" t="e">
        <f t="shared" ref="Y67:Y68" si="19">W67*F67</f>
        <v>#DIV/0!</v>
      </c>
      <c r="Z67" s="54"/>
      <c r="AA67" s="12"/>
    </row>
    <row r="68" spans="1:27">
      <c r="A68" s="73"/>
      <c r="B68" s="43"/>
      <c r="C68" s="44"/>
      <c r="D68" s="44"/>
      <c r="E68" s="46"/>
      <c r="F68" s="47"/>
      <c r="G68" s="48"/>
      <c r="H68" s="48">
        <f t="shared" si="18"/>
        <v>0</v>
      </c>
      <c r="I68" s="45"/>
      <c r="J68" s="46"/>
      <c r="K68" s="49"/>
      <c r="L68" s="49"/>
      <c r="M68" s="45"/>
      <c r="N68" s="46"/>
      <c r="O68" s="50"/>
      <c r="P68" s="51"/>
      <c r="Q68" s="50"/>
      <c r="R68" s="50"/>
      <c r="S68" s="52"/>
      <c r="U68" s="50"/>
      <c r="V68" s="50"/>
      <c r="W68" s="50" t="e">
        <f>IF(O68&gt;0,O68,((P68*2.2046*S68)+(Q68+R68)/G68)+V68)</f>
        <v>#DIV/0!</v>
      </c>
      <c r="X68" s="50" t="e">
        <f>IF(O68&gt;0,O68,((P68*2.2046*S68)+(Q68+R68+U68)/G68)+V68)</f>
        <v>#DIV/0!</v>
      </c>
      <c r="Y68" s="50" t="e">
        <f t="shared" si="19"/>
        <v>#DIV/0!</v>
      </c>
      <c r="Z68" s="54"/>
      <c r="AA68" s="12"/>
    </row>
    <row r="69" spans="1:27">
      <c r="A69" s="73"/>
      <c r="B69" s="55" t="s">
        <v>107</v>
      </c>
      <c r="C69" s="45" t="s">
        <v>121</v>
      </c>
      <c r="D69" s="44" t="s">
        <v>122</v>
      </c>
      <c r="E69" s="46">
        <v>240</v>
      </c>
      <c r="F69" s="47"/>
      <c r="G69" s="48"/>
      <c r="H69" s="48">
        <f>G69-F69</f>
        <v>0</v>
      </c>
      <c r="I69" s="45"/>
      <c r="J69" s="46"/>
      <c r="K69" s="49"/>
      <c r="L69" s="49">
        <v>41117</v>
      </c>
      <c r="M69" s="45" t="s">
        <v>151</v>
      </c>
      <c r="N69" s="46"/>
      <c r="O69" s="64"/>
      <c r="P69" s="51"/>
      <c r="Q69" s="50"/>
      <c r="R69" s="50"/>
      <c r="S69" s="52"/>
      <c r="U69" s="50">
        <f>E69*5</f>
        <v>1200</v>
      </c>
      <c r="V69" s="50"/>
      <c r="W69" s="50" t="e">
        <f>IF(O69&gt;0,O69,((P69*2.2046*S69)+(Q69+R69)/G69)+V69)</f>
        <v>#DIV/0!</v>
      </c>
      <c r="X69" s="50" t="e">
        <f>IF(O69&gt;0,O69,((P69*2.2046*S69)+(Q69+R69+U69)/G69)+V69)</f>
        <v>#DIV/0!</v>
      </c>
      <c r="Y69" s="50" t="e">
        <f>W69*F69</f>
        <v>#DIV/0!</v>
      </c>
      <c r="Z69" s="54"/>
      <c r="AA69" s="9"/>
    </row>
    <row r="70" spans="1:27" ht="15.75" thickBot="1">
      <c r="A70" s="74"/>
      <c r="B70" s="60"/>
      <c r="C70" s="36"/>
      <c r="D70" s="36"/>
      <c r="E70" s="36"/>
      <c r="F70" s="37"/>
      <c r="G70" s="37"/>
      <c r="H70" s="37"/>
      <c r="I70" s="38"/>
      <c r="J70" s="36"/>
      <c r="K70" s="39"/>
      <c r="L70" s="39"/>
      <c r="M70" s="36"/>
      <c r="N70" s="36"/>
      <c r="O70" s="40"/>
      <c r="P70" s="41"/>
      <c r="Q70" s="40"/>
      <c r="R70" s="40"/>
      <c r="S70" s="40"/>
      <c r="T70" s="40"/>
      <c r="U70" s="40"/>
      <c r="V70" s="40"/>
      <c r="W70" s="40"/>
      <c r="X70" s="40"/>
      <c r="Y70" s="40"/>
      <c r="Z70" s="61"/>
      <c r="AA70" s="9"/>
    </row>
  </sheetData>
  <mergeCells count="1">
    <mergeCell ref="A6:A23"/>
  </mergeCells>
  <pageMargins left="0.55118110236220474" right="0.15748031496062992" top="0.39370078740157483" bottom="0.55118110236220474" header="0.31496062992125984" footer="0.31496062992125984"/>
  <pageSetup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</vt:lpstr>
      <vt:lpstr>COMPRAS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Adriana</cp:lastModifiedBy>
  <cp:lastPrinted>2012-07-16T14:26:26Z</cp:lastPrinted>
  <dcterms:created xsi:type="dcterms:W3CDTF">2012-07-14T23:15:29Z</dcterms:created>
  <dcterms:modified xsi:type="dcterms:W3CDTF">2012-07-16T14:33:33Z</dcterms:modified>
</cp:coreProperties>
</file>