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15195" windowHeight="7425" firstSheet="2" activeTab="7"/>
  </bookViews>
  <sheets>
    <sheet name="Deuda 31 dic" sheetId="8" r:id="rId1"/>
    <sheet name="compras dic 10" sheetId="7" r:id="rId2"/>
    <sheet name="Alm gral" sheetId="1" r:id="rId3"/>
    <sheet name="comp alm gral" sheetId="2" r:id="rId4"/>
    <sheet name="11 sur" sheetId="5" r:id="rId5"/>
    <sheet name="herradura" sheetId="3" r:id="rId6"/>
    <sheet name="congelados" sheetId="6" r:id="rId7"/>
    <sheet name="obrador" sheetId="4" r:id="rId8"/>
  </sheets>
  <externalReferences>
    <externalReference r:id="rId9"/>
  </externalReferences>
  <calcPr calcId="124519"/>
</workbook>
</file>

<file path=xl/calcChain.xml><?xml version="1.0" encoding="utf-8"?>
<calcChain xmlns="http://schemas.openxmlformats.org/spreadsheetml/2006/main">
  <c r="B74" i="4"/>
  <c r="E74"/>
  <c r="E75"/>
  <c r="E76"/>
  <c r="E77"/>
  <c r="E78"/>
  <c r="B79"/>
  <c r="E79"/>
  <c r="E80"/>
  <c r="B81"/>
  <c r="E81"/>
  <c r="E82"/>
  <c r="E83"/>
  <c r="B84"/>
  <c r="E84"/>
  <c r="B85"/>
  <c r="E85"/>
  <c r="B86"/>
  <c r="E86"/>
  <c r="B87"/>
  <c r="E87"/>
  <c r="E88"/>
  <c r="B89"/>
  <c r="E89"/>
  <c r="E90"/>
  <c r="E92"/>
  <c r="E66"/>
  <c r="E67"/>
  <c r="B59"/>
  <c r="E59"/>
  <c r="E60"/>
  <c r="E61"/>
  <c r="E62"/>
  <c r="E63"/>
  <c r="E69"/>
  <c r="B18"/>
  <c r="E18"/>
  <c r="E19"/>
  <c r="B20"/>
  <c r="E20"/>
  <c r="E21"/>
  <c r="B22"/>
  <c r="E22"/>
  <c r="E23"/>
  <c r="E24"/>
  <c r="B25"/>
  <c r="E25"/>
  <c r="B26"/>
  <c r="E26"/>
  <c r="B27"/>
  <c r="E27"/>
  <c r="B28"/>
  <c r="E28"/>
  <c r="E29"/>
  <c r="E30"/>
  <c r="B31"/>
  <c r="E31"/>
  <c r="E32"/>
  <c r="B33"/>
  <c r="E33"/>
  <c r="E34"/>
  <c r="B35"/>
  <c r="E35"/>
  <c r="B36"/>
  <c r="E36"/>
  <c r="B37"/>
  <c r="E37"/>
  <c r="B38"/>
  <c r="E38"/>
  <c r="B39"/>
  <c r="E39"/>
  <c r="E40"/>
  <c r="B41"/>
  <c r="E41"/>
  <c r="B42"/>
  <c r="E42"/>
  <c r="B43"/>
  <c r="E43"/>
  <c r="B44"/>
  <c r="E44"/>
  <c r="E45"/>
  <c r="E46"/>
  <c r="E47"/>
  <c r="E48"/>
  <c r="E49"/>
  <c r="E50"/>
  <c r="B51"/>
  <c r="E51"/>
  <c r="E52"/>
  <c r="E10"/>
  <c r="B11"/>
  <c r="E11"/>
  <c r="E12"/>
  <c r="E13"/>
  <c r="E54"/>
  <c r="E96"/>
  <c r="E97"/>
  <c r="B98"/>
  <c r="E98"/>
  <c r="E99"/>
  <c r="E101"/>
  <c r="E104"/>
  <c r="B90"/>
  <c r="E17"/>
  <c r="E16"/>
  <c r="E6" i="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B53"/>
  <c r="E53"/>
  <c r="E54"/>
  <c r="E55"/>
  <c r="E56"/>
  <c r="E57"/>
  <c r="E58"/>
  <c r="E59"/>
  <c r="E60"/>
  <c r="E61"/>
  <c r="E62"/>
  <c r="E63"/>
  <c r="E64"/>
  <c r="E65"/>
  <c r="E66"/>
  <c r="E67"/>
  <c r="E68"/>
  <c r="E69"/>
  <c r="E72"/>
  <c r="E73"/>
  <c r="E74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8"/>
  <c r="E129"/>
  <c r="E130"/>
  <c r="E131"/>
  <c r="E132"/>
  <c r="E133"/>
  <c r="E134"/>
  <c r="E135"/>
  <c r="E136"/>
  <c r="E137"/>
  <c r="E138"/>
  <c r="E139"/>
  <c r="E144"/>
  <c r="B144"/>
  <c r="C44" i="8"/>
  <c r="C43"/>
  <c r="C9"/>
  <c r="C10"/>
  <c r="C12"/>
  <c r="C13"/>
  <c r="C14"/>
  <c r="C39"/>
  <c r="C38"/>
  <c r="C48"/>
  <c r="C72"/>
  <c r="D66"/>
  <c r="D65"/>
  <c r="D64"/>
  <c r="D62"/>
  <c r="D60"/>
  <c r="D59"/>
  <c r="D58"/>
  <c r="D56"/>
  <c r="D55"/>
  <c r="D54"/>
  <c r="D49"/>
  <c r="D50"/>
  <c r="C41"/>
  <c r="C37"/>
  <c r="C36"/>
  <c r="C30"/>
  <c r="C27"/>
  <c r="C26"/>
  <c r="C22"/>
  <c r="C6"/>
  <c r="C4"/>
  <c r="U108" i="7"/>
  <c r="V108"/>
  <c r="H108"/>
  <c r="U107"/>
  <c r="V107"/>
  <c r="H107"/>
  <c r="U106"/>
  <c r="V106"/>
  <c r="H106"/>
  <c r="U105"/>
  <c r="V105"/>
  <c r="H105"/>
  <c r="U104"/>
  <c r="F104"/>
  <c r="V104"/>
  <c r="H104"/>
  <c r="U103"/>
  <c r="V103"/>
  <c r="H103"/>
  <c r="U102"/>
  <c r="V102"/>
  <c r="H102"/>
  <c r="U101"/>
  <c r="V101"/>
  <c r="H101"/>
  <c r="U100"/>
  <c r="V100"/>
  <c r="H100"/>
  <c r="F99"/>
  <c r="U99"/>
  <c r="V99"/>
  <c r="H99"/>
  <c r="U98"/>
  <c r="V98"/>
  <c r="H98"/>
  <c r="U97"/>
  <c r="V97"/>
  <c r="H97"/>
  <c r="F96"/>
  <c r="U96"/>
  <c r="V96"/>
  <c r="H96"/>
  <c r="U95"/>
  <c r="V95"/>
  <c r="H95"/>
  <c r="U94"/>
  <c r="V94"/>
  <c r="H94"/>
  <c r="U93"/>
  <c r="F93"/>
  <c r="V93"/>
  <c r="H93"/>
  <c r="U92"/>
  <c r="F92"/>
  <c r="V92"/>
  <c r="H92"/>
  <c r="U91"/>
  <c r="V91"/>
  <c r="H91"/>
  <c r="U90"/>
  <c r="V90"/>
  <c r="H90"/>
  <c r="U89"/>
  <c r="V89"/>
  <c r="H89"/>
  <c r="U87"/>
  <c r="V87"/>
  <c r="H87"/>
  <c r="U86"/>
  <c r="V86"/>
  <c r="H86"/>
  <c r="F85"/>
  <c r="U85"/>
  <c r="V85"/>
  <c r="H85"/>
  <c r="U84"/>
  <c r="V84"/>
  <c r="H84"/>
  <c r="U83"/>
  <c r="V83"/>
  <c r="H83"/>
  <c r="U82"/>
  <c r="V82"/>
  <c r="H82"/>
  <c r="U81"/>
  <c r="V81"/>
  <c r="H81"/>
  <c r="U80"/>
  <c r="V80"/>
  <c r="H80"/>
  <c r="F79"/>
  <c r="U79"/>
  <c r="V79"/>
  <c r="H79"/>
  <c r="F78"/>
  <c r="U78"/>
  <c r="V78"/>
  <c r="H78"/>
  <c r="U77"/>
  <c r="V77"/>
  <c r="H77"/>
  <c r="F76"/>
  <c r="U76"/>
  <c r="V76"/>
  <c r="H76"/>
  <c r="U75"/>
  <c r="V75"/>
  <c r="H75"/>
  <c r="U74"/>
  <c r="V74"/>
  <c r="H74"/>
  <c r="U73"/>
  <c r="V73"/>
  <c r="H73"/>
  <c r="U72"/>
  <c r="V72"/>
  <c r="H72"/>
  <c r="U71"/>
  <c r="V71"/>
  <c r="H71"/>
  <c r="U70"/>
  <c r="V70"/>
  <c r="H70"/>
  <c r="U69"/>
  <c r="V69"/>
  <c r="H69"/>
  <c r="U68"/>
  <c r="V68"/>
  <c r="H68"/>
  <c r="U67"/>
  <c r="V67"/>
  <c r="H67"/>
  <c r="U66"/>
  <c r="V66"/>
  <c r="H66"/>
  <c r="U64"/>
  <c r="V64"/>
  <c r="H64"/>
  <c r="U63"/>
  <c r="V63"/>
  <c r="H63"/>
  <c r="U62"/>
  <c r="V62"/>
  <c r="H62"/>
  <c r="F61"/>
  <c r="U61"/>
  <c r="V61"/>
  <c r="H61"/>
  <c r="U60"/>
  <c r="V60"/>
  <c r="H60"/>
  <c r="U59"/>
  <c r="V59"/>
  <c r="H59"/>
  <c r="F58"/>
  <c r="U58"/>
  <c r="V58"/>
  <c r="H58"/>
  <c r="U57"/>
  <c r="F57"/>
  <c r="V57"/>
  <c r="H57"/>
  <c r="F56"/>
  <c r="U56"/>
  <c r="V56"/>
  <c r="H56"/>
  <c r="U55"/>
  <c r="V55"/>
  <c r="H55"/>
  <c r="U54"/>
  <c r="V54"/>
  <c r="H54"/>
  <c r="U53"/>
  <c r="V53"/>
  <c r="H53"/>
  <c r="U52"/>
  <c r="V52"/>
  <c r="H52"/>
  <c r="F51"/>
  <c r="U51"/>
  <c r="V51"/>
  <c r="H51"/>
  <c r="U50"/>
  <c r="V50"/>
  <c r="H50"/>
  <c r="U49"/>
  <c r="F49"/>
  <c r="V49"/>
  <c r="H49"/>
  <c r="U48"/>
  <c r="V48"/>
  <c r="H48"/>
  <c r="U47"/>
  <c r="V47"/>
  <c r="H47"/>
  <c r="U46"/>
  <c r="V46"/>
  <c r="H46"/>
  <c r="U45"/>
  <c r="V45"/>
  <c r="H45"/>
  <c r="U43"/>
  <c r="V43"/>
  <c r="H43"/>
  <c r="U42"/>
  <c r="V42"/>
  <c r="H42"/>
  <c r="U41"/>
  <c r="F41"/>
  <c r="V41"/>
  <c r="H41"/>
  <c r="F40"/>
  <c r="U40"/>
  <c r="V40"/>
  <c r="H40"/>
  <c r="U39"/>
  <c r="V39"/>
  <c r="H39"/>
  <c r="U38"/>
  <c r="V38"/>
  <c r="H38"/>
  <c r="U37"/>
  <c r="V37"/>
  <c r="H37"/>
  <c r="U36"/>
  <c r="V36"/>
  <c r="H36"/>
  <c r="U35"/>
  <c r="V35"/>
  <c r="H35"/>
  <c r="U34"/>
  <c r="V34"/>
  <c r="H34"/>
  <c r="U33"/>
  <c r="V33"/>
  <c r="H33"/>
  <c r="U32"/>
  <c r="V32"/>
  <c r="H32"/>
  <c r="U31"/>
  <c r="F31"/>
  <c r="V31"/>
  <c r="H31"/>
  <c r="U30"/>
  <c r="V30"/>
  <c r="H30"/>
  <c r="U29"/>
  <c r="V29"/>
  <c r="H29"/>
  <c r="U28"/>
  <c r="V28"/>
  <c r="H28"/>
  <c r="U27"/>
  <c r="V27"/>
  <c r="H27"/>
  <c r="F26"/>
  <c r="U26"/>
  <c r="V26"/>
  <c r="H26"/>
  <c r="U25"/>
  <c r="V25"/>
  <c r="H25"/>
  <c r="F24"/>
  <c r="U24"/>
  <c r="V24"/>
  <c r="H24"/>
  <c r="U23"/>
  <c r="V23"/>
  <c r="H23"/>
  <c r="U22"/>
  <c r="V22"/>
  <c r="H22"/>
  <c r="U21"/>
  <c r="V21"/>
  <c r="H21"/>
  <c r="U20"/>
  <c r="F20"/>
  <c r="V20"/>
  <c r="H20"/>
  <c r="U19"/>
  <c r="V19"/>
  <c r="H19"/>
  <c r="U18"/>
  <c r="V18"/>
  <c r="H18"/>
  <c r="U16"/>
  <c r="V16"/>
  <c r="H16"/>
  <c r="U15"/>
  <c r="V15"/>
  <c r="H15"/>
  <c r="U14"/>
  <c r="V14"/>
  <c r="H14"/>
  <c r="U13"/>
  <c r="V13"/>
  <c r="H13"/>
  <c r="F12"/>
  <c r="U12"/>
  <c r="V12"/>
  <c r="H12"/>
  <c r="U11"/>
  <c r="V11"/>
  <c r="H11"/>
  <c r="U10"/>
  <c r="F10"/>
  <c r="V10"/>
  <c r="H10"/>
  <c r="U9"/>
  <c r="V9"/>
  <c r="H9"/>
  <c r="U8"/>
  <c r="V8"/>
  <c r="H8"/>
  <c r="U7"/>
  <c r="V7"/>
  <c r="H7"/>
  <c r="F6"/>
  <c r="U6"/>
  <c r="V6"/>
  <c r="H6"/>
  <c r="F5"/>
  <c r="U5"/>
  <c r="V5"/>
  <c r="H5"/>
  <c r="E10" i="3"/>
  <c r="E11"/>
  <c r="B12"/>
  <c r="E12"/>
  <c r="E13"/>
  <c r="E14"/>
  <c r="E15"/>
  <c r="E16"/>
  <c r="E17"/>
  <c r="E18"/>
  <c r="B19"/>
  <c r="E19"/>
  <c r="E20"/>
  <c r="E21"/>
  <c r="E22"/>
  <c r="E23"/>
  <c r="E24"/>
  <c r="E25"/>
  <c r="E26"/>
  <c r="E27"/>
  <c r="B28"/>
  <c r="E28"/>
  <c r="E29"/>
  <c r="B30"/>
  <c r="E30"/>
  <c r="E31"/>
  <c r="E32"/>
  <c r="E33"/>
  <c r="E34"/>
  <c r="E35"/>
  <c r="E36"/>
  <c r="E37"/>
  <c r="B38"/>
  <c r="E38"/>
  <c r="E39"/>
  <c r="B40"/>
  <c r="E40"/>
  <c r="E41"/>
  <c r="E42"/>
  <c r="E43"/>
  <c r="E44"/>
  <c r="E45"/>
  <c r="B46"/>
  <c r="E46"/>
  <c r="B47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3"/>
  <c r="E74"/>
  <c r="E75"/>
  <c r="E78"/>
  <c r="E79"/>
  <c r="E80"/>
  <c r="E81"/>
  <c r="E82"/>
  <c r="E83"/>
  <c r="E84"/>
  <c r="E85"/>
  <c r="E86"/>
  <c r="E87"/>
  <c r="B88"/>
  <c r="E88"/>
  <c r="E89"/>
  <c r="E90"/>
  <c r="E91"/>
  <c r="E92"/>
  <c r="E93"/>
  <c r="E94"/>
  <c r="E95"/>
  <c r="E96"/>
  <c r="E97"/>
  <c r="E98"/>
  <c r="E99"/>
  <c r="E100"/>
  <c r="E101"/>
  <c r="E102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9"/>
  <c r="E130"/>
  <c r="E131"/>
  <c r="E132"/>
  <c r="E133"/>
  <c r="E134"/>
  <c r="E135"/>
  <c r="E136"/>
  <c r="E137"/>
  <c r="E138"/>
  <c r="E140"/>
  <c r="E143"/>
  <c r="B67"/>
  <c r="B143"/>
  <c r="B46" i="6"/>
  <c r="E46"/>
  <c r="E47"/>
  <c r="E48"/>
  <c r="E49"/>
  <c r="B50"/>
  <c r="E50"/>
  <c r="B51"/>
  <c r="E51"/>
  <c r="B52"/>
  <c r="E52"/>
  <c r="B53"/>
  <c r="E53"/>
  <c r="B54"/>
  <c r="E54"/>
  <c r="B55"/>
  <c r="E55"/>
  <c r="E56"/>
  <c r="E57"/>
  <c r="E58"/>
  <c r="B59"/>
  <c r="E59"/>
  <c r="B60"/>
  <c r="E60"/>
  <c r="B61"/>
  <c r="E61"/>
  <c r="B62"/>
  <c r="E62"/>
  <c r="B63"/>
  <c r="E63"/>
  <c r="B64"/>
  <c r="E64"/>
  <c r="E65"/>
  <c r="E66"/>
  <c r="E68"/>
  <c r="E10"/>
  <c r="E11"/>
  <c r="E12"/>
  <c r="E13"/>
  <c r="E14"/>
  <c r="E15"/>
  <c r="E16"/>
  <c r="E17"/>
  <c r="B18"/>
  <c r="E18"/>
  <c r="E19"/>
  <c r="B20"/>
  <c r="E20"/>
  <c r="B21"/>
  <c r="E21"/>
  <c r="E22"/>
  <c r="E23"/>
  <c r="B24"/>
  <c r="E24"/>
  <c r="E25"/>
  <c r="E26"/>
  <c r="B27"/>
  <c r="E27"/>
  <c r="E28"/>
  <c r="E29"/>
  <c r="E30"/>
  <c r="E31"/>
  <c r="E32"/>
  <c r="E33"/>
  <c r="E34"/>
  <c r="E35"/>
  <c r="E36"/>
  <c r="E37"/>
  <c r="E38"/>
  <c r="E39"/>
  <c r="E41"/>
  <c r="E71"/>
  <c r="B65"/>
  <c r="C10" i="1"/>
  <c r="F10"/>
  <c r="F11"/>
  <c r="F12"/>
  <c r="C13"/>
  <c r="F13"/>
  <c r="F14"/>
  <c r="C15"/>
  <c r="F15"/>
  <c r="F16"/>
  <c r="C17"/>
  <c r="F17"/>
  <c r="C18"/>
  <c r="F18"/>
  <c r="F19"/>
  <c r="F20"/>
  <c r="C21"/>
  <c r="F21"/>
  <c r="C22"/>
  <c r="F22"/>
  <c r="F24"/>
  <c r="D24"/>
  <c r="C24"/>
  <c r="G22"/>
  <c r="G21"/>
  <c r="G14"/>
  <c r="G10"/>
  <c r="J10" i="2"/>
  <c r="J11"/>
  <c r="J12"/>
  <c r="J13"/>
  <c r="J14"/>
  <c r="J15"/>
  <c r="J16"/>
  <c r="J17"/>
  <c r="J18"/>
  <c r="J19"/>
  <c r="J20"/>
  <c r="J21"/>
  <c r="J22"/>
  <c r="J23"/>
  <c r="J25"/>
  <c r="D10"/>
  <c r="H10"/>
  <c r="D11"/>
  <c r="H11"/>
  <c r="D12"/>
  <c r="H12"/>
  <c r="D13"/>
  <c r="H13"/>
  <c r="D14"/>
  <c r="H14"/>
  <c r="D15"/>
  <c r="H15"/>
  <c r="D16"/>
  <c r="H16"/>
  <c r="D17"/>
  <c r="H17"/>
  <c r="D18"/>
  <c r="H18"/>
  <c r="D19"/>
  <c r="H19"/>
  <c r="D20"/>
  <c r="H20"/>
  <c r="D21"/>
  <c r="H21"/>
  <c r="D22"/>
  <c r="H22"/>
  <c r="D23"/>
  <c r="H23"/>
  <c r="H25"/>
  <c r="C10"/>
  <c r="G10"/>
  <c r="C11"/>
  <c r="G11"/>
  <c r="C12"/>
  <c r="G12"/>
  <c r="C13"/>
  <c r="G13"/>
  <c r="C14"/>
  <c r="G14"/>
  <c r="C15"/>
  <c r="G15"/>
  <c r="C16"/>
  <c r="G16"/>
  <c r="C17"/>
  <c r="G17"/>
  <c r="C18"/>
  <c r="G18"/>
  <c r="C19"/>
  <c r="G19"/>
  <c r="C20"/>
  <c r="G20"/>
  <c r="C21"/>
  <c r="G21"/>
  <c r="C22"/>
  <c r="G22"/>
  <c r="C23"/>
  <c r="G23"/>
  <c r="G25"/>
  <c r="F25"/>
  <c r="E25"/>
  <c r="D25"/>
  <c r="C25"/>
  <c r="K23"/>
  <c r="A23"/>
  <c r="K22"/>
  <c r="A22"/>
  <c r="K21"/>
  <c r="A21"/>
  <c r="K20"/>
  <c r="A20"/>
  <c r="K19"/>
  <c r="A19"/>
  <c r="K18"/>
  <c r="A18"/>
  <c r="K17"/>
  <c r="A17"/>
  <c r="K16"/>
  <c r="A16"/>
  <c r="K15"/>
  <c r="A15"/>
  <c r="K14"/>
  <c r="A14"/>
  <c r="K13"/>
  <c r="A13"/>
  <c r="K12"/>
  <c r="A12"/>
  <c r="K11"/>
  <c r="A11"/>
  <c r="K10"/>
  <c r="A10"/>
</calcChain>
</file>

<file path=xl/sharedStrings.xml><?xml version="1.0" encoding="utf-8"?>
<sst xmlns="http://schemas.openxmlformats.org/spreadsheetml/2006/main" count="1317" uniqueCount="577">
  <si>
    <t>ALMACEN CENTRAL CONGELADOS</t>
  </si>
  <si>
    <t xml:space="preserve">INVENTARIO GENERAL </t>
  </si>
  <si>
    <t>DIA</t>
  </si>
  <si>
    <t>real</t>
  </si>
  <si>
    <t>PRODUCTO</t>
  </si>
  <si>
    <t xml:space="preserve">CANTIDAD </t>
  </si>
  <si>
    <t>UD</t>
  </si>
  <si>
    <t>$ COMPRA</t>
  </si>
  <si>
    <t>TOTAL</t>
  </si>
  <si>
    <t>$ traspaso</t>
  </si>
  <si>
    <t>BUCHE MAPLE</t>
  </si>
  <si>
    <t>Para todos</t>
  </si>
  <si>
    <t>MENUDO EXCEL</t>
  </si>
  <si>
    <t>precio</t>
  </si>
  <si>
    <t>CORBATA FARMLAND chica</t>
  </si>
  <si>
    <t>CUERO SIN GRASA FARMLAND</t>
  </si>
  <si>
    <t>SESOS DE COPA FARMLAND</t>
  </si>
  <si>
    <t>SESOS DE MARQUETA FARMLAND</t>
  </si>
  <si>
    <t>fecha</t>
  </si>
  <si>
    <t>Kg</t>
  </si>
  <si>
    <t>piezas</t>
  </si>
  <si>
    <t>$</t>
  </si>
  <si>
    <t>Codillo</t>
  </si>
  <si>
    <t>Chuleta natural</t>
  </si>
  <si>
    <t>Corbata Curlys</t>
  </si>
  <si>
    <t>Cuero de pierna</t>
  </si>
  <si>
    <t>Manteca</t>
  </si>
  <si>
    <t>Papada</t>
  </si>
  <si>
    <t>Pierna con cuero</t>
  </si>
  <si>
    <t>Sesos de marqueta</t>
  </si>
  <si>
    <t>Filete de pescado BASA</t>
  </si>
  <si>
    <t>Chuleta ahumada</t>
  </si>
  <si>
    <t>INVENTARIO COMERCIO</t>
  </si>
  <si>
    <t>CERDO MAYOREO Y CORTES</t>
  </si>
  <si>
    <t>VALOR $</t>
  </si>
  <si>
    <t>Cabeza de puerco</t>
  </si>
  <si>
    <t>Combos de Pierna Premium</t>
  </si>
  <si>
    <t>Espaldilla s/h</t>
  </si>
  <si>
    <t xml:space="preserve">Grasa </t>
  </si>
  <si>
    <t>Jamon sin hueso con grasa</t>
  </si>
  <si>
    <t>Jamon sin hueso limpio</t>
  </si>
  <si>
    <t>Jamon sin hueso c 1/2 grasa</t>
  </si>
  <si>
    <t>Jamon con hueso limpio</t>
  </si>
  <si>
    <t>Manitas</t>
  </si>
  <si>
    <t>Pechos</t>
  </si>
  <si>
    <t>TOTAL CERDO</t>
  </si>
  <si>
    <t>CONGELADO</t>
  </si>
  <si>
    <t>cajas</t>
  </si>
  <si>
    <t>Buche  Maple</t>
  </si>
  <si>
    <t>Cabeza de cerdo Premium</t>
  </si>
  <si>
    <t>Caña de lomo</t>
  </si>
  <si>
    <t>Carnero</t>
  </si>
  <si>
    <t>Corbata Farmland chica</t>
  </si>
  <si>
    <t>Corbata Farmland grande</t>
  </si>
  <si>
    <t>Cuero papel Farmland</t>
  </si>
  <si>
    <t>Cuero papel granel Seaboard</t>
  </si>
  <si>
    <t>Espaldilla de Cordero T</t>
  </si>
  <si>
    <t>Espaldilla de carnero Taylor</t>
  </si>
  <si>
    <t>Lengua de cerdo Swift</t>
  </si>
  <si>
    <t>Menudo Excel</t>
  </si>
  <si>
    <t>Menudo IBP</t>
  </si>
  <si>
    <t>Patita Farmland</t>
  </si>
  <si>
    <t>Sesos en copa Farmland</t>
  </si>
  <si>
    <t>Tripas</t>
  </si>
  <si>
    <t>TOTAL CONGELADO</t>
  </si>
  <si>
    <t>TOTAL COMERCIO</t>
  </si>
  <si>
    <t>teorico</t>
  </si>
  <si>
    <t>diferencia</t>
  </si>
  <si>
    <t>37CIC</t>
  </si>
  <si>
    <t>29.5 11SUR</t>
  </si>
  <si>
    <t>33 CIC</t>
  </si>
  <si>
    <t>16.00 CIC</t>
  </si>
  <si>
    <t>CABEZA DE LOMO SEABOARD COMBOS</t>
  </si>
  <si>
    <t>CONTRA (GOOSENECK) SWIFT</t>
  </si>
  <si>
    <t>CORBATA SWIFT</t>
  </si>
  <si>
    <t>CARNERO EN CANAL</t>
  </si>
  <si>
    <t>FILETE DE PESCADO BASA</t>
  </si>
  <si>
    <t>PAVO CRUDO</t>
  </si>
  <si>
    <t>PERNIL CON PIEL  SEABOARD</t>
  </si>
  <si>
    <t>Cabeza de lomo c/hueso Maple</t>
  </si>
  <si>
    <t>Cabeza de lomo s/hueso Maple</t>
  </si>
  <si>
    <t>Cabeza de lomo fresco</t>
  </si>
  <si>
    <t>Capote</t>
  </si>
  <si>
    <t>Combos de Pierna Smithfield</t>
  </si>
  <si>
    <t>Cuero Papel de combo</t>
  </si>
  <si>
    <t>Descarne</t>
  </si>
  <si>
    <t>Espaldilla c/h</t>
  </si>
  <si>
    <t>Espinazo</t>
  </si>
  <si>
    <t>Sancocho</t>
  </si>
  <si>
    <t>Chcharron prensado</t>
  </si>
  <si>
    <t>Menudo de carnero</t>
  </si>
  <si>
    <t>Contra Swift</t>
  </si>
  <si>
    <t>Corbata Swift</t>
  </si>
  <si>
    <t>INVENTARIO HERRADURA</t>
  </si>
  <si>
    <t>CARNES</t>
  </si>
  <si>
    <t>TOTAL $</t>
  </si>
  <si>
    <t>1/2 res</t>
  </si>
  <si>
    <t>Arrachera</t>
  </si>
  <si>
    <t>Buche</t>
  </si>
  <si>
    <t>Bistek de cerdo</t>
  </si>
  <si>
    <t>Cabeza de cerdo</t>
  </si>
  <si>
    <t>Cabeza de lomo</t>
  </si>
  <si>
    <t>Canales de cerdo</t>
  </si>
  <si>
    <t>Capotes</t>
  </si>
  <si>
    <t>Cecina</t>
  </si>
  <si>
    <t xml:space="preserve">Contra </t>
  </si>
  <si>
    <t>Corbata Farmland</t>
  </si>
  <si>
    <t>Costilla de cerdo</t>
  </si>
  <si>
    <t>Cuero entero</t>
  </si>
  <si>
    <t>Cuero sin grasa</t>
  </si>
  <si>
    <t>Descarne de cerdo</t>
  </si>
  <si>
    <t>Delantero de res</t>
  </si>
  <si>
    <t>Espaldilla de Cordero</t>
  </si>
  <si>
    <t>Espaldilla de cerdo</t>
  </si>
  <si>
    <t>Espaldilla con hueso cerdo</t>
  </si>
  <si>
    <t>Espaldilla con hueso de res</t>
  </si>
  <si>
    <t xml:space="preserve">Espinazo </t>
  </si>
  <si>
    <t>Espinazo entero</t>
  </si>
  <si>
    <t>Grasa</t>
  </si>
  <si>
    <t>Lomo de cerdo</t>
  </si>
  <si>
    <t>Lengua de cerdo</t>
  </si>
  <si>
    <t>Maciza de cerdo</t>
  </si>
  <si>
    <t>Norteño</t>
  </si>
  <si>
    <t xml:space="preserve">Menudo  </t>
  </si>
  <si>
    <t>Molida de cerdo</t>
  </si>
  <si>
    <t>Deshebrada de res</t>
  </si>
  <si>
    <t>Patitas</t>
  </si>
  <si>
    <t>Pecho de cerdo</t>
  </si>
  <si>
    <t>Pernil</t>
  </si>
  <si>
    <t>Pierna c/cuero en combo</t>
  </si>
  <si>
    <t>Pierna c/hueso</t>
  </si>
  <si>
    <t>pierna s/h con grasa</t>
  </si>
  <si>
    <t>Pierna sin hueso</t>
  </si>
  <si>
    <t>Planchas Cerdo</t>
  </si>
  <si>
    <t>Pulpa de res</t>
  </si>
  <si>
    <t>Pulpa de res sin limpiar</t>
  </si>
  <si>
    <t>Perico de res</t>
  </si>
  <si>
    <t>Retazo c/hueso de cerdo</t>
  </si>
  <si>
    <t>Retazo c/hueso de res</t>
  </si>
  <si>
    <t>Riñón</t>
  </si>
  <si>
    <t>Roast Beef</t>
  </si>
  <si>
    <t>Sancocho lomo</t>
  </si>
  <si>
    <t>Sancocho ledo</t>
  </si>
  <si>
    <t>Sesos de copa</t>
  </si>
  <si>
    <t>Sesos en copa sueltos</t>
  </si>
  <si>
    <t>Unto</t>
  </si>
  <si>
    <t>POLLO y PESCADO</t>
  </si>
  <si>
    <t>Pavo ahumado</t>
  </si>
  <si>
    <t>Pollo ahumado</t>
  </si>
  <si>
    <t>SALCHICHONERIA</t>
  </si>
  <si>
    <t>Carne Enchilada</t>
  </si>
  <si>
    <t>Chile p/carne enchilada</t>
  </si>
  <si>
    <t>Chorizo</t>
  </si>
  <si>
    <t>Jamon Americano Fud</t>
  </si>
  <si>
    <t>Jamon Americano Ledo</t>
  </si>
  <si>
    <t>Jamon de lomo Ledo</t>
  </si>
  <si>
    <t>Jamon de pavo Hacienda</t>
  </si>
  <si>
    <t>Jamon de pavo Viva</t>
  </si>
  <si>
    <t>Jamon virginia de fud</t>
  </si>
  <si>
    <t>longaniza</t>
  </si>
  <si>
    <t>Mortadela</t>
  </si>
  <si>
    <t>Pata de res picada</t>
  </si>
  <si>
    <t>Recorte de jamon</t>
  </si>
  <si>
    <t>Queso de puerco Ledo</t>
  </si>
  <si>
    <t>Salchicha Acuario</t>
  </si>
  <si>
    <t>Salchicha Chero</t>
  </si>
  <si>
    <t>Salchicha Fud HD</t>
  </si>
  <si>
    <t>Salchicha Hacienda</t>
  </si>
  <si>
    <t>Salchicha Pavo Fud</t>
  </si>
  <si>
    <t>Salchicha viva</t>
  </si>
  <si>
    <t>Salchicha Z</t>
  </si>
  <si>
    <t xml:space="preserve">Tocino </t>
  </si>
  <si>
    <t>Tripa salada</t>
  </si>
  <si>
    <t>Chicharron</t>
  </si>
  <si>
    <t>Jamon de pavo Hda</t>
  </si>
  <si>
    <t>Jamon de Pavo Viva</t>
  </si>
  <si>
    <t>Jamon de pierna Ledo</t>
  </si>
  <si>
    <t>Jamon Fud americano</t>
  </si>
  <si>
    <t>Jamon Virginia Fud</t>
  </si>
  <si>
    <t>Queso de puerco Fud</t>
  </si>
  <si>
    <t>Queso manchego</t>
  </si>
  <si>
    <t>Quesillo</t>
  </si>
  <si>
    <t>Salchicha Hda Viena</t>
  </si>
  <si>
    <t>Salchicha Viva</t>
  </si>
  <si>
    <t>Pierna Ahumado</t>
  </si>
  <si>
    <t>Pavo Natural</t>
  </si>
  <si>
    <t>Tocino Winnis ahumado</t>
  </si>
  <si>
    <t>Tostadas</t>
  </si>
  <si>
    <t>Tortilla de harina La Tradicion</t>
  </si>
  <si>
    <t>Maiz pozolero Morelos</t>
  </si>
  <si>
    <t>Maiz pozolero La Poblana</t>
  </si>
  <si>
    <t>Salsa California 1 lt</t>
  </si>
  <si>
    <t>Salsa California 0.5 lt</t>
  </si>
  <si>
    <t>Salsa California 0.355 lt</t>
  </si>
  <si>
    <t>Sal de ajo  California</t>
  </si>
  <si>
    <t>Codimento p carnes California</t>
  </si>
  <si>
    <t>Sobres para marinar</t>
  </si>
  <si>
    <t>Bolsa</t>
  </si>
  <si>
    <t>PROGRAMA DE COMPRAS</t>
  </si>
  <si>
    <t>Producto</t>
  </si>
  <si>
    <t>Marca</t>
  </si>
  <si>
    <t>Proveedor</t>
  </si>
  <si>
    <t>unidades</t>
  </si>
  <si>
    <t>W total factura</t>
  </si>
  <si>
    <t>W recib real</t>
  </si>
  <si>
    <t>dif recepcion</t>
  </si>
  <si>
    <t>referencia</t>
  </si>
  <si>
    <t>transporte</t>
  </si>
  <si>
    <t>fecha frontera</t>
  </si>
  <si>
    <t>fecha arribo</t>
  </si>
  <si>
    <t>dia</t>
  </si>
  <si>
    <t>formula</t>
  </si>
  <si>
    <t>$ Puebla</t>
  </si>
  <si>
    <t>$ frontera</t>
  </si>
  <si>
    <t>flete</t>
  </si>
  <si>
    <t>$ aduanal</t>
  </si>
  <si>
    <t>tipo cambio</t>
  </si>
  <si>
    <t>com</t>
  </si>
  <si>
    <t>costo real</t>
  </si>
  <si>
    <t>$ carga total</t>
  </si>
  <si>
    <t>para pago</t>
  </si>
  <si>
    <t>Pernil con piel</t>
  </si>
  <si>
    <t>Premium</t>
  </si>
  <si>
    <t>Farmland</t>
  </si>
  <si>
    <t>23 combos</t>
  </si>
  <si>
    <t>nl10-162</t>
  </si>
  <si>
    <t>Guerrero</t>
  </si>
  <si>
    <t>mi</t>
  </si>
  <si>
    <t>hoja+10 ju 25</t>
  </si>
  <si>
    <t>Seaboard</t>
  </si>
  <si>
    <t>Yarto</t>
  </si>
  <si>
    <t>fact 25525</t>
  </si>
  <si>
    <t>hoja+15 ju 25 nov</t>
  </si>
  <si>
    <t>Res Patas</t>
  </si>
  <si>
    <t>Pulido</t>
  </si>
  <si>
    <t>Gerardo Pulido</t>
  </si>
  <si>
    <t>5 piezas</t>
  </si>
  <si>
    <t>ro 96</t>
  </si>
  <si>
    <t>Canal de cerdo</t>
  </si>
  <si>
    <t>CATM</t>
  </si>
  <si>
    <t>Andres Torres</t>
  </si>
  <si>
    <t>144 canales</t>
  </si>
  <si>
    <t>fact 32</t>
  </si>
  <si>
    <t>ju</t>
  </si>
  <si>
    <t>Swift</t>
  </si>
  <si>
    <t>Impeg</t>
  </si>
  <si>
    <t>82 cajas</t>
  </si>
  <si>
    <t>fact 8698</t>
  </si>
  <si>
    <t>Res Medias</t>
  </si>
  <si>
    <t>3 piezas</t>
  </si>
  <si>
    <t>ro 97</t>
  </si>
  <si>
    <t>2 piezas</t>
  </si>
  <si>
    <t>20 combos</t>
  </si>
  <si>
    <t>fact 25547</t>
  </si>
  <si>
    <t>hoja+15 vi 26 nov</t>
  </si>
  <si>
    <t>GF</t>
  </si>
  <si>
    <t>Granjero Feliz</t>
  </si>
  <si>
    <t>130 canales</t>
  </si>
  <si>
    <t>PA 791</t>
  </si>
  <si>
    <t>vi</t>
  </si>
  <si>
    <t>12 piezas</t>
  </si>
  <si>
    <t>ro 98</t>
  </si>
  <si>
    <t>ro 99</t>
  </si>
  <si>
    <t>sa</t>
  </si>
  <si>
    <t>Maple</t>
  </si>
  <si>
    <t>22 combos</t>
  </si>
  <si>
    <t>10063910-6</t>
  </si>
  <si>
    <t>hoja+11 lu 29 nov</t>
  </si>
  <si>
    <t>Atosa</t>
  </si>
  <si>
    <t>143 canales</t>
  </si>
  <si>
    <t>fact 3209</t>
  </si>
  <si>
    <t>lu</t>
  </si>
  <si>
    <t>Res delanteros</t>
  </si>
  <si>
    <t>6 piezas</t>
  </si>
  <si>
    <t>ro 100</t>
  </si>
  <si>
    <t>145 canales</t>
  </si>
  <si>
    <t>Fact PA 1007</t>
  </si>
  <si>
    <t>ma</t>
  </si>
  <si>
    <t>IBP</t>
  </si>
  <si>
    <t>17 combos</t>
  </si>
  <si>
    <t>fact 8897</t>
  </si>
  <si>
    <t>4-6/12/10</t>
  </si>
  <si>
    <t>Cab de lomo combos</t>
  </si>
  <si>
    <t>21 combos</t>
  </si>
  <si>
    <t>snl10-24</t>
  </si>
  <si>
    <t>Cano</t>
  </si>
  <si>
    <t>hoja+10.5 ju 2 dic</t>
  </si>
  <si>
    <t>10064071-1</t>
  </si>
  <si>
    <t>hoja+11 ma 30 nov</t>
  </si>
  <si>
    <t>24 combos</t>
  </si>
  <si>
    <t>fact 25600</t>
  </si>
  <si>
    <t>ro 101</t>
  </si>
  <si>
    <t>Res medias</t>
  </si>
  <si>
    <t>4 piezas</t>
  </si>
  <si>
    <t>fact 33</t>
  </si>
  <si>
    <t>ALB</t>
  </si>
  <si>
    <t>ro 102</t>
  </si>
  <si>
    <t>8 piezas</t>
  </si>
  <si>
    <t>ro 103</t>
  </si>
  <si>
    <t>fact PA 1218</t>
  </si>
  <si>
    <t>snl10-25</t>
  </si>
  <si>
    <t>hoja+10.5 vi 3 dic</t>
  </si>
  <si>
    <t>Pavo</t>
  </si>
  <si>
    <t>Jennie-O</t>
  </si>
  <si>
    <t>Lag Ensenada</t>
  </si>
  <si>
    <t>907 cajas</t>
  </si>
  <si>
    <t>fact 2130</t>
  </si>
  <si>
    <t>Betos</t>
  </si>
  <si>
    <t>Proledo</t>
  </si>
  <si>
    <t>GLP</t>
  </si>
  <si>
    <t>15 canales</t>
  </si>
  <si>
    <t>rem 1647</t>
  </si>
  <si>
    <t>21 piezas</t>
  </si>
  <si>
    <t>ro 104</t>
  </si>
  <si>
    <t>Corbata</t>
  </si>
  <si>
    <t>Sukarne</t>
  </si>
  <si>
    <t>927 cajas</t>
  </si>
  <si>
    <t>fact 14800</t>
  </si>
  <si>
    <t>fact 25659</t>
  </si>
  <si>
    <t>ro 105</t>
  </si>
  <si>
    <t>ro 106</t>
  </si>
  <si>
    <t>10064071-2</t>
  </si>
  <si>
    <t>hoja+11 lu 6 dic</t>
  </si>
  <si>
    <t>10064470-1</t>
  </si>
  <si>
    <t>141 canales</t>
  </si>
  <si>
    <t>fact 3216</t>
  </si>
  <si>
    <t>fact PA 1413</t>
  </si>
  <si>
    <t>fact 25701</t>
  </si>
  <si>
    <t>10064071-3</t>
  </si>
  <si>
    <t>hoja+11 ma 7 dic</t>
  </si>
  <si>
    <t>fact 25696</t>
  </si>
  <si>
    <t>137 canales</t>
  </si>
  <si>
    <t>fact</t>
  </si>
  <si>
    <t>ro 109</t>
  </si>
  <si>
    <t>14 piezas</t>
  </si>
  <si>
    <t>144 canaes</t>
  </si>
  <si>
    <t>snl10-163</t>
  </si>
  <si>
    <t>hoja+10 vi 10 dic</t>
  </si>
  <si>
    <t>ro 110</t>
  </si>
  <si>
    <t>fact 25724</t>
  </si>
  <si>
    <t>hoja+15 vi 10 dic</t>
  </si>
  <si>
    <t>17 piezas</t>
  </si>
  <si>
    <t>ro 111</t>
  </si>
  <si>
    <t>snl10+164</t>
  </si>
  <si>
    <t>hoja+10 ma 14 dic</t>
  </si>
  <si>
    <t>fact PA 1675</t>
  </si>
  <si>
    <t>ro 112</t>
  </si>
  <si>
    <t>1 piezas</t>
  </si>
  <si>
    <t>10064071-4</t>
  </si>
  <si>
    <t>hoja+11 lu 13 dic</t>
  </si>
  <si>
    <t xml:space="preserve">Canal de cerdo </t>
  </si>
  <si>
    <t>152 canales</t>
  </si>
  <si>
    <t>ro  113</t>
  </si>
  <si>
    <t>10064470-2</t>
  </si>
  <si>
    <t>Res patas</t>
  </si>
  <si>
    <t>13 piezas</t>
  </si>
  <si>
    <t>ro 114</t>
  </si>
  <si>
    <t>Contra</t>
  </si>
  <si>
    <t>609 cajas</t>
  </si>
  <si>
    <t>fact 15207</t>
  </si>
  <si>
    <t>Down Under</t>
  </si>
  <si>
    <t>Adams</t>
  </si>
  <si>
    <t>50 piezas</t>
  </si>
  <si>
    <t>fact 115028</t>
  </si>
  <si>
    <t>fact PA 1836</t>
  </si>
  <si>
    <t>ro 115</t>
  </si>
  <si>
    <t>10064470-3</t>
  </si>
  <si>
    <t>hoja+11 ma 14 dic</t>
  </si>
  <si>
    <t>snl10-26</t>
  </si>
  <si>
    <t>hoja+10.5 ju 16 dic</t>
  </si>
  <si>
    <t>19 combos</t>
  </si>
  <si>
    <t>fact 25798</t>
  </si>
  <si>
    <t>hoja+15 ju 16 dic</t>
  </si>
  <si>
    <t>fact 25797</t>
  </si>
  <si>
    <t>fact  38</t>
  </si>
  <si>
    <t>snl10-27</t>
  </si>
  <si>
    <t>hoja+10.5 vi 17 dic</t>
  </si>
  <si>
    <t>ro 116</t>
  </si>
  <si>
    <t>fact  39</t>
  </si>
  <si>
    <t>fact 21267</t>
  </si>
  <si>
    <t>fact 25832</t>
  </si>
  <si>
    <t>do</t>
  </si>
  <si>
    <t>hoja+15 vi 17 dic</t>
  </si>
  <si>
    <t>ro  117</t>
  </si>
  <si>
    <t>ASO</t>
  </si>
  <si>
    <t>40 canales</t>
  </si>
  <si>
    <t>Do</t>
  </si>
  <si>
    <t>fact 41</t>
  </si>
  <si>
    <t>Smithfield</t>
  </si>
  <si>
    <t>fact  21331</t>
  </si>
  <si>
    <t>ro 118</t>
  </si>
  <si>
    <t>Super Carnes</t>
  </si>
  <si>
    <t>fact  A724</t>
  </si>
  <si>
    <t>fact  A725</t>
  </si>
  <si>
    <t>fact 25866</t>
  </si>
  <si>
    <t>hoja+15 ju 23 dic</t>
  </si>
  <si>
    <t>fact PA 2271</t>
  </si>
  <si>
    <t>ro 119</t>
  </si>
  <si>
    <t>fact 25871</t>
  </si>
  <si>
    <t>146 canales</t>
  </si>
  <si>
    <t>fact  3235</t>
  </si>
  <si>
    <t>150 canales</t>
  </si>
  <si>
    <t>snl10-28</t>
  </si>
  <si>
    <t>hoja+10.5 vi 24 dic</t>
  </si>
  <si>
    <t>Poncho</t>
  </si>
  <si>
    <t>11 canales</t>
  </si>
  <si>
    <t>s/n</t>
  </si>
  <si>
    <t>ro 120</t>
  </si>
  <si>
    <t>Menudo</t>
  </si>
  <si>
    <t>Excel 86M</t>
  </si>
  <si>
    <t>300 cajas</t>
  </si>
  <si>
    <t>Traspaso 09</t>
  </si>
  <si>
    <t>10 combos</t>
  </si>
  <si>
    <t>ro 121</t>
  </si>
  <si>
    <t>Diciembre,  31 2010</t>
  </si>
  <si>
    <t xml:space="preserve">V </t>
  </si>
  <si>
    <t>Andres Torres 24/12/10</t>
  </si>
  <si>
    <t>fact 39</t>
  </si>
  <si>
    <t>canal de cerdo</t>
  </si>
  <si>
    <t>38  /  3538</t>
  </si>
  <si>
    <t>Premium 30/12/10 snl10-28</t>
  </si>
  <si>
    <t>fact 93727860</t>
  </si>
  <si>
    <t>intercam $31,799.21</t>
  </si>
  <si>
    <t>38  / 3547</t>
  </si>
  <si>
    <t>ALB  24/12/10</t>
  </si>
  <si>
    <t>combos Seaboard</t>
  </si>
  <si>
    <t>38  /  3545</t>
  </si>
  <si>
    <t>Gerardo Pulido 27,29,31/12/10</t>
  </si>
  <si>
    <t>ro 118,119, 121</t>
  </si>
  <si>
    <t>res</t>
  </si>
  <si>
    <t>$ obrador</t>
  </si>
  <si>
    <t>ALB 27/12/10</t>
  </si>
  <si>
    <t>fact 21331</t>
  </si>
  <si>
    <t>combos Smithfield</t>
  </si>
  <si>
    <t>ALB 30/12/10</t>
  </si>
  <si>
    <t>rem 9</t>
  </si>
  <si>
    <t>menudo excel 86M</t>
  </si>
  <si>
    <t>para reponer fisicamente</t>
  </si>
  <si>
    <t>ALB 9,11,17,20,30/12/10</t>
  </si>
  <si>
    <t>ro 102,105,110,113,120</t>
  </si>
  <si>
    <t>ALB 13,16/12/10</t>
  </si>
  <si>
    <t>ro 107,108</t>
  </si>
  <si>
    <t>Maquila</t>
  </si>
  <si>
    <t>GLP 10/12/10</t>
  </si>
  <si>
    <t>ALB 11,16,24,30/11/10</t>
  </si>
  <si>
    <t>ro 77,82,89,95</t>
  </si>
  <si>
    <t>ALB 11/11/10</t>
  </si>
  <si>
    <t>ro 78,91</t>
  </si>
  <si>
    <t>ALB 2,4,16,23,26,30 /10/10</t>
  </si>
  <si>
    <t>ro 51, 52, 60, 64, 67,70</t>
  </si>
  <si>
    <t>?????</t>
  </si>
  <si>
    <t>Poncho  30/12/10</t>
  </si>
  <si>
    <t>sin cobro</t>
  </si>
  <si>
    <t>ASO 26/12/10</t>
  </si>
  <si>
    <t>ASO 30/12/10</t>
  </si>
  <si>
    <t>Combos de pernil</t>
  </si>
  <si>
    <t>Enero de 2011</t>
  </si>
  <si>
    <t>S</t>
  </si>
  <si>
    <t>D</t>
  </si>
  <si>
    <t>L</t>
  </si>
  <si>
    <t>Yarto 11/12/10</t>
  </si>
  <si>
    <t>intercam $48,379.20</t>
  </si>
  <si>
    <t>38  /  3543</t>
  </si>
  <si>
    <t>Sukarne 20/12/10</t>
  </si>
  <si>
    <t>contra Swift</t>
  </si>
  <si>
    <t>38  /  3546</t>
  </si>
  <si>
    <t>Andres Torres 27/12/10</t>
  </si>
  <si>
    <t>M</t>
  </si>
  <si>
    <t>Mi</t>
  </si>
  <si>
    <t>Yarto 15/12/10 cab de lomo</t>
  </si>
  <si>
    <t>intercam $51,202.08</t>
  </si>
  <si>
    <t>38  /  3544</t>
  </si>
  <si>
    <t xml:space="preserve">Yarto 15/12/10  </t>
  </si>
  <si>
    <t>intercam $47,361.14</t>
  </si>
  <si>
    <t>38  /  3541</t>
  </si>
  <si>
    <t>Granjero Feliz 29/12/10</t>
  </si>
  <si>
    <t>J</t>
  </si>
  <si>
    <t>Atosa 30/12/10</t>
  </si>
  <si>
    <t>Yarto 16/12/10</t>
  </si>
  <si>
    <t>intercam $45,894.5</t>
  </si>
  <si>
    <t>38  /  3542</t>
  </si>
  <si>
    <t>Supercarnes 28/12/10</t>
  </si>
  <si>
    <t>fact A 724</t>
  </si>
  <si>
    <t>Supercarnes 29/12/10</t>
  </si>
  <si>
    <t>fact A 725</t>
  </si>
  <si>
    <t>Yarto 22/12/10</t>
  </si>
  <si>
    <t>intercam $34,998.77</t>
  </si>
  <si>
    <t>38  /  3548</t>
  </si>
  <si>
    <t>Yarto 23/12/10</t>
  </si>
  <si>
    <t>intercam $42,953.24</t>
  </si>
  <si>
    <t>38  /  3549</t>
  </si>
  <si>
    <t>diferencias Yarto</t>
  </si>
  <si>
    <t>intercam $802.38</t>
  </si>
  <si>
    <t>intercam $982.22</t>
  </si>
  <si>
    <t>Yarto 26/12/10</t>
  </si>
  <si>
    <t>intercam $42,579.16</t>
  </si>
  <si>
    <t>38   /  3550</t>
  </si>
  <si>
    <t>Yarto 29/12/10</t>
  </si>
  <si>
    <t>intercam $42,968.36</t>
  </si>
  <si>
    <t>Yarto 30/12/10</t>
  </si>
  <si>
    <t>intercam $39,116.96</t>
  </si>
  <si>
    <t>DEUDA PROVEEDORES AL 31 DE DICIEMBRE DE 2011</t>
  </si>
  <si>
    <t>DEUDA EN DOLARES CALCULADOS A 12.50</t>
  </si>
  <si>
    <t>DEUDA EN PESOS</t>
  </si>
  <si>
    <t>DESGLOSE POR PROVEEDORES</t>
  </si>
  <si>
    <t xml:space="preserve">YARTO </t>
  </si>
  <si>
    <t>SUPERCARNES SELECTAS</t>
  </si>
  <si>
    <t>Dif YARTO</t>
  </si>
  <si>
    <t>ATOSA</t>
  </si>
  <si>
    <t>GRANJERO FELIZ</t>
  </si>
  <si>
    <t>CARLOS ANDRES TORRES MORALES</t>
  </si>
  <si>
    <t>ALIMENTOS SUPREMOS DE ORIENTE</t>
  </si>
  <si>
    <t>ALB&amp;CIA  res y maquilas oct, nov y dic (no se han hecho compensaciones desde octubre, prometen 1er quincena enero 2011)</t>
  </si>
  <si>
    <t>ALB&amp;CIA  CARGA DE PIERNA</t>
  </si>
  <si>
    <t>ALB&amp;CIA MENUDO  (quieren que se reponga fisicamente)</t>
  </si>
  <si>
    <t>PRESTAMO BANCOMER CIERRE DE MES DIC 2010</t>
  </si>
  <si>
    <t>TOTAL ADEUDO AL 31 DE DICIEMBRE DE 2011</t>
  </si>
  <si>
    <t>INVENTARIO SUC 11 SUR</t>
  </si>
  <si>
    <t>Bisteck de cerdo</t>
  </si>
  <si>
    <t>Cabeza de lomo c/h amer</t>
  </si>
  <si>
    <t>Cabeza de lomo s/h amer</t>
  </si>
  <si>
    <t>Espaldilla de Carnero</t>
  </si>
  <si>
    <t>Corbata Seaboard</t>
  </si>
  <si>
    <t>Lengua de res</t>
  </si>
  <si>
    <t>Molida de res</t>
  </si>
  <si>
    <t>Pulpa negra</t>
  </si>
  <si>
    <t>Suadero</t>
  </si>
  <si>
    <t>Pierna y muslo</t>
  </si>
  <si>
    <t>Pierna de pavo ahumada</t>
  </si>
  <si>
    <t>Salchicha Ibero</t>
  </si>
  <si>
    <t>Tocino Salado</t>
  </si>
  <si>
    <t>Consome de pollo</t>
  </si>
  <si>
    <t>Pan molido</t>
  </si>
  <si>
    <t>PRODUCTO PENDIENTE DE PAGO (creditos)</t>
  </si>
  <si>
    <t>INVENTARIO OBRADOR</t>
  </si>
  <si>
    <t>CERDO</t>
  </si>
  <si>
    <t>Pernil c/piel Premium</t>
  </si>
  <si>
    <t>Pernil c/piel Seaboard</t>
  </si>
  <si>
    <t>SUBTOTAL</t>
  </si>
  <si>
    <t>CORTES CERDO</t>
  </si>
  <si>
    <t>Bisteck</t>
  </si>
  <si>
    <t>Cabezas de cerdo</t>
  </si>
  <si>
    <t>Cabeza de lomo ame s/h</t>
  </si>
  <si>
    <t>Cabeza de lomo ame c/h</t>
  </si>
  <si>
    <t xml:space="preserve">Codillo </t>
  </si>
  <si>
    <t>Codillo con perico</t>
  </si>
  <si>
    <t>Descarne economico</t>
  </si>
  <si>
    <t>Descarne especial</t>
  </si>
  <si>
    <t>Espaldilla sin hueso</t>
  </si>
  <si>
    <t>Espaldilla con hueso</t>
  </si>
  <si>
    <t>Espinazos entero. colas, cabeza</t>
  </si>
  <si>
    <t>Espinazo huesudo</t>
  </si>
  <si>
    <t>Filetes de cerdo</t>
  </si>
  <si>
    <t>Jamon con hueso</t>
  </si>
  <si>
    <t>Jamon con hueso y grasa</t>
  </si>
  <si>
    <t>Jamon con 1/2 grasa</t>
  </si>
  <si>
    <t>Jamon con grasa</t>
  </si>
  <si>
    <t>Patas</t>
  </si>
  <si>
    <t>Pernil con grasa</t>
  </si>
  <si>
    <t>Plancha</t>
  </si>
  <si>
    <t>Pulpa para molida</t>
  </si>
  <si>
    <t>Riñon</t>
  </si>
  <si>
    <t>RES</t>
  </si>
  <si>
    <t>Medias</t>
  </si>
  <si>
    <t>Pata</t>
  </si>
  <si>
    <t>Delanteros</t>
  </si>
  <si>
    <t>CORTES RES</t>
  </si>
  <si>
    <t>Banderas</t>
  </si>
  <si>
    <t>TOTAL RES</t>
  </si>
  <si>
    <t>Cuero s/g belly Farmland</t>
  </si>
  <si>
    <t>Cuero s/g belly reempacado</t>
  </si>
  <si>
    <t>Espaldilla de Carnero Taylor</t>
  </si>
  <si>
    <t>Espaldilla de Carnero Alliance</t>
  </si>
  <si>
    <t>VARIOS</t>
  </si>
  <si>
    <t xml:space="preserve">Pavo  </t>
  </si>
  <si>
    <t>TOTAL VARIOS</t>
  </si>
  <si>
    <t>TOTAL OBRADOR</t>
  </si>
</sst>
</file>

<file path=xl/styles.xml><?xml version="1.0" encoding="utf-8"?>
<styleSheet xmlns="http://schemas.openxmlformats.org/spreadsheetml/2006/main">
  <numFmts count="6">
    <numFmt numFmtId="170" formatCode="_-&quot;$&quot;* #,##0.00_-;\-&quot;$&quot;* #,##0.00_-;_-&quot;$&quot;* &quot;-&quot;??_-;_-@_-"/>
    <numFmt numFmtId="172" formatCode="&quot;$&quot;#,##0.00"/>
    <numFmt numFmtId="174" formatCode="#,##0.00_ ;[Red]\-#,##0.00\ "/>
    <numFmt numFmtId="175" formatCode="&quot;$&quot;#,##0.000"/>
    <numFmt numFmtId="176" formatCode="#,##0_ ;\-#,##0\ "/>
    <numFmt numFmtId="177" formatCode="_-&quot;$&quot;* #,##0.000_-;\-&quot;$&quot;* #,##0.000_-;_-&quot;$&quot;* &quot;-&quot;??_-;_-@_-"/>
  </numFmts>
  <fonts count="15">
    <font>
      <sz val="10"/>
      <name val="Arial"/>
    </font>
    <font>
      <sz val="10"/>
      <name val="Arial"/>
    </font>
    <font>
      <b/>
      <i/>
      <sz val="16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170" fontId="1" fillId="0" borderId="0" applyFont="0" applyFill="0" applyBorder="0" applyAlignment="0" applyProtection="0"/>
  </cellStyleXfs>
  <cellXfs count="194">
    <xf numFmtId="0" fontId="0" fillId="0" borderId="0" xfId="0"/>
    <xf numFmtId="4" fontId="0" fillId="0" borderId="0" xfId="0" applyNumberFormat="1"/>
    <xf numFmtId="172" fontId="0" fillId="0" borderId="0" xfId="0" applyNumberFormat="1"/>
    <xf numFmtId="4" fontId="2" fillId="0" borderId="0" xfId="0" applyNumberFormat="1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172" fontId="0" fillId="0" borderId="0" xfId="0" applyNumberFormat="1" applyBorder="1"/>
    <xf numFmtId="0" fontId="5" fillId="0" borderId="0" xfId="0" applyFont="1"/>
    <xf numFmtId="14" fontId="5" fillId="0" borderId="0" xfId="0" quotePrefix="1" applyNumberFormat="1" applyFont="1" applyBorder="1"/>
    <xf numFmtId="14" fontId="5" fillId="0" borderId="0" xfId="0" applyNumberFormat="1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6" fillId="0" borderId="0" xfId="0" applyFont="1" applyFill="1"/>
    <xf numFmtId="4" fontId="7" fillId="0" borderId="1" xfId="0" applyNumberFormat="1" applyFont="1" applyBorder="1"/>
    <xf numFmtId="0" fontId="7" fillId="0" borderId="5" xfId="0" applyFont="1" applyBorder="1"/>
    <xf numFmtId="4" fontId="7" fillId="0" borderId="3" xfId="0" applyNumberFormat="1" applyFont="1" applyBorder="1"/>
    <xf numFmtId="0" fontId="7" fillId="0" borderId="3" xfId="0" applyFont="1" applyBorder="1"/>
    <xf numFmtId="172" fontId="7" fillId="0" borderId="3" xfId="0" applyNumberFormat="1" applyFont="1" applyBorder="1"/>
    <xf numFmtId="174" fontId="7" fillId="0" borderId="0" xfId="0" applyNumberFormat="1" applyFont="1" applyFill="1" applyBorder="1"/>
    <xf numFmtId="4" fontId="7" fillId="0" borderId="4" xfId="0" applyNumberFormat="1" applyFont="1" applyBorder="1"/>
    <xf numFmtId="0" fontId="7" fillId="0" borderId="6" xfId="0" applyFont="1" applyBorder="1"/>
    <xf numFmtId="172" fontId="7" fillId="0" borderId="4" xfId="0" applyNumberFormat="1" applyFont="1" applyBorder="1"/>
    <xf numFmtId="4" fontId="7" fillId="0" borderId="7" xfId="0" applyNumberFormat="1" applyFont="1" applyBorder="1"/>
    <xf numFmtId="3" fontId="7" fillId="0" borderId="6" xfId="0" applyNumberFormat="1" applyFont="1" applyBorder="1"/>
    <xf numFmtId="0" fontId="7" fillId="0" borderId="0" xfId="0" applyFont="1"/>
    <xf numFmtId="172" fontId="7" fillId="0" borderId="0" xfId="0" applyNumberFormat="1" applyFont="1"/>
    <xf numFmtId="0" fontId="7" fillId="0" borderId="0" xfId="0" applyFont="1" applyFill="1"/>
    <xf numFmtId="0" fontId="4" fillId="0" borderId="0" xfId="0" applyFont="1" applyAlignment="1">
      <alignment horizontal="right"/>
    </xf>
    <xf numFmtId="4" fontId="4" fillId="0" borderId="3" xfId="0" applyNumberFormat="1" applyFont="1" applyBorder="1"/>
    <xf numFmtId="3" fontId="4" fillId="0" borderId="3" xfId="0" applyNumberFormat="1" applyFont="1" applyBorder="1"/>
    <xf numFmtId="172" fontId="4" fillId="0" borderId="5" xfId="0" applyNumberFormat="1" applyFont="1" applyBorder="1"/>
    <xf numFmtId="172" fontId="4" fillId="0" borderId="3" xfId="0" applyNumberFormat="1" applyFont="1" applyBorder="1"/>
    <xf numFmtId="4" fontId="4" fillId="0" borderId="0" xfId="0" applyNumberFormat="1" applyFont="1" applyFill="1" applyBorder="1"/>
    <xf numFmtId="0" fontId="9" fillId="0" borderId="0" xfId="0" applyFont="1"/>
    <xf numFmtId="4" fontId="9" fillId="0" borderId="0" xfId="0" applyNumberFormat="1" applyFont="1"/>
    <xf numFmtId="15" fontId="10" fillId="0" borderId="0" xfId="0" applyNumberFormat="1" applyFont="1"/>
    <xf numFmtId="0" fontId="9" fillId="0" borderId="1" xfId="0" applyFont="1" applyBorder="1"/>
    <xf numFmtId="0" fontId="9" fillId="0" borderId="5" xfId="0" applyFont="1" applyBorder="1"/>
    <xf numFmtId="4" fontId="9" fillId="0" borderId="3" xfId="0" applyNumberFormat="1" applyFont="1" applyBorder="1"/>
    <xf numFmtId="0" fontId="9" fillId="0" borderId="3" xfId="0" applyFont="1" applyBorder="1"/>
    <xf numFmtId="0" fontId="9" fillId="0" borderId="0" xfId="0" applyFont="1" applyFill="1" applyBorder="1"/>
    <xf numFmtId="4" fontId="11" fillId="0" borderId="3" xfId="0" applyNumberFormat="1" applyFont="1" applyBorder="1"/>
    <xf numFmtId="0" fontId="11" fillId="0" borderId="3" xfId="0" applyFont="1" applyBorder="1"/>
    <xf numFmtId="170" fontId="0" fillId="0" borderId="3" xfId="1" applyFont="1" applyFill="1" applyBorder="1"/>
    <xf numFmtId="170" fontId="0" fillId="0" borderId="3" xfId="1" applyFont="1" applyBorder="1"/>
    <xf numFmtId="170" fontId="0" fillId="0" borderId="0" xfId="0" applyNumberFormat="1"/>
    <xf numFmtId="4" fontId="0" fillId="0" borderId="3" xfId="0" applyNumberFormat="1" applyBorder="1"/>
    <xf numFmtId="0" fontId="0" fillId="0" borderId="3" xfId="0" applyBorder="1"/>
    <xf numFmtId="0" fontId="0" fillId="0" borderId="0" xfId="0" quotePrefix="1"/>
    <xf numFmtId="0" fontId="12" fillId="0" borderId="0" xfId="0" applyFont="1"/>
    <xf numFmtId="0" fontId="9" fillId="0" borderId="8" xfId="0" applyFont="1" applyBorder="1"/>
    <xf numFmtId="4" fontId="0" fillId="0" borderId="8" xfId="0" applyNumberFormat="1" applyBorder="1"/>
    <xf numFmtId="0" fontId="0" fillId="0" borderId="8" xfId="0" applyBorder="1"/>
    <xf numFmtId="170" fontId="0" fillId="0" borderId="8" xfId="1" applyFont="1" applyFill="1" applyBorder="1"/>
    <xf numFmtId="170" fontId="0" fillId="0" borderId="8" xfId="1" applyFont="1" applyBorder="1"/>
    <xf numFmtId="0" fontId="9" fillId="0" borderId="0" xfId="0" applyFont="1" applyBorder="1"/>
    <xf numFmtId="170" fontId="0" fillId="0" borderId="0" xfId="1" applyFont="1" applyFill="1"/>
    <xf numFmtId="170" fontId="9" fillId="0" borderId="0" xfId="1" applyFont="1"/>
    <xf numFmtId="4" fontId="0" fillId="0" borderId="0" xfId="0" applyNumberFormat="1" applyBorder="1"/>
    <xf numFmtId="170" fontId="0" fillId="0" borderId="0" xfId="1" applyFont="1" applyFill="1" applyBorder="1"/>
    <xf numFmtId="170" fontId="0" fillId="0" borderId="0" xfId="1" applyFont="1" applyBorder="1"/>
    <xf numFmtId="170" fontId="0" fillId="0" borderId="0" xfId="0" applyNumberFormat="1" applyBorder="1"/>
    <xf numFmtId="0" fontId="11" fillId="0" borderId="0" xfId="0" applyFont="1"/>
    <xf numFmtId="170" fontId="11" fillId="0" borderId="0" xfId="0" applyNumberFormat="1" applyFont="1"/>
    <xf numFmtId="14" fontId="9" fillId="0" borderId="9" xfId="0" applyNumberFormat="1" applyFont="1" applyBorder="1" applyAlignment="1">
      <alignment horizontal="right"/>
    </xf>
    <xf numFmtId="170" fontId="0" fillId="0" borderId="0" xfId="1" applyFont="1" applyAlignment="1">
      <alignment horizontal="right"/>
    </xf>
    <xf numFmtId="170" fontId="0" fillId="0" borderId="0" xfId="1" applyFont="1"/>
    <xf numFmtId="14" fontId="9" fillId="0" borderId="0" xfId="0" quotePrefix="1" applyNumberFormat="1" applyFont="1"/>
    <xf numFmtId="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70" fontId="9" fillId="0" borderId="0" xfId="1" applyFont="1" applyAlignment="1">
      <alignment horizontal="center"/>
    </xf>
    <xf numFmtId="172" fontId="9" fillId="0" borderId="0" xfId="0" applyNumberFormat="1" applyFont="1" applyAlignment="1">
      <alignment horizontal="center"/>
    </xf>
    <xf numFmtId="0" fontId="11" fillId="0" borderId="0" xfId="0" quotePrefix="1" applyFont="1"/>
    <xf numFmtId="4" fontId="0" fillId="0" borderId="9" xfId="0" applyNumberFormat="1" applyBorder="1"/>
    <xf numFmtId="0" fontId="0" fillId="0" borderId="9" xfId="0" applyBorder="1"/>
    <xf numFmtId="4" fontId="0" fillId="0" borderId="10" xfId="0" applyNumberFormat="1" applyBorder="1"/>
    <xf numFmtId="0" fontId="0" fillId="0" borderId="10" xfId="0" applyBorder="1"/>
    <xf numFmtId="0" fontId="9" fillId="0" borderId="0" xfId="0" applyFont="1" applyAlignment="1">
      <alignment horizontal="right"/>
    </xf>
    <xf numFmtId="172" fontId="9" fillId="0" borderId="0" xfId="0" applyNumberFormat="1" applyFont="1"/>
    <xf numFmtId="170" fontId="9" fillId="0" borderId="0" xfId="1" quotePrefix="1" applyFont="1"/>
    <xf numFmtId="0" fontId="9" fillId="0" borderId="11" xfId="0" applyFont="1" applyBorder="1"/>
    <xf numFmtId="4" fontId="0" fillId="0" borderId="12" xfId="0" applyNumberFormat="1" applyBorder="1"/>
    <xf numFmtId="0" fontId="0" fillId="0" borderId="12" xfId="0" applyBorder="1"/>
    <xf numFmtId="170" fontId="0" fillId="0" borderId="12" xfId="1" applyFont="1" applyBorder="1"/>
    <xf numFmtId="170" fontId="0" fillId="0" borderId="13" xfId="1" applyFont="1" applyBorder="1"/>
    <xf numFmtId="0" fontId="9" fillId="0" borderId="14" xfId="0" applyFont="1" applyBorder="1"/>
    <xf numFmtId="4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70" fontId="9" fillId="0" borderId="0" xfId="1" applyFont="1" applyBorder="1" applyAlignment="1">
      <alignment horizontal="center"/>
    </xf>
    <xf numFmtId="170" fontId="9" fillId="0" borderId="15" xfId="1" applyFont="1" applyBorder="1" applyAlignment="1">
      <alignment horizontal="center"/>
    </xf>
    <xf numFmtId="0" fontId="11" fillId="0" borderId="14" xfId="0" applyFont="1" applyBorder="1"/>
    <xf numFmtId="4" fontId="11" fillId="0" borderId="0" xfId="0" applyNumberFormat="1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170" fontId="11" fillId="0" borderId="0" xfId="1" applyFont="1" applyBorder="1" applyAlignment="1">
      <alignment horizontal="right"/>
    </xf>
    <xf numFmtId="170" fontId="0" fillId="0" borderId="15" xfId="1" applyFont="1" applyBorder="1" applyAlignment="1">
      <alignment horizontal="right"/>
    </xf>
    <xf numFmtId="170" fontId="0" fillId="0" borderId="15" xfId="1" applyFont="1" applyBorder="1"/>
    <xf numFmtId="0" fontId="11" fillId="0" borderId="0" xfId="0" applyFont="1" applyBorder="1"/>
    <xf numFmtId="170" fontId="11" fillId="0" borderId="0" xfId="1" applyFont="1" applyBorder="1" applyAlignment="1">
      <alignment horizontal="center"/>
    </xf>
    <xf numFmtId="4" fontId="11" fillId="0" borderId="0" xfId="0" applyNumberFormat="1" applyFont="1" applyFill="1" applyBorder="1" applyAlignment="1">
      <alignment horizontal="right"/>
    </xf>
    <xf numFmtId="170" fontId="11" fillId="0" borderId="0" xfId="1" applyFont="1" applyBorder="1"/>
    <xf numFmtId="170" fontId="11" fillId="0" borderId="15" xfId="1" applyFont="1" applyBorder="1"/>
    <xf numFmtId="0" fontId="0" fillId="0" borderId="14" xfId="0" applyBorder="1"/>
    <xf numFmtId="170" fontId="9" fillId="0" borderId="0" xfId="1" applyFont="1" applyBorder="1" applyAlignment="1">
      <alignment horizontal="right"/>
    </xf>
    <xf numFmtId="170" fontId="9" fillId="0" borderId="15" xfId="1" applyFont="1" applyBorder="1"/>
    <xf numFmtId="0" fontId="0" fillId="0" borderId="16" xfId="0" applyBorder="1"/>
    <xf numFmtId="0" fontId="0" fillId="0" borderId="17" xfId="0" applyBorder="1"/>
    <xf numFmtId="170" fontId="0" fillId="0" borderId="17" xfId="1" applyFont="1" applyBorder="1"/>
    <xf numFmtId="170" fontId="0" fillId="0" borderId="18" xfId="1" applyFont="1" applyBorder="1"/>
    <xf numFmtId="0" fontId="0" fillId="0" borderId="11" xfId="0" applyBorder="1"/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4" fontId="9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170" fontId="11" fillId="0" borderId="15" xfId="1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170" fontId="11" fillId="0" borderId="15" xfId="1" applyFont="1" applyBorder="1" applyAlignment="1">
      <alignment horizontal="right"/>
    </xf>
    <xf numFmtId="170" fontId="9" fillId="0" borderId="0" xfId="1" applyFont="1" applyBorder="1"/>
    <xf numFmtId="14" fontId="4" fillId="0" borderId="0" xfId="0" quotePrefix="1" applyNumberFormat="1" applyFont="1" applyBorder="1" applyProtection="1"/>
    <xf numFmtId="0" fontId="14" fillId="0" borderId="0" xfId="0" applyFont="1"/>
    <xf numFmtId="4" fontId="7" fillId="0" borderId="19" xfId="0" applyNumberFormat="1" applyFont="1" applyBorder="1"/>
    <xf numFmtId="0" fontId="7" fillId="0" borderId="4" xfId="0" applyFont="1" applyBorder="1"/>
    <xf numFmtId="14" fontId="0" fillId="0" borderId="0" xfId="0" applyNumberFormat="1"/>
    <xf numFmtId="0" fontId="0" fillId="0" borderId="0" xfId="0" applyFill="1"/>
    <xf numFmtId="17" fontId="0" fillId="0" borderId="0" xfId="0" applyNumberFormat="1" applyFill="1"/>
    <xf numFmtId="4" fontId="0" fillId="0" borderId="0" xfId="0" applyNumberFormat="1" applyFill="1"/>
    <xf numFmtId="3" fontId="0" fillId="0" borderId="0" xfId="0" applyNumberFormat="1" applyFill="1"/>
    <xf numFmtId="15" fontId="0" fillId="0" borderId="0" xfId="0" applyNumberFormat="1" applyFill="1"/>
    <xf numFmtId="172" fontId="0" fillId="0" borderId="0" xfId="0" applyNumberFormat="1" applyFill="1"/>
    <xf numFmtId="175" fontId="0" fillId="0" borderId="0" xfId="0" applyNumberFormat="1" applyFill="1"/>
    <xf numFmtId="0" fontId="0" fillId="0" borderId="20" xfId="0" applyBorder="1"/>
    <xf numFmtId="0" fontId="0" fillId="0" borderId="20" xfId="0" applyFill="1" applyBorder="1"/>
    <xf numFmtId="4" fontId="0" fillId="0" borderId="20" xfId="0" applyNumberFormat="1" applyFill="1" applyBorder="1"/>
    <xf numFmtId="3" fontId="0" fillId="0" borderId="20" xfId="0" applyNumberFormat="1" applyFill="1" applyBorder="1"/>
    <xf numFmtId="15" fontId="0" fillId="0" borderId="20" xfId="0" applyNumberFormat="1" applyFill="1" applyBorder="1"/>
    <xf numFmtId="172" fontId="0" fillId="0" borderId="20" xfId="0" applyNumberFormat="1" applyFill="1" applyBorder="1"/>
    <xf numFmtId="175" fontId="0" fillId="0" borderId="20" xfId="0" applyNumberFormat="1" applyFill="1" applyBorder="1"/>
    <xf numFmtId="0" fontId="0" fillId="2" borderId="21" xfId="0" applyFill="1" applyBorder="1"/>
    <xf numFmtId="0" fontId="0" fillId="0" borderId="22" xfId="0" applyFill="1" applyBorder="1"/>
    <xf numFmtId="4" fontId="11" fillId="0" borderId="0" xfId="0" applyNumberFormat="1" applyFont="1" applyFill="1" applyBorder="1"/>
    <xf numFmtId="4" fontId="0" fillId="0" borderId="0" xfId="0" applyNumberFormat="1" applyFill="1" applyBorder="1"/>
    <xf numFmtId="0" fontId="0" fillId="3" borderId="0" xfId="0" applyFill="1" applyBorder="1"/>
    <xf numFmtId="15" fontId="0" fillId="0" borderId="0" xfId="0" applyNumberFormat="1" applyFill="1" applyBorder="1"/>
    <xf numFmtId="172" fontId="0" fillId="0" borderId="0" xfId="0" applyNumberFormat="1" applyFill="1" applyBorder="1"/>
    <xf numFmtId="175" fontId="0" fillId="0" borderId="0" xfId="0" applyNumberFormat="1" applyFill="1" applyBorder="1"/>
    <xf numFmtId="175" fontId="1" fillId="0" borderId="0" xfId="0" applyNumberFormat="1" applyFont="1" applyFill="1" applyBorder="1"/>
    <xf numFmtId="14" fontId="0" fillId="0" borderId="23" xfId="0" applyNumberFormat="1" applyFill="1" applyBorder="1"/>
    <xf numFmtId="0" fontId="0" fillId="2" borderId="23" xfId="0" applyFill="1" applyBorder="1" applyAlignment="1">
      <alignment horizontal="center" textRotation="255"/>
    </xf>
    <xf numFmtId="4" fontId="11" fillId="0" borderId="20" xfId="0" applyNumberFormat="1" applyFont="1" applyFill="1" applyBorder="1"/>
    <xf numFmtId="14" fontId="0" fillId="0" borderId="25" xfId="0" applyNumberFormat="1" applyFill="1" applyBorder="1"/>
    <xf numFmtId="4" fontId="0" fillId="0" borderId="26" xfId="0" applyNumberFormat="1" applyFill="1" applyBorder="1"/>
    <xf numFmtId="0" fontId="0" fillId="0" borderId="26" xfId="0" applyFill="1" applyBorder="1"/>
    <xf numFmtId="172" fontId="0" fillId="0" borderId="26" xfId="0" applyNumberFormat="1" applyFill="1" applyBorder="1"/>
    <xf numFmtId="0" fontId="0" fillId="0" borderId="27" xfId="0" applyFill="1" applyBorder="1"/>
    <xf numFmtId="0" fontId="0" fillId="5" borderId="23" xfId="0" applyFill="1" applyBorder="1" applyAlignment="1">
      <alignment textRotation="255"/>
    </xf>
    <xf numFmtId="0" fontId="0" fillId="6" borderId="0" xfId="0" applyFill="1" applyAlignment="1">
      <alignment horizontal="center" textRotation="255"/>
    </xf>
    <xf numFmtId="175" fontId="0" fillId="2" borderId="0" xfId="0" applyNumberFormat="1" applyFill="1" applyBorder="1"/>
    <xf numFmtId="3" fontId="0" fillId="2" borderId="0" xfId="0" applyNumberFormat="1" applyFill="1" applyBorder="1"/>
    <xf numFmtId="172" fontId="0" fillId="2" borderId="0" xfId="0" applyNumberFormat="1" applyFill="1" applyBorder="1"/>
    <xf numFmtId="175" fontId="1" fillId="2" borderId="0" xfId="0" applyNumberFormat="1" applyFont="1" applyFill="1" applyBorder="1"/>
    <xf numFmtId="0" fontId="0" fillId="2" borderId="0" xfId="0" applyFill="1" applyBorder="1"/>
    <xf numFmtId="0" fontId="1" fillId="0" borderId="0" xfId="0" applyFont="1" applyFill="1"/>
    <xf numFmtId="170" fontId="0" fillId="3" borderId="0" xfId="1" applyFont="1" applyFill="1"/>
    <xf numFmtId="176" fontId="0" fillId="3" borderId="0" xfId="1" applyNumberFormat="1" applyFont="1" applyFill="1"/>
    <xf numFmtId="14" fontId="0" fillId="3" borderId="0" xfId="1" applyNumberFormat="1" applyFont="1" applyFill="1"/>
    <xf numFmtId="177" fontId="0" fillId="3" borderId="0" xfId="1" applyNumberFormat="1" applyFont="1" applyFill="1"/>
    <xf numFmtId="176" fontId="0" fillId="0" borderId="0" xfId="1" applyNumberFormat="1" applyFont="1" applyFill="1"/>
    <xf numFmtId="14" fontId="0" fillId="0" borderId="0" xfId="1" applyNumberFormat="1" applyFont="1" applyFill="1"/>
    <xf numFmtId="176" fontId="8" fillId="0" borderId="0" xfId="1" applyNumberFormat="1" applyFont="1"/>
    <xf numFmtId="176" fontId="0" fillId="0" borderId="0" xfId="1" applyNumberFormat="1" applyFont="1"/>
    <xf numFmtId="170" fontId="0" fillId="6" borderId="0" xfId="1" applyFont="1" applyFill="1"/>
    <xf numFmtId="170" fontId="8" fillId="6" borderId="0" xfId="1" applyFont="1" applyFill="1"/>
    <xf numFmtId="0" fontId="1" fillId="8" borderId="0" xfId="0" applyFont="1" applyFill="1"/>
    <xf numFmtId="177" fontId="0" fillId="0" borderId="0" xfId="1" applyNumberFormat="1" applyFont="1" applyFill="1"/>
    <xf numFmtId="170" fontId="11" fillId="0" borderId="0" xfId="1" applyFont="1"/>
    <xf numFmtId="177" fontId="0" fillId="2" borderId="0" xfId="1" applyNumberFormat="1" applyFont="1" applyFill="1"/>
    <xf numFmtId="170" fontId="5" fillId="0" borderId="0" xfId="0" applyNumberFormat="1" applyFont="1" applyFill="1"/>
    <xf numFmtId="4" fontId="5" fillId="0" borderId="0" xfId="0" applyNumberFormat="1" applyFont="1" applyFill="1"/>
    <xf numFmtId="170" fontId="9" fillId="0" borderId="0" xfId="0" applyNumberFormat="1" applyFont="1" applyFill="1"/>
    <xf numFmtId="4" fontId="9" fillId="0" borderId="0" xfId="0" applyNumberFormat="1" applyFont="1" applyFill="1"/>
    <xf numFmtId="170" fontId="9" fillId="0" borderId="0" xfId="1" applyFont="1" applyFill="1"/>
    <xf numFmtId="170" fontId="9" fillId="2" borderId="0" xfId="0" applyNumberFormat="1" applyFont="1" applyFill="1"/>
    <xf numFmtId="0" fontId="0" fillId="2" borderId="24" xfId="0" applyFill="1" applyBorder="1" applyAlignment="1">
      <alignment horizontal="center" textRotation="255"/>
    </xf>
    <xf numFmtId="0" fontId="0" fillId="4" borderId="0" xfId="0" applyFill="1" applyAlignment="1">
      <alignment horizontal="center" textRotation="255"/>
    </xf>
    <xf numFmtId="0" fontId="0" fillId="6" borderId="0" xfId="0" applyFill="1" applyAlignment="1">
      <alignment horizontal="center" textRotation="255"/>
    </xf>
    <xf numFmtId="0" fontId="0" fillId="7" borderId="0" xfId="0" applyFill="1" applyAlignment="1">
      <alignment horizontal="center" textRotation="255"/>
    </xf>
    <xf numFmtId="170" fontId="10" fillId="0" borderId="0" xfId="1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1304925</xdr:colOff>
      <xdr:row>7</xdr:row>
      <xdr:rowOff>85725</xdr:rowOff>
    </xdr:to>
    <xdr:pic>
      <xdr:nvPicPr>
        <xdr:cNvPr id="2050" name="Picture 2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0"/>
          <a:ext cx="1295400" cy="12192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142875</xdr:rowOff>
    </xdr:from>
    <xdr:to>
      <xdr:col>0</xdr:col>
      <xdr:colOff>1095375</xdr:colOff>
      <xdr:row>6</xdr:row>
      <xdr:rowOff>180975</xdr:rowOff>
    </xdr:to>
    <xdr:pic>
      <xdr:nvPicPr>
        <xdr:cNvPr id="102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304800"/>
          <a:ext cx="10191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0</xdr:col>
      <xdr:colOff>1143000</xdr:colOff>
      <xdr:row>6</xdr:row>
      <xdr:rowOff>76200</xdr:rowOff>
    </xdr:to>
    <xdr:pic>
      <xdr:nvPicPr>
        <xdr:cNvPr id="5121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0"/>
          <a:ext cx="1114425" cy="10477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0</xdr:col>
      <xdr:colOff>1123950</xdr:colOff>
      <xdr:row>6</xdr:row>
      <xdr:rowOff>104775</xdr:rowOff>
    </xdr:to>
    <xdr:pic>
      <xdr:nvPicPr>
        <xdr:cNvPr id="3073" name="Picture 1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0</xdr:row>
      <xdr:rowOff>28575</xdr:rowOff>
    </xdr:from>
    <xdr:to>
      <xdr:col>0</xdr:col>
      <xdr:colOff>1123950</xdr:colOff>
      <xdr:row>6</xdr:row>
      <xdr:rowOff>104775</xdr:rowOff>
    </xdr:to>
    <xdr:pic>
      <xdr:nvPicPr>
        <xdr:cNvPr id="3074" name="Picture 2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28575</xdr:rowOff>
    </xdr:from>
    <xdr:to>
      <xdr:col>0</xdr:col>
      <xdr:colOff>1123950</xdr:colOff>
      <xdr:row>6</xdr:row>
      <xdr:rowOff>104775</xdr:rowOff>
    </xdr:to>
    <xdr:pic>
      <xdr:nvPicPr>
        <xdr:cNvPr id="4098" name="Picture 2" descr="logo_cicodelpa_final_BR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28575"/>
          <a:ext cx="1114425" cy="104775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osy\Mis%20documentos\Downloads\Kardex\2010\DICIEMBRE%20201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BUCHE "/>
      <sheetName val="C.DE LOMO MAPLE"/>
      <sheetName val="CABEZA CON PAPADA"/>
      <sheetName val="CABEZA DE LOMO MAPLE"/>
      <sheetName val="Cabeza lomo Smith"/>
      <sheetName val="Cab. de Lomo Vershoor"/>
      <sheetName val="CABEZA CON PAPADA PREMIUN"/>
      <sheetName val="CONTRA SWIFT"/>
      <sheetName val="CONTRA IBP"/>
      <sheetName val="Contra National"/>
      <sheetName val="Corbata SWIFT"/>
      <sheetName val="CORBATA Farmland"/>
      <sheetName val="CORBATA F.JBO"/>
      <sheetName val="CORBATA CURLYS"/>
      <sheetName val="CUERO FARMLAND COMBO"/>
      <sheetName val="CUERO PAPEL BELLY"/>
      <sheetName val="Cuero SM"/>
      <sheetName val="CARNERO CANAL"/>
      <sheetName val="ESPALDILLA DE CARNERO ALLIANCE"/>
      <sheetName val="Filete de pescado"/>
      <sheetName val="Filete pescado BASA"/>
      <sheetName val="GRASA DE PUERCO"/>
      <sheetName val="Labio Farmland"/>
      <sheetName val="LENGUA DE CERDO SWIFT"/>
      <sheetName val="Lengua de Res"/>
      <sheetName val="Marrana en Combo"/>
      <sheetName val="MENUDO EXCEL 86M"/>
      <sheetName val="Menudo IBP"/>
      <sheetName val="NANA "/>
      <sheetName val="PATITAS FARMLAND"/>
      <sheetName val="Pavo Crudo"/>
      <sheetName val="PERNIL CON PIEL"/>
      <sheetName val="Pulpa Negra"/>
      <sheetName val="Recorte 80-20"/>
      <sheetName val="SESOS EN COPA "/>
      <sheetName val="Sesos marqueta FARMLAND"/>
      <sheetName val="Trompa Excel"/>
      <sheetName val="Trompa Farmland"/>
      <sheetName val="Trompa John Morrell"/>
      <sheetName val="Trompa Seaboard"/>
      <sheetName val="Tocino IBP"/>
    </sheetNames>
    <sheetDataSet>
      <sheetData sheetId="0" refreshError="1"/>
      <sheetData sheetId="1">
        <row r="5">
          <cell r="C5" t="str">
            <v>BUCHE MAPLE</v>
          </cell>
        </row>
        <row r="212">
          <cell r="G212">
            <v>340</v>
          </cell>
          <cell r="H212">
            <v>34</v>
          </cell>
        </row>
      </sheetData>
      <sheetData sheetId="2">
        <row r="207">
          <cell r="G207">
            <v>2563.0000000000055</v>
          </cell>
          <cell r="H207">
            <v>3</v>
          </cell>
        </row>
      </sheetData>
      <sheetData sheetId="3" refreshError="1"/>
      <sheetData sheetId="4">
        <row r="5">
          <cell r="C5" t="str">
            <v>CABEZA DE LOMO MAPLE</v>
          </cell>
        </row>
      </sheetData>
      <sheetData sheetId="5" refreshError="1"/>
      <sheetData sheetId="6" refreshError="1"/>
      <sheetData sheetId="7" refreshError="1"/>
      <sheetData sheetId="8">
        <row r="5">
          <cell r="C5" t="str">
            <v>CONTRA (GOOSENECK) SWIFT</v>
          </cell>
        </row>
        <row r="198">
          <cell r="G198">
            <v>27289.19</v>
          </cell>
          <cell r="H198">
            <v>898</v>
          </cell>
        </row>
      </sheetData>
      <sheetData sheetId="9" refreshError="1"/>
      <sheetData sheetId="10" refreshError="1"/>
      <sheetData sheetId="11">
        <row r="5">
          <cell r="C5" t="str">
            <v>CORBATA SWIFT</v>
          </cell>
        </row>
        <row r="207">
          <cell r="G207">
            <v>10976.069999999996</v>
          </cell>
          <cell r="H207">
            <v>539</v>
          </cell>
        </row>
      </sheetData>
      <sheetData sheetId="12" refreshError="1"/>
      <sheetData sheetId="13">
        <row r="5">
          <cell r="C5" t="str">
            <v>CORBATA FARMLAND JBO</v>
          </cell>
        </row>
        <row r="206">
          <cell r="G206">
            <v>2574</v>
          </cell>
          <cell r="H206">
            <v>198</v>
          </cell>
        </row>
      </sheetData>
      <sheetData sheetId="14" refreshError="1"/>
      <sheetData sheetId="15" refreshError="1"/>
      <sheetData sheetId="16">
        <row r="5">
          <cell r="C5" t="str">
            <v>CUERO PAPEL BELLY FARMLAND</v>
          </cell>
        </row>
        <row r="214">
          <cell r="G214">
            <v>26430.61999999997</v>
          </cell>
          <cell r="H214">
            <v>971</v>
          </cell>
        </row>
      </sheetData>
      <sheetData sheetId="17" refreshError="1"/>
      <sheetData sheetId="18">
        <row r="5">
          <cell r="C5" t="str">
            <v>CARNERO CANAL</v>
          </cell>
        </row>
        <row r="207">
          <cell r="G207">
            <v>809.8</v>
          </cell>
          <cell r="H207">
            <v>38</v>
          </cell>
        </row>
      </sheetData>
      <sheetData sheetId="19">
        <row r="5">
          <cell r="C5" t="str">
            <v>ESPALDILLA DE CARNERO ALLIANCE</v>
          </cell>
        </row>
        <row r="207">
          <cell r="G207">
            <v>-0.95999999999997954</v>
          </cell>
          <cell r="H207">
            <v>0</v>
          </cell>
        </row>
      </sheetData>
      <sheetData sheetId="20" refreshError="1"/>
      <sheetData sheetId="21">
        <row r="5">
          <cell r="C5" t="str">
            <v>FILETE DE PESCADO BASA</v>
          </cell>
        </row>
        <row r="207">
          <cell r="G207">
            <v>100</v>
          </cell>
          <cell r="H207">
            <v>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5">
          <cell r="C5" t="str">
            <v>MENUDO EXCEL</v>
          </cell>
        </row>
        <row r="210">
          <cell r="G210">
            <v>5444.1999999999989</v>
          </cell>
          <cell r="H210">
            <v>200</v>
          </cell>
        </row>
      </sheetData>
      <sheetData sheetId="28" refreshError="1"/>
      <sheetData sheetId="29" refreshError="1"/>
      <sheetData sheetId="30" refreshError="1"/>
      <sheetData sheetId="31">
        <row r="5">
          <cell r="C5" t="str">
            <v>PAVO CRUDO</v>
          </cell>
        </row>
        <row r="207">
          <cell r="G207">
            <v>1550.7999999999995</v>
          </cell>
          <cell r="H207">
            <v>77</v>
          </cell>
        </row>
      </sheetData>
      <sheetData sheetId="32">
        <row r="5">
          <cell r="C5" t="str">
            <v>PERNIL CON PIEL</v>
          </cell>
        </row>
        <row r="1305">
          <cell r="G1305">
            <v>8268.8900000000394</v>
          </cell>
          <cell r="H1305">
            <v>9</v>
          </cell>
        </row>
      </sheetData>
      <sheetData sheetId="33" refreshError="1"/>
      <sheetData sheetId="34" refreshError="1"/>
      <sheetData sheetId="35">
        <row r="5">
          <cell r="C5" t="str">
            <v>SESOS EN COPA FARMLAND</v>
          </cell>
        </row>
        <row r="212">
          <cell r="G212">
            <v>5212.719500000002</v>
          </cell>
          <cell r="H212">
            <v>959</v>
          </cell>
        </row>
      </sheetData>
      <sheetData sheetId="36">
        <row r="5">
          <cell r="C5" t="str">
            <v>SESOS MARQUETA FARMLAND</v>
          </cell>
        </row>
        <row r="208">
          <cell r="G208">
            <v>285.80999999999983</v>
          </cell>
          <cell r="H208">
            <v>21</v>
          </cell>
        </row>
      </sheetData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topLeftCell="A49" workbookViewId="0">
      <selection activeCell="B63" sqref="B63"/>
    </sheetView>
  </sheetViews>
  <sheetFormatPr baseColWidth="10" defaultRowHeight="12.75"/>
  <cols>
    <col min="1" max="1" width="3.42578125" customWidth="1"/>
    <col min="2" max="2" width="6" customWidth="1"/>
    <col min="3" max="3" width="17.140625" customWidth="1"/>
    <col min="4" max="4" width="26.28515625" customWidth="1"/>
    <col min="5" max="5" width="16.7109375" customWidth="1"/>
    <col min="6" max="6" width="19.140625" customWidth="1"/>
    <col min="7" max="7" width="13" customWidth="1"/>
  </cols>
  <sheetData>
    <row r="1" spans="1:9">
      <c r="A1" s="130" t="s">
        <v>414</v>
      </c>
      <c r="B1" s="130"/>
      <c r="C1" s="130"/>
      <c r="D1" s="132"/>
      <c r="E1" s="62"/>
      <c r="F1" s="62"/>
      <c r="G1" s="130"/>
      <c r="H1" s="130"/>
      <c r="I1" s="130"/>
    </row>
    <row r="2" spans="1:9">
      <c r="A2" s="130"/>
      <c r="B2" s="130"/>
      <c r="C2" s="130"/>
      <c r="D2" s="132"/>
      <c r="E2" s="62"/>
      <c r="F2" s="62"/>
      <c r="G2" s="130"/>
      <c r="H2" s="130"/>
      <c r="I2" s="130"/>
    </row>
    <row r="3" spans="1:9">
      <c r="A3" s="168" t="s">
        <v>415</v>
      </c>
      <c r="B3" s="130">
        <v>31</v>
      </c>
      <c r="C3" s="169">
        <v>348690</v>
      </c>
      <c r="D3" s="169" t="s">
        <v>416</v>
      </c>
      <c r="E3" s="170" t="s">
        <v>417</v>
      </c>
      <c r="F3" s="169" t="s">
        <v>418</v>
      </c>
      <c r="G3" s="171">
        <v>40540</v>
      </c>
      <c r="H3" s="169" t="s">
        <v>419</v>
      </c>
      <c r="I3" s="72"/>
    </row>
    <row r="4" spans="1:9">
      <c r="A4" s="168" t="s">
        <v>415</v>
      </c>
      <c r="B4" s="130">
        <v>31</v>
      </c>
      <c r="C4" s="169">
        <f>31799.21*G4</f>
        <v>394246.60557999997</v>
      </c>
      <c r="D4" s="169" t="s">
        <v>420</v>
      </c>
      <c r="E4" s="170" t="s">
        <v>421</v>
      </c>
      <c r="F4" s="169" t="s">
        <v>422</v>
      </c>
      <c r="G4" s="172">
        <v>12.398</v>
      </c>
      <c r="H4" s="171">
        <v>40542</v>
      </c>
      <c r="I4" s="169" t="s">
        <v>423</v>
      </c>
    </row>
    <row r="5" spans="1:9">
      <c r="A5" s="168" t="s">
        <v>415</v>
      </c>
      <c r="B5" s="130">
        <v>31</v>
      </c>
      <c r="C5" s="169">
        <v>451781.85</v>
      </c>
      <c r="D5" s="169" t="s">
        <v>424</v>
      </c>
      <c r="E5" s="170" t="s">
        <v>379</v>
      </c>
      <c r="F5" s="169" t="s">
        <v>425</v>
      </c>
      <c r="G5" s="171">
        <v>40541</v>
      </c>
      <c r="H5" s="169" t="s">
        <v>426</v>
      </c>
      <c r="I5" s="62"/>
    </row>
    <row r="6" spans="1:9">
      <c r="A6" s="168" t="s">
        <v>415</v>
      </c>
      <c r="B6" s="130">
        <v>31</v>
      </c>
      <c r="C6" s="169">
        <f>22872+24160.5+43726.5</f>
        <v>90759</v>
      </c>
      <c r="D6" s="169" t="s">
        <v>427</v>
      </c>
      <c r="E6" s="170" t="s">
        <v>428</v>
      </c>
      <c r="F6" s="169" t="s">
        <v>429</v>
      </c>
      <c r="G6" s="171">
        <v>40543</v>
      </c>
      <c r="H6" s="169" t="s">
        <v>430</v>
      </c>
      <c r="I6" s="62"/>
    </row>
    <row r="7" spans="1:9">
      <c r="A7" s="168" t="s">
        <v>415</v>
      </c>
      <c r="B7" s="130">
        <v>31</v>
      </c>
      <c r="C7" s="62">
        <v>445867.97</v>
      </c>
      <c r="D7" s="62" t="s">
        <v>431</v>
      </c>
      <c r="E7" s="173" t="s">
        <v>432</v>
      </c>
      <c r="F7" s="62" t="s">
        <v>433</v>
      </c>
      <c r="G7" s="174"/>
      <c r="H7" s="62"/>
      <c r="I7" s="62"/>
    </row>
    <row r="8" spans="1:9">
      <c r="A8" s="168" t="s">
        <v>415</v>
      </c>
      <c r="B8" s="130">
        <v>31</v>
      </c>
      <c r="C8" s="62">
        <v>155154</v>
      </c>
      <c r="D8" s="62" t="s">
        <v>434</v>
      </c>
      <c r="E8" s="173" t="s">
        <v>435</v>
      </c>
      <c r="F8" s="62" t="s">
        <v>436</v>
      </c>
      <c r="G8" s="174" t="s">
        <v>437</v>
      </c>
      <c r="H8" s="62"/>
      <c r="I8" s="62"/>
    </row>
    <row r="9" spans="1:9">
      <c r="A9" s="168" t="s">
        <v>415</v>
      </c>
      <c r="B9" s="130">
        <v>31</v>
      </c>
      <c r="C9" s="72">
        <f>20077+25619+23460+13216+19482</f>
        <v>101854</v>
      </c>
      <c r="D9" s="72" t="s">
        <v>438</v>
      </c>
      <c r="E9" s="175" t="s">
        <v>439</v>
      </c>
      <c r="F9" s="72" t="s">
        <v>429</v>
      </c>
      <c r="G9" s="72"/>
      <c r="H9" s="72"/>
      <c r="I9" s="72"/>
    </row>
    <row r="10" spans="1:9">
      <c r="A10" s="168"/>
      <c r="B10" s="130">
        <v>31</v>
      </c>
      <c r="C10" s="72">
        <f>1942+3639.1</f>
        <v>5581.1</v>
      </c>
      <c r="D10" s="72" t="s">
        <v>440</v>
      </c>
      <c r="E10" s="176" t="s">
        <v>441</v>
      </c>
      <c r="F10" s="72" t="s">
        <v>442</v>
      </c>
      <c r="G10" s="72"/>
      <c r="H10" s="72"/>
      <c r="I10" s="72"/>
    </row>
    <row r="11" spans="1:9">
      <c r="A11" s="168"/>
      <c r="B11" s="130">
        <v>31</v>
      </c>
      <c r="C11" s="169">
        <v>43935</v>
      </c>
      <c r="D11" s="169" t="s">
        <v>443</v>
      </c>
      <c r="E11" s="170" t="s">
        <v>311</v>
      </c>
      <c r="F11" s="169" t="s">
        <v>418</v>
      </c>
      <c r="G11" s="169"/>
      <c r="H11" s="72"/>
      <c r="I11" s="72"/>
    </row>
    <row r="12" spans="1:9">
      <c r="A12" s="168"/>
      <c r="B12" s="130">
        <v>31</v>
      </c>
      <c r="C12" s="62">
        <f>19312+20910+19210+18704.42</f>
        <v>78136.42</v>
      </c>
      <c r="D12" s="177" t="s">
        <v>444</v>
      </c>
      <c r="E12" s="173" t="s">
        <v>445</v>
      </c>
      <c r="F12" s="62" t="s">
        <v>429</v>
      </c>
      <c r="G12" s="62"/>
      <c r="H12" s="62"/>
      <c r="I12" s="62"/>
    </row>
    <row r="13" spans="1:9">
      <c r="A13" s="168"/>
      <c r="B13" s="130">
        <v>31</v>
      </c>
      <c r="C13" s="62">
        <f>922.5+2019.4</f>
        <v>2941.9</v>
      </c>
      <c r="D13" s="177" t="s">
        <v>446</v>
      </c>
      <c r="E13" s="173" t="s">
        <v>447</v>
      </c>
      <c r="F13" s="62" t="s">
        <v>442</v>
      </c>
      <c r="G13" s="62"/>
      <c r="H13" s="62"/>
      <c r="I13" s="62"/>
    </row>
    <row r="14" spans="1:9">
      <c r="A14" s="168"/>
      <c r="B14">
        <v>31</v>
      </c>
      <c r="C14" s="72">
        <f>5498+22780+4160+10455+18754.5</f>
        <v>61647.5</v>
      </c>
      <c r="D14" s="178" t="s">
        <v>448</v>
      </c>
      <c r="E14" s="175" t="s">
        <v>449</v>
      </c>
      <c r="F14" s="72" t="s">
        <v>429</v>
      </c>
      <c r="G14" s="72"/>
      <c r="H14" s="72"/>
      <c r="I14" s="72"/>
    </row>
    <row r="15" spans="1:9">
      <c r="A15" s="168"/>
      <c r="B15" s="130">
        <v>31</v>
      </c>
      <c r="C15" s="169" t="s">
        <v>450</v>
      </c>
      <c r="D15" s="169" t="s">
        <v>451</v>
      </c>
      <c r="E15" s="170"/>
      <c r="F15" s="169" t="s">
        <v>418</v>
      </c>
      <c r="G15" s="169" t="s">
        <v>452</v>
      </c>
      <c r="H15" s="72"/>
      <c r="I15" s="72"/>
    </row>
    <row r="16" spans="1:9">
      <c r="A16" s="168"/>
      <c r="B16" s="130">
        <v>31</v>
      </c>
      <c r="C16" s="62">
        <v>89600</v>
      </c>
      <c r="D16" s="72" t="s">
        <v>453</v>
      </c>
      <c r="E16" s="176"/>
      <c r="F16" s="72" t="s">
        <v>418</v>
      </c>
      <c r="G16" s="72" t="s">
        <v>385</v>
      </c>
      <c r="H16" s="72"/>
      <c r="I16" s="72"/>
    </row>
    <row r="17" spans="1:9">
      <c r="A17" s="168"/>
      <c r="B17" s="130">
        <v>31</v>
      </c>
      <c r="C17" s="62">
        <v>349492</v>
      </c>
      <c r="D17" s="72" t="s">
        <v>454</v>
      </c>
      <c r="E17" s="176"/>
      <c r="F17" s="72" t="s">
        <v>418</v>
      </c>
      <c r="G17" s="72" t="s">
        <v>401</v>
      </c>
      <c r="H17" s="72"/>
      <c r="I17" s="72"/>
    </row>
    <row r="18" spans="1:9">
      <c r="A18" s="168"/>
      <c r="B18" s="130">
        <v>31</v>
      </c>
      <c r="C18" s="62">
        <v>209617.07800000001</v>
      </c>
      <c r="D18" s="72" t="s">
        <v>454</v>
      </c>
      <c r="E18" s="176"/>
      <c r="F18" s="72" t="s">
        <v>455</v>
      </c>
      <c r="G18" s="72"/>
      <c r="H18" s="72"/>
      <c r="I18" s="72"/>
    </row>
    <row r="19" spans="1:9">
      <c r="A19" s="168" t="s">
        <v>456</v>
      </c>
      <c r="B19" s="130"/>
      <c r="C19" s="72"/>
      <c r="D19" s="72"/>
      <c r="E19" s="176"/>
      <c r="F19" s="72"/>
      <c r="G19" s="72"/>
      <c r="H19" s="72"/>
      <c r="I19" s="72"/>
    </row>
    <row r="20" spans="1:9">
      <c r="A20" s="179" t="s">
        <v>457</v>
      </c>
      <c r="B20" s="130">
        <v>1</v>
      </c>
      <c r="C20" s="72"/>
      <c r="D20" s="72"/>
      <c r="E20" s="176"/>
      <c r="F20" s="72"/>
      <c r="G20" s="72"/>
      <c r="H20" s="72"/>
      <c r="I20" s="72"/>
    </row>
    <row r="21" spans="1:9">
      <c r="A21" s="179" t="s">
        <v>458</v>
      </c>
      <c r="B21" s="130">
        <v>2</v>
      </c>
      <c r="C21" s="72"/>
      <c r="D21" s="72"/>
      <c r="E21" s="176"/>
      <c r="F21" s="72"/>
      <c r="G21" s="72"/>
      <c r="H21" s="72"/>
      <c r="I21" s="72"/>
    </row>
    <row r="22" spans="1:9">
      <c r="A22" s="168" t="s">
        <v>459</v>
      </c>
      <c r="B22" s="130">
        <v>3</v>
      </c>
      <c r="C22" s="169">
        <f>48379.2*G22</f>
        <v>598934.49600000004</v>
      </c>
      <c r="D22" s="169" t="s">
        <v>460</v>
      </c>
      <c r="E22" s="170" t="s">
        <v>318</v>
      </c>
      <c r="F22" s="169" t="s">
        <v>461</v>
      </c>
      <c r="G22" s="172">
        <v>12.38</v>
      </c>
      <c r="H22" s="171">
        <v>40541</v>
      </c>
      <c r="I22" s="169" t="s">
        <v>462</v>
      </c>
    </row>
    <row r="23" spans="1:9">
      <c r="A23" s="168"/>
      <c r="B23" s="130">
        <v>3</v>
      </c>
      <c r="C23" s="169">
        <v>907997.86</v>
      </c>
      <c r="D23" s="169" t="s">
        <v>463</v>
      </c>
      <c r="E23" s="170" t="s">
        <v>359</v>
      </c>
      <c r="F23" s="169" t="s">
        <v>464</v>
      </c>
      <c r="G23" s="171">
        <v>40542</v>
      </c>
      <c r="H23" s="169" t="s">
        <v>465</v>
      </c>
      <c r="I23" s="72"/>
    </row>
    <row r="24" spans="1:9">
      <c r="A24" s="168"/>
      <c r="B24" s="130">
        <v>3</v>
      </c>
      <c r="C24" s="72">
        <v>388515</v>
      </c>
      <c r="D24" s="72" t="s">
        <v>466</v>
      </c>
      <c r="E24" s="176" t="s">
        <v>387</v>
      </c>
      <c r="F24" s="72" t="s">
        <v>418</v>
      </c>
      <c r="G24" s="180"/>
      <c r="H24" s="72"/>
      <c r="I24" s="72"/>
    </row>
    <row r="25" spans="1:9">
      <c r="A25" s="168" t="s">
        <v>467</v>
      </c>
      <c r="B25" s="130">
        <v>4</v>
      </c>
      <c r="C25" s="72"/>
      <c r="D25" s="72"/>
      <c r="E25" s="176"/>
      <c r="F25" s="72"/>
      <c r="G25" s="72"/>
      <c r="H25" s="72"/>
      <c r="I25" s="72"/>
    </row>
    <row r="26" spans="1:9">
      <c r="A26" s="168" t="s">
        <v>468</v>
      </c>
      <c r="B26" s="130">
        <v>5</v>
      </c>
      <c r="C26" s="169">
        <f>51202.08*G26</f>
        <v>633881.75040000002</v>
      </c>
      <c r="D26" s="169" t="s">
        <v>469</v>
      </c>
      <c r="E26" s="170" t="s">
        <v>327</v>
      </c>
      <c r="F26" s="169" t="s">
        <v>470</v>
      </c>
      <c r="G26" s="172">
        <v>12.38</v>
      </c>
      <c r="H26" s="171">
        <v>40541</v>
      </c>
      <c r="I26" s="169" t="s">
        <v>471</v>
      </c>
    </row>
    <row r="27" spans="1:9">
      <c r="A27" s="168"/>
      <c r="B27" s="130">
        <v>5</v>
      </c>
      <c r="C27" s="169">
        <f>47361.14*G27</f>
        <v>586330.91320000007</v>
      </c>
      <c r="D27" s="169" t="s">
        <v>472</v>
      </c>
      <c r="E27" s="170" t="s">
        <v>330</v>
      </c>
      <c r="F27" s="169" t="s">
        <v>473</v>
      </c>
      <c r="G27" s="172">
        <v>12.38</v>
      </c>
      <c r="H27" s="171">
        <v>40541</v>
      </c>
      <c r="I27" s="169" t="s">
        <v>474</v>
      </c>
    </row>
    <row r="28" spans="1:9">
      <c r="A28" s="168"/>
      <c r="B28" s="130">
        <v>5</v>
      </c>
      <c r="C28" s="62">
        <v>356094</v>
      </c>
      <c r="D28" s="62" t="s">
        <v>475</v>
      </c>
      <c r="E28" s="173" t="s">
        <v>396</v>
      </c>
      <c r="F28" s="62" t="s">
        <v>418</v>
      </c>
      <c r="G28" s="180"/>
      <c r="H28" s="174"/>
      <c r="I28" s="62"/>
    </row>
    <row r="29" spans="1:9">
      <c r="A29" s="168" t="s">
        <v>476</v>
      </c>
      <c r="B29" s="130">
        <v>6</v>
      </c>
      <c r="C29" s="181">
        <v>392615.5</v>
      </c>
      <c r="D29" s="181" t="s">
        <v>477</v>
      </c>
      <c r="E29" s="176" t="s">
        <v>332</v>
      </c>
      <c r="F29" s="72" t="s">
        <v>418</v>
      </c>
      <c r="G29" s="72"/>
      <c r="H29" s="72"/>
      <c r="I29" s="72"/>
    </row>
    <row r="30" spans="1:9">
      <c r="A30" s="168" t="s">
        <v>415</v>
      </c>
      <c r="B30" s="130">
        <v>7</v>
      </c>
      <c r="C30" s="169">
        <f>45894.5*G30</f>
        <v>568173.91</v>
      </c>
      <c r="D30" s="169" t="s">
        <v>478</v>
      </c>
      <c r="E30" s="170" t="s">
        <v>339</v>
      </c>
      <c r="F30" s="169" t="s">
        <v>479</v>
      </c>
      <c r="G30" s="172">
        <v>12.38</v>
      </c>
      <c r="H30" s="171">
        <v>40541</v>
      </c>
      <c r="I30" s="169" t="s">
        <v>480</v>
      </c>
    </row>
    <row r="31" spans="1:9">
      <c r="A31" s="179" t="s">
        <v>457</v>
      </c>
      <c r="B31">
        <v>8</v>
      </c>
      <c r="C31" s="72"/>
      <c r="D31" s="72"/>
      <c r="E31" s="176"/>
      <c r="F31" s="72"/>
      <c r="G31" s="72"/>
      <c r="H31" s="72"/>
      <c r="I31" s="72"/>
    </row>
    <row r="32" spans="1:9">
      <c r="A32" s="179" t="s">
        <v>458</v>
      </c>
      <c r="B32">
        <v>9</v>
      </c>
      <c r="C32" s="72"/>
      <c r="D32" s="72"/>
      <c r="E32" s="176"/>
      <c r="F32" s="72"/>
      <c r="G32" s="72"/>
      <c r="H32" s="72"/>
      <c r="I32" s="72"/>
    </row>
    <row r="33" spans="1:9">
      <c r="A33" s="168" t="s">
        <v>459</v>
      </c>
      <c r="B33">
        <v>10</v>
      </c>
      <c r="C33" s="72"/>
      <c r="D33" s="72"/>
      <c r="E33" s="176"/>
      <c r="F33" s="72"/>
      <c r="G33" s="72"/>
      <c r="H33" s="72"/>
      <c r="I33" s="72"/>
    </row>
    <row r="34" spans="1:9">
      <c r="A34" s="168" t="s">
        <v>467</v>
      </c>
      <c r="B34">
        <v>11</v>
      </c>
      <c r="C34" s="62">
        <v>499967.11</v>
      </c>
      <c r="D34" s="72" t="s">
        <v>481</v>
      </c>
      <c r="E34" s="176" t="s">
        <v>482</v>
      </c>
      <c r="F34" s="72" t="s">
        <v>425</v>
      </c>
      <c r="G34" s="72"/>
      <c r="H34" s="72"/>
      <c r="I34" s="72"/>
    </row>
    <row r="35" spans="1:9">
      <c r="A35" s="168" t="s">
        <v>468</v>
      </c>
      <c r="B35">
        <v>12</v>
      </c>
      <c r="C35" s="62">
        <v>494302.97</v>
      </c>
      <c r="D35" s="72" t="s">
        <v>483</v>
      </c>
      <c r="E35" s="176" t="s">
        <v>484</v>
      </c>
      <c r="F35" s="72" t="s">
        <v>425</v>
      </c>
      <c r="G35" s="72"/>
      <c r="H35" s="72"/>
      <c r="I35" s="72"/>
    </row>
    <row r="36" spans="1:9">
      <c r="A36" s="168" t="s">
        <v>468</v>
      </c>
      <c r="B36" s="130">
        <v>12</v>
      </c>
      <c r="C36" s="169">
        <f>34998.77*G36</f>
        <v>432934.78489999991</v>
      </c>
      <c r="D36" s="169" t="s">
        <v>485</v>
      </c>
      <c r="E36" s="170" t="s">
        <v>371</v>
      </c>
      <c r="F36" s="169" t="s">
        <v>486</v>
      </c>
      <c r="G36" s="172">
        <v>12.37</v>
      </c>
      <c r="H36" s="171">
        <v>40543</v>
      </c>
      <c r="I36" s="169" t="s">
        <v>487</v>
      </c>
    </row>
    <row r="37" spans="1:9">
      <c r="A37" s="168" t="s">
        <v>476</v>
      </c>
      <c r="B37" s="130">
        <v>13</v>
      </c>
      <c r="C37" s="169">
        <f>42953.24*G37</f>
        <v>531331.5787999999</v>
      </c>
      <c r="D37" s="169" t="s">
        <v>488</v>
      </c>
      <c r="E37" s="170" t="s">
        <v>373</v>
      </c>
      <c r="F37" s="169" t="s">
        <v>489</v>
      </c>
      <c r="G37" s="172">
        <v>12.37</v>
      </c>
      <c r="H37" s="171">
        <v>40543</v>
      </c>
      <c r="I37" s="169" t="s">
        <v>490</v>
      </c>
    </row>
    <row r="38" spans="1:9">
      <c r="A38" s="168" t="s">
        <v>415</v>
      </c>
      <c r="B38" s="130">
        <v>14</v>
      </c>
      <c r="C38" s="72">
        <f>802.38*G38</f>
        <v>10029.75</v>
      </c>
      <c r="D38" s="72" t="s">
        <v>491</v>
      </c>
      <c r="E38" s="176" t="s">
        <v>371</v>
      </c>
      <c r="F38" s="72" t="s">
        <v>492</v>
      </c>
      <c r="G38" s="182">
        <v>12.5</v>
      </c>
      <c r="H38" s="72"/>
      <c r="I38" s="72"/>
    </row>
    <row r="39" spans="1:9">
      <c r="A39" s="179" t="s">
        <v>457</v>
      </c>
      <c r="B39" s="130">
        <v>15</v>
      </c>
      <c r="C39" s="72">
        <f>982.22*G39</f>
        <v>12277.75</v>
      </c>
      <c r="D39" s="72" t="s">
        <v>491</v>
      </c>
      <c r="E39" s="176" t="s">
        <v>373</v>
      </c>
      <c r="F39" s="72" t="s">
        <v>493</v>
      </c>
      <c r="G39" s="182">
        <v>12.5</v>
      </c>
      <c r="H39" s="72"/>
      <c r="I39" s="72"/>
    </row>
    <row r="40" spans="1:9">
      <c r="A40" s="179" t="s">
        <v>458</v>
      </c>
      <c r="B40" s="130">
        <v>16</v>
      </c>
      <c r="C40" s="72"/>
      <c r="D40" s="72"/>
      <c r="E40" s="176"/>
      <c r="F40" s="72"/>
      <c r="G40" s="72"/>
      <c r="H40" s="72"/>
      <c r="I40" s="72"/>
    </row>
    <row r="41" spans="1:9">
      <c r="A41" s="168" t="s">
        <v>459</v>
      </c>
      <c r="B41" s="130">
        <v>17</v>
      </c>
      <c r="C41" s="169">
        <f>42579.16*G41</f>
        <v>527981.58400000003</v>
      </c>
      <c r="D41" s="169" t="s">
        <v>494</v>
      </c>
      <c r="E41" s="170" t="s">
        <v>380</v>
      </c>
      <c r="F41" s="169" t="s">
        <v>495</v>
      </c>
      <c r="G41" s="172">
        <v>12.4</v>
      </c>
      <c r="H41" s="171">
        <v>40543</v>
      </c>
      <c r="I41" s="169" t="s">
        <v>496</v>
      </c>
    </row>
    <row r="42" spans="1:9">
      <c r="A42" s="168" t="s">
        <v>467</v>
      </c>
      <c r="B42" s="130">
        <v>18</v>
      </c>
      <c r="C42" s="72"/>
      <c r="D42" s="72"/>
      <c r="E42" s="176"/>
      <c r="F42" s="72"/>
      <c r="G42" s="72"/>
      <c r="H42" s="72"/>
      <c r="I42" s="72"/>
    </row>
    <row r="43" spans="1:9">
      <c r="A43" s="168" t="s">
        <v>468</v>
      </c>
      <c r="B43">
        <v>19</v>
      </c>
      <c r="C43" s="72">
        <f>42968.36*G43</f>
        <v>537104.5</v>
      </c>
      <c r="D43" s="72" t="s">
        <v>497</v>
      </c>
      <c r="E43" s="176" t="s">
        <v>394</v>
      </c>
      <c r="F43" s="72" t="s">
        <v>498</v>
      </c>
      <c r="G43" s="182">
        <v>12.5</v>
      </c>
      <c r="H43" s="72"/>
      <c r="I43" s="72"/>
    </row>
    <row r="44" spans="1:9">
      <c r="A44" s="168" t="s">
        <v>476</v>
      </c>
      <c r="B44">
        <v>20</v>
      </c>
      <c r="C44" s="72">
        <f>39116.96*G44</f>
        <v>488962</v>
      </c>
      <c r="D44" s="72" t="s">
        <v>499</v>
      </c>
      <c r="E44" s="176" t="s">
        <v>398</v>
      </c>
      <c r="F44" s="72" t="s">
        <v>500</v>
      </c>
      <c r="G44" s="182">
        <v>12.5</v>
      </c>
      <c r="H44" s="72"/>
      <c r="I44" s="72"/>
    </row>
    <row r="45" spans="1:9">
      <c r="A45" s="168" t="s">
        <v>415</v>
      </c>
      <c r="B45">
        <v>21</v>
      </c>
      <c r="C45" s="72"/>
      <c r="D45" s="72"/>
      <c r="E45" s="176"/>
      <c r="F45" s="72"/>
      <c r="G45" s="72"/>
      <c r="H45" s="72"/>
      <c r="I45" s="72"/>
    </row>
    <row r="46" spans="1:9">
      <c r="A46" s="179" t="s">
        <v>457</v>
      </c>
      <c r="B46">
        <v>22</v>
      </c>
      <c r="C46" s="72"/>
      <c r="D46" s="72"/>
      <c r="E46" s="176"/>
      <c r="F46" s="72"/>
      <c r="G46" s="72"/>
      <c r="H46" s="72"/>
      <c r="I46" s="72"/>
    </row>
    <row r="47" spans="1:9">
      <c r="A47" s="179" t="s">
        <v>458</v>
      </c>
      <c r="B47">
        <v>23</v>
      </c>
      <c r="C47" s="72"/>
      <c r="D47" s="72"/>
      <c r="E47" s="176"/>
      <c r="F47" s="72"/>
      <c r="G47" s="72"/>
      <c r="H47" s="72"/>
      <c r="I47" s="72"/>
    </row>
    <row r="48" spans="1:9" ht="15.75">
      <c r="A48" s="130"/>
      <c r="B48" s="130"/>
      <c r="C48" s="183">
        <f>C44+C43+C35+C34+C29+C28+C24+C18+C17+C16+C7+C8+C9+C10+C12+C13+C14+C39+C38</f>
        <v>4679760.5480000004</v>
      </c>
      <c r="D48" s="184" t="s">
        <v>501</v>
      </c>
      <c r="E48" s="62"/>
      <c r="F48" s="62"/>
      <c r="G48" s="130"/>
      <c r="H48" s="130"/>
      <c r="I48" s="130"/>
    </row>
    <row r="49" spans="1:9" ht="15.75">
      <c r="A49" s="130"/>
      <c r="B49" s="130"/>
      <c r="C49" s="130"/>
      <c r="D49" s="183">
        <f>C44+C43+C39+C38</f>
        <v>1048374</v>
      </c>
      <c r="E49" s="184" t="s">
        <v>502</v>
      </c>
      <c r="F49" s="62"/>
      <c r="G49" s="130"/>
      <c r="H49" s="130"/>
      <c r="I49" s="130"/>
    </row>
    <row r="50" spans="1:9" ht="15.75">
      <c r="A50" s="130"/>
      <c r="B50" s="130"/>
      <c r="C50" s="130"/>
      <c r="D50" s="183">
        <f>C48-D49</f>
        <v>3631386.5480000004</v>
      </c>
      <c r="E50" s="184" t="s">
        <v>503</v>
      </c>
      <c r="F50" s="62"/>
      <c r="G50" s="130"/>
      <c r="H50" s="130"/>
      <c r="I50" s="130"/>
    </row>
    <row r="51" spans="1:9">
      <c r="A51" s="130"/>
      <c r="B51" s="130"/>
      <c r="C51" s="130"/>
      <c r="D51" s="132"/>
      <c r="E51" s="62"/>
      <c r="F51" s="62"/>
      <c r="G51" s="130"/>
      <c r="H51" s="130"/>
      <c r="I51" s="130"/>
    </row>
    <row r="52" spans="1:9">
      <c r="A52" s="130"/>
      <c r="B52" s="130"/>
      <c r="C52" s="130"/>
      <c r="D52" s="132"/>
      <c r="E52" s="62"/>
      <c r="F52" s="62"/>
      <c r="G52" s="130"/>
      <c r="H52" s="130"/>
      <c r="I52" s="130"/>
    </row>
    <row r="53" spans="1:9">
      <c r="A53" s="130"/>
      <c r="B53" s="130"/>
      <c r="C53" s="130"/>
      <c r="D53" s="63" t="s">
        <v>504</v>
      </c>
      <c r="E53" s="72"/>
      <c r="F53" s="62"/>
      <c r="G53" s="130"/>
      <c r="H53" s="130"/>
      <c r="I53" s="130"/>
    </row>
    <row r="54" spans="1:9">
      <c r="A54" s="130"/>
      <c r="B54" s="130"/>
      <c r="C54" s="130"/>
      <c r="D54" s="63">
        <f>C44+C43</f>
        <v>1026066.5</v>
      </c>
      <c r="E54" s="63" t="s">
        <v>505</v>
      </c>
      <c r="F54" s="62"/>
      <c r="G54" s="130"/>
      <c r="H54" s="130"/>
      <c r="I54" s="130"/>
    </row>
    <row r="55" spans="1:9">
      <c r="A55" s="130"/>
      <c r="B55" s="130"/>
      <c r="C55" s="130"/>
      <c r="D55" s="185">
        <f>C35+C34</f>
        <v>994270.08</v>
      </c>
      <c r="E55" s="63" t="s">
        <v>506</v>
      </c>
      <c r="F55" s="62"/>
      <c r="G55" s="130"/>
      <c r="H55" s="130"/>
      <c r="I55" s="130"/>
    </row>
    <row r="56" spans="1:9">
      <c r="A56" s="130"/>
      <c r="B56" s="130"/>
      <c r="C56" s="130"/>
      <c r="D56" s="185">
        <f>(982.22+802.38)*12.5</f>
        <v>22307.5</v>
      </c>
      <c r="E56" s="63" t="s">
        <v>507</v>
      </c>
      <c r="F56" s="62"/>
      <c r="G56" s="130"/>
      <c r="H56" s="130"/>
      <c r="I56" s="130"/>
    </row>
    <row r="57" spans="1:9">
      <c r="A57" s="130"/>
      <c r="B57" s="130"/>
      <c r="C57" s="130"/>
      <c r="D57" s="185"/>
      <c r="E57" s="186"/>
      <c r="F57" s="62"/>
      <c r="G57" s="130"/>
      <c r="H57" s="130"/>
      <c r="I57" s="130"/>
    </row>
    <row r="58" spans="1:9">
      <c r="A58" s="130"/>
      <c r="B58" s="130"/>
      <c r="C58" s="130"/>
      <c r="D58" s="185">
        <f>C29</f>
        <v>392615.5</v>
      </c>
      <c r="E58" s="63" t="s">
        <v>508</v>
      </c>
      <c r="F58" s="62"/>
      <c r="G58" s="130"/>
      <c r="H58" s="130"/>
      <c r="I58" s="130"/>
    </row>
    <row r="59" spans="1:9">
      <c r="A59" s="130"/>
      <c r="B59" s="130"/>
      <c r="C59" s="130"/>
      <c r="D59" s="185">
        <f>C28</f>
        <v>356094</v>
      </c>
      <c r="E59" s="63" t="s">
        <v>509</v>
      </c>
      <c r="F59" s="62"/>
      <c r="G59" s="130"/>
      <c r="H59" s="130"/>
      <c r="I59" s="130"/>
    </row>
    <row r="60" spans="1:9">
      <c r="A60" s="130"/>
      <c r="B60" s="130"/>
      <c r="C60" s="130"/>
      <c r="D60" s="185">
        <f>C24</f>
        <v>388515</v>
      </c>
      <c r="E60" s="187" t="s">
        <v>510</v>
      </c>
      <c r="F60" s="62"/>
      <c r="G60" s="130"/>
      <c r="H60" s="130"/>
      <c r="I60" s="130"/>
    </row>
    <row r="61" spans="1:9">
      <c r="A61" s="130"/>
      <c r="B61" s="130"/>
      <c r="C61" s="130"/>
      <c r="D61" s="185"/>
      <c r="E61" s="62"/>
      <c r="F61" s="62"/>
      <c r="G61" s="130"/>
      <c r="H61" s="130"/>
      <c r="I61" s="130"/>
    </row>
    <row r="62" spans="1:9">
      <c r="A62" s="130"/>
      <c r="B62" s="130"/>
      <c r="C62" s="130"/>
      <c r="D62" s="188">
        <f>C18+C17+C16</f>
        <v>648709.07799999998</v>
      </c>
      <c r="E62" s="63" t="s">
        <v>511</v>
      </c>
      <c r="F62" s="62"/>
      <c r="G62" s="130"/>
      <c r="H62" s="130"/>
      <c r="I62" s="130"/>
    </row>
    <row r="63" spans="1:9">
      <c r="A63" s="130"/>
      <c r="B63" s="130"/>
      <c r="C63" s="130"/>
      <c r="D63" s="132"/>
      <c r="E63" s="187"/>
      <c r="F63" s="62"/>
      <c r="G63" s="130"/>
      <c r="H63" s="130"/>
      <c r="I63" s="130"/>
    </row>
    <row r="64" spans="1:9" ht="24.75" customHeight="1">
      <c r="A64" s="130"/>
      <c r="B64" s="130"/>
      <c r="C64" s="130"/>
      <c r="D64" s="185">
        <f>C14+C13+C12+C10+C9</f>
        <v>250160.92</v>
      </c>
      <c r="E64" s="193" t="s">
        <v>512</v>
      </c>
      <c r="F64" s="193"/>
      <c r="G64" s="193"/>
      <c r="H64" s="193"/>
      <c r="I64" s="130"/>
    </row>
    <row r="65" spans="1:9">
      <c r="A65" s="130"/>
      <c r="B65" s="130"/>
      <c r="C65" s="130"/>
      <c r="D65" s="185">
        <f>C7</f>
        <v>445867.97</v>
      </c>
      <c r="E65" s="63" t="s">
        <v>513</v>
      </c>
      <c r="F65" s="62"/>
      <c r="G65" s="130"/>
      <c r="H65" s="130"/>
      <c r="I65" s="130"/>
    </row>
    <row r="66" spans="1:9">
      <c r="A66" s="130"/>
      <c r="B66" s="130"/>
      <c r="C66" s="130"/>
      <c r="D66" s="185">
        <f>C8</f>
        <v>155154</v>
      </c>
      <c r="E66" s="63" t="s">
        <v>514</v>
      </c>
      <c r="F66" s="62"/>
      <c r="G66" s="130"/>
      <c r="H66" s="130"/>
      <c r="I66" s="130"/>
    </row>
    <row r="67" spans="1:9">
      <c r="A67" s="130"/>
      <c r="B67" s="130"/>
      <c r="C67" s="130"/>
      <c r="D67" s="132"/>
      <c r="E67" s="62"/>
      <c r="F67" s="62"/>
      <c r="G67" s="130"/>
      <c r="H67" s="130"/>
      <c r="I67" s="130"/>
    </row>
    <row r="68" spans="1:9">
      <c r="A68" s="130"/>
      <c r="B68" s="130"/>
      <c r="C68" s="130"/>
      <c r="D68" s="132"/>
      <c r="E68" s="62"/>
      <c r="F68" s="62"/>
      <c r="G68" s="130"/>
      <c r="H68" s="130"/>
      <c r="I68" s="130"/>
    </row>
    <row r="69" spans="1:9">
      <c r="A69" s="130"/>
      <c r="B69" s="130"/>
      <c r="C69" s="130"/>
      <c r="D69" s="132"/>
      <c r="E69" s="62"/>
      <c r="F69" s="62"/>
      <c r="G69" s="130"/>
      <c r="H69" s="130"/>
      <c r="I69" s="130"/>
    </row>
    <row r="70" spans="1:9" ht="15.75">
      <c r="A70" s="130"/>
      <c r="B70" s="130"/>
      <c r="C70" s="183">
        <v>500000</v>
      </c>
      <c r="D70" s="184" t="s">
        <v>515</v>
      </c>
      <c r="E70" s="62"/>
      <c r="F70" s="62"/>
      <c r="G70" s="130"/>
      <c r="H70" s="130"/>
      <c r="I70" s="130"/>
    </row>
    <row r="71" spans="1:9">
      <c r="A71" s="130"/>
      <c r="B71" s="130"/>
      <c r="C71" s="130"/>
      <c r="D71" s="132"/>
      <c r="E71" s="62"/>
      <c r="F71" s="62"/>
      <c r="G71" s="130"/>
      <c r="H71" s="130"/>
      <c r="I71" s="130"/>
    </row>
    <row r="72" spans="1:9" ht="15.75">
      <c r="A72" s="130"/>
      <c r="B72" s="130"/>
      <c r="C72" s="183">
        <f>C70+C48</f>
        <v>5179760.5480000004</v>
      </c>
      <c r="D72" s="184" t="s">
        <v>516</v>
      </c>
      <c r="E72" s="62"/>
      <c r="F72" s="62"/>
      <c r="G72" s="130"/>
      <c r="H72" s="130"/>
      <c r="I72" s="130"/>
    </row>
    <row r="73" spans="1:9">
      <c r="A73" s="130"/>
      <c r="B73" s="130"/>
      <c r="C73" s="130"/>
      <c r="D73" s="132"/>
      <c r="E73" s="62"/>
      <c r="F73" s="62"/>
      <c r="G73" s="130"/>
      <c r="H73" s="130"/>
      <c r="I73" s="130"/>
    </row>
  </sheetData>
  <mergeCells count="1">
    <mergeCell ref="E64:H64"/>
  </mergeCells>
  <phoneticPr fontId="8" type="noConversion"/>
  <pageMargins left="0.74803149606299213" right="0.15748031496062992" top="0.19685039370078741" bottom="0.43307086614173229" header="0" footer="0"/>
  <pageSetup scale="7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W119"/>
  <sheetViews>
    <sheetView zoomScale="75" workbookViewId="0">
      <selection activeCell="W70" sqref="W70"/>
    </sheetView>
  </sheetViews>
  <sheetFormatPr baseColWidth="10" defaultRowHeight="12.75"/>
  <cols>
    <col min="1" max="1" width="4.140625" customWidth="1"/>
    <col min="2" max="2" width="16.85546875" style="1" customWidth="1"/>
    <col min="3" max="3" width="12.5703125" customWidth="1"/>
    <col min="4" max="4" width="14.42578125" style="1" customWidth="1"/>
    <col min="6" max="6" width="13.140625" style="1" bestFit="1" customWidth="1"/>
    <col min="9" max="9" width="12.85546875" hidden="1" customWidth="1"/>
    <col min="10" max="11" width="0" hidden="1" customWidth="1"/>
    <col min="13" max="13" width="4" style="2" customWidth="1"/>
    <col min="14" max="14" width="7" style="2" hidden="1" customWidth="1"/>
    <col min="15" max="16" width="0" style="2" hidden="1" customWidth="1"/>
    <col min="17" max="17" width="12" hidden="1" customWidth="1"/>
    <col min="18" max="18" width="0" hidden="1" customWidth="1"/>
    <col min="20" max="20" width="5.85546875" hidden="1" customWidth="1"/>
    <col min="22" max="22" width="13" customWidth="1"/>
    <col min="23" max="23" width="14.140625" customWidth="1"/>
  </cols>
  <sheetData>
    <row r="2" spans="1:23">
      <c r="B2" s="130" t="s">
        <v>198</v>
      </c>
      <c r="C2" s="130"/>
      <c r="D2" s="131"/>
      <c r="E2" s="131">
        <v>40513</v>
      </c>
      <c r="F2" s="132"/>
      <c r="G2" s="132"/>
      <c r="H2" s="132"/>
      <c r="I2" s="133"/>
      <c r="J2" s="130"/>
      <c r="K2" s="134"/>
      <c r="L2" s="134"/>
      <c r="M2" s="130"/>
      <c r="N2" s="130"/>
      <c r="O2" s="135"/>
      <c r="P2" s="136"/>
      <c r="Q2" s="135"/>
      <c r="R2" s="135"/>
      <c r="S2" s="135"/>
      <c r="T2" s="135"/>
      <c r="U2" s="135"/>
      <c r="V2" s="135"/>
      <c r="W2" s="135"/>
    </row>
    <row r="3" spans="1:23">
      <c r="B3" s="130"/>
      <c r="C3" s="130"/>
      <c r="D3" s="130"/>
      <c r="E3" s="130"/>
      <c r="F3" s="132"/>
      <c r="G3" s="132"/>
      <c r="H3" s="132"/>
      <c r="I3" s="133"/>
      <c r="J3" s="130"/>
      <c r="K3" s="134"/>
      <c r="L3" s="134"/>
      <c r="M3" s="130"/>
      <c r="N3" s="130"/>
      <c r="O3" s="135"/>
      <c r="P3" s="136"/>
      <c r="Q3" s="135"/>
      <c r="R3" s="135"/>
      <c r="S3" s="135"/>
      <c r="T3" s="135"/>
      <c r="U3" s="135"/>
      <c r="V3" s="135"/>
      <c r="W3" s="135"/>
    </row>
    <row r="4" spans="1:23" ht="13.5" thickBot="1">
      <c r="A4" s="137"/>
      <c r="B4" s="138" t="s">
        <v>199</v>
      </c>
      <c r="C4" s="138" t="s">
        <v>200</v>
      </c>
      <c r="D4" s="138" t="s">
        <v>201</v>
      </c>
      <c r="E4" s="138" t="s">
        <v>202</v>
      </c>
      <c r="F4" s="139" t="s">
        <v>203</v>
      </c>
      <c r="G4" s="139" t="s">
        <v>204</v>
      </c>
      <c r="H4" s="139" t="s">
        <v>205</v>
      </c>
      <c r="I4" s="140" t="s">
        <v>206</v>
      </c>
      <c r="J4" s="138" t="s">
        <v>207</v>
      </c>
      <c r="K4" s="141" t="s">
        <v>208</v>
      </c>
      <c r="L4" s="141" t="s">
        <v>209</v>
      </c>
      <c r="M4" s="138" t="s">
        <v>210</v>
      </c>
      <c r="N4" s="138" t="s">
        <v>211</v>
      </c>
      <c r="O4" s="142" t="s">
        <v>212</v>
      </c>
      <c r="P4" s="143" t="s">
        <v>213</v>
      </c>
      <c r="Q4" s="142" t="s">
        <v>214</v>
      </c>
      <c r="R4" s="142" t="s">
        <v>215</v>
      </c>
      <c r="S4" s="142" t="s">
        <v>216</v>
      </c>
      <c r="T4" s="142" t="s">
        <v>217</v>
      </c>
      <c r="U4" s="142" t="s">
        <v>218</v>
      </c>
      <c r="V4" s="142" t="s">
        <v>219</v>
      </c>
      <c r="W4" s="142" t="s">
        <v>220</v>
      </c>
    </row>
    <row r="5" spans="1:23">
      <c r="A5" s="144"/>
      <c r="B5" s="145" t="s">
        <v>221</v>
      </c>
      <c r="C5" s="117" t="s">
        <v>222</v>
      </c>
      <c r="D5" s="117" t="s">
        <v>223</v>
      </c>
      <c r="E5" s="117" t="s">
        <v>224</v>
      </c>
      <c r="F5" s="146">
        <f>40390*0.4536</f>
        <v>18320.903999999999</v>
      </c>
      <c r="G5" s="147">
        <v>18376.259999999998</v>
      </c>
      <c r="H5" s="147">
        <f>G5-F5</f>
        <v>55.355999999999767</v>
      </c>
      <c r="I5" s="117" t="s">
        <v>225</v>
      </c>
      <c r="J5" s="148" t="s">
        <v>226</v>
      </c>
      <c r="K5" s="149">
        <v>40511</v>
      </c>
      <c r="L5" s="149">
        <v>40513</v>
      </c>
      <c r="M5" s="117" t="s">
        <v>227</v>
      </c>
      <c r="N5" s="117" t="s">
        <v>228</v>
      </c>
      <c r="O5" s="150"/>
      <c r="P5" s="151">
        <v>0.9</v>
      </c>
      <c r="Q5" s="150">
        <v>18560</v>
      </c>
      <c r="R5" s="150">
        <v>29684.5</v>
      </c>
      <c r="S5" s="152">
        <v>12.433</v>
      </c>
      <c r="T5" s="150">
        <v>0.13</v>
      </c>
      <c r="U5" s="150">
        <f>IF(O5&gt;0,O5,((P5*2.2046*S5)+(Q5+R5)/F5)+T5)</f>
        <v>27.432116085811515</v>
      </c>
      <c r="V5" s="150">
        <f>U5*F5</f>
        <v>502581.16532500851</v>
      </c>
      <c r="W5" s="153">
        <v>40513</v>
      </c>
    </row>
    <row r="6" spans="1:23">
      <c r="A6" s="189"/>
      <c r="B6" s="145" t="s">
        <v>221</v>
      </c>
      <c r="C6" s="117" t="s">
        <v>229</v>
      </c>
      <c r="D6" s="117" t="s">
        <v>230</v>
      </c>
      <c r="E6" s="117" t="s">
        <v>224</v>
      </c>
      <c r="F6" s="147">
        <f>47067*0.4536</f>
        <v>21349.591199999999</v>
      </c>
      <c r="G6" s="147">
        <v>21300.79</v>
      </c>
      <c r="H6" s="147">
        <f>G6-F6</f>
        <v>-48.801199999998062</v>
      </c>
      <c r="I6" s="117" t="s">
        <v>231</v>
      </c>
      <c r="J6" s="117"/>
      <c r="K6" s="149">
        <v>40511</v>
      </c>
      <c r="L6" s="149">
        <v>40513</v>
      </c>
      <c r="M6" s="117" t="s">
        <v>227</v>
      </c>
      <c r="N6" s="117" t="s">
        <v>232</v>
      </c>
      <c r="O6" s="150"/>
      <c r="P6" s="151">
        <v>0.95</v>
      </c>
      <c r="Q6" s="150">
        <v>1700</v>
      </c>
      <c r="R6" s="150"/>
      <c r="S6" s="152">
        <v>12.39</v>
      </c>
      <c r="T6" s="150"/>
      <c r="U6" s="150">
        <f>((P6*2.2046*S6)+(Q6*S6)/F6)</f>
        <v>26.9358205675587</v>
      </c>
      <c r="V6" s="150">
        <f>U6*F6</f>
        <v>575068.75775393017</v>
      </c>
      <c r="W6" s="153">
        <v>40534</v>
      </c>
    </row>
    <row r="7" spans="1:23">
      <c r="A7" s="189"/>
      <c r="B7" s="145" t="s">
        <v>233</v>
      </c>
      <c r="C7" s="117" t="s">
        <v>234</v>
      </c>
      <c r="D7" s="117" t="s">
        <v>235</v>
      </c>
      <c r="E7" s="117" t="s">
        <v>236</v>
      </c>
      <c r="F7" s="147">
        <v>397</v>
      </c>
      <c r="G7" s="147">
        <v>397</v>
      </c>
      <c r="H7" s="147">
        <f>G7-F7</f>
        <v>0</v>
      </c>
      <c r="I7" s="117" t="s">
        <v>237</v>
      </c>
      <c r="J7" s="117"/>
      <c r="K7" s="149"/>
      <c r="L7" s="149">
        <v>40513</v>
      </c>
      <c r="M7" s="117" t="s">
        <v>227</v>
      </c>
      <c r="N7" s="117"/>
      <c r="O7" s="150">
        <v>36</v>
      </c>
      <c r="P7" s="151"/>
      <c r="Q7" s="150"/>
      <c r="R7" s="150"/>
      <c r="S7" s="152"/>
      <c r="T7" s="150"/>
      <c r="U7" s="150">
        <f>IF(O7&gt;0,O7,((P7*2.2046*S7)+(Q7+R7)/F7)+T7)</f>
        <v>36</v>
      </c>
      <c r="V7" s="150">
        <f>U7*F7</f>
        <v>14292</v>
      </c>
      <c r="W7" s="153">
        <v>40516</v>
      </c>
    </row>
    <row r="8" spans="1:23">
      <c r="A8" s="189"/>
      <c r="B8" s="145" t="s">
        <v>238</v>
      </c>
      <c r="C8" s="117" t="s">
        <v>239</v>
      </c>
      <c r="D8" s="117" t="s">
        <v>240</v>
      </c>
      <c r="E8" s="117" t="s">
        <v>241</v>
      </c>
      <c r="F8" s="146">
        <v>13070</v>
      </c>
      <c r="G8" s="147">
        <v>13070</v>
      </c>
      <c r="H8" s="147">
        <f>G8-F8</f>
        <v>0</v>
      </c>
      <c r="I8" s="117" t="s">
        <v>242</v>
      </c>
      <c r="J8" s="117"/>
      <c r="K8" s="149"/>
      <c r="L8" s="149">
        <v>40514</v>
      </c>
      <c r="M8" s="117" t="s">
        <v>243</v>
      </c>
      <c r="N8" s="117"/>
      <c r="O8" s="150">
        <v>28.8</v>
      </c>
      <c r="P8" s="151"/>
      <c r="Q8" s="150"/>
      <c r="R8" s="150"/>
      <c r="S8" s="152"/>
      <c r="T8" s="150"/>
      <c r="U8" s="150">
        <f>IF(O8&gt;0,O8,((P8*2.2046*S8)+(Q8+R8)/F8)+T8)</f>
        <v>28.8</v>
      </c>
      <c r="V8" s="150">
        <f t="shared" ref="V8:V16" si="0">U8*F8</f>
        <v>376416</v>
      </c>
      <c r="W8" s="153">
        <v>40521</v>
      </c>
    </row>
    <row r="9" spans="1:23">
      <c r="A9" s="189"/>
      <c r="B9" s="145" t="s">
        <v>120</v>
      </c>
      <c r="C9" s="117" t="s">
        <v>244</v>
      </c>
      <c r="D9" s="117" t="s">
        <v>245</v>
      </c>
      <c r="E9" s="117" t="s">
        <v>246</v>
      </c>
      <c r="F9" s="146">
        <v>1116.02</v>
      </c>
      <c r="G9" s="147">
        <v>1116.02</v>
      </c>
      <c r="H9" s="147">
        <f t="shared" ref="H9:H16" si="1">G9-F9</f>
        <v>0</v>
      </c>
      <c r="I9" s="117" t="s">
        <v>247</v>
      </c>
      <c r="J9" s="117"/>
      <c r="K9" s="149"/>
      <c r="L9" s="149">
        <v>40513</v>
      </c>
      <c r="M9" s="117" t="s">
        <v>227</v>
      </c>
      <c r="N9" s="117"/>
      <c r="O9" s="150">
        <v>38.5</v>
      </c>
      <c r="P9" s="151"/>
      <c r="Q9" s="150"/>
      <c r="R9" s="150"/>
      <c r="S9" s="152"/>
      <c r="T9" s="150"/>
      <c r="U9" s="150">
        <f>IF(O9&gt;0,O9,((P9*2.2046*S9)+(Q9+R9)/F9)+T9)</f>
        <v>38.5</v>
      </c>
      <c r="V9" s="150">
        <f t="shared" si="0"/>
        <v>42966.77</v>
      </c>
      <c r="W9" s="153">
        <v>40520</v>
      </c>
    </row>
    <row r="10" spans="1:23">
      <c r="A10" s="189"/>
      <c r="B10" s="145" t="s">
        <v>248</v>
      </c>
      <c r="C10" s="117" t="s">
        <v>234</v>
      </c>
      <c r="D10" s="117" t="s">
        <v>235</v>
      </c>
      <c r="E10" s="117" t="s">
        <v>249</v>
      </c>
      <c r="F10" s="147">
        <f>126+46.5+47+151</f>
        <v>370.5</v>
      </c>
      <c r="G10" s="147">
        <v>370.5</v>
      </c>
      <c r="H10" s="147">
        <f t="shared" si="1"/>
        <v>0</v>
      </c>
      <c r="I10" s="117" t="s">
        <v>250</v>
      </c>
      <c r="J10" s="117"/>
      <c r="K10" s="149"/>
      <c r="L10" s="149">
        <v>40514</v>
      </c>
      <c r="M10" s="117" t="s">
        <v>243</v>
      </c>
      <c r="N10" s="117"/>
      <c r="O10" s="150">
        <v>35</v>
      </c>
      <c r="P10" s="151"/>
      <c r="Q10" s="150"/>
      <c r="R10" s="150"/>
      <c r="S10" s="152"/>
      <c r="T10" s="150"/>
      <c r="U10" s="150">
        <f>IF(O10&gt;0,O10,((P10*2.2046*S10)+(Q10+R10)/F10)+T10)</f>
        <v>35</v>
      </c>
      <c r="V10" s="150">
        <f t="shared" si="0"/>
        <v>12967.5</v>
      </c>
      <c r="W10" s="153">
        <v>40516</v>
      </c>
    </row>
    <row r="11" spans="1:23">
      <c r="A11" s="189"/>
      <c r="B11" s="145" t="s">
        <v>233</v>
      </c>
      <c r="C11" s="117" t="s">
        <v>234</v>
      </c>
      <c r="D11" s="117" t="s">
        <v>235</v>
      </c>
      <c r="E11" s="117" t="s">
        <v>251</v>
      </c>
      <c r="F11" s="147">
        <v>110</v>
      </c>
      <c r="G11" s="147">
        <v>110</v>
      </c>
      <c r="H11" s="147">
        <f t="shared" si="1"/>
        <v>0</v>
      </c>
      <c r="I11" s="117" t="s">
        <v>250</v>
      </c>
      <c r="J11" s="117"/>
      <c r="K11" s="149"/>
      <c r="L11" s="149">
        <v>40514</v>
      </c>
      <c r="M11" s="117" t="s">
        <v>243</v>
      </c>
      <c r="N11" s="117"/>
      <c r="O11" s="150">
        <v>36</v>
      </c>
      <c r="P11" s="151"/>
      <c r="Q11" s="150"/>
      <c r="R11" s="150"/>
      <c r="S11" s="152"/>
      <c r="T11" s="150"/>
      <c r="U11" s="150">
        <f>IF(O11&gt;0,O11,((P11*2.2046*S11)+(Q11+R11)/F11)+T11)</f>
        <v>36</v>
      </c>
      <c r="V11" s="150">
        <f>U11*F11</f>
        <v>3960</v>
      </c>
      <c r="W11" s="153">
        <v>40516</v>
      </c>
    </row>
    <row r="12" spans="1:23">
      <c r="A12" s="189"/>
      <c r="B12" s="145" t="s">
        <v>221</v>
      </c>
      <c r="C12" s="117" t="s">
        <v>229</v>
      </c>
      <c r="D12" s="117" t="s">
        <v>230</v>
      </c>
      <c r="E12" s="117" t="s">
        <v>252</v>
      </c>
      <c r="F12" s="147">
        <f>42162*0.4536</f>
        <v>19124.683199999999</v>
      </c>
      <c r="G12" s="147">
        <v>19086.900000000001</v>
      </c>
      <c r="H12" s="147">
        <f t="shared" si="1"/>
        <v>-37.783199999998033</v>
      </c>
      <c r="I12" s="130" t="s">
        <v>253</v>
      </c>
      <c r="J12" s="117"/>
      <c r="K12" s="149">
        <v>40514</v>
      </c>
      <c r="L12" s="149">
        <v>40515</v>
      </c>
      <c r="M12" s="117" t="s">
        <v>243</v>
      </c>
      <c r="N12" s="117" t="s">
        <v>254</v>
      </c>
      <c r="O12" s="150"/>
      <c r="P12" s="151">
        <v>0.95</v>
      </c>
      <c r="Q12" s="150">
        <v>1700</v>
      </c>
      <c r="R12" s="150"/>
      <c r="S12" s="152">
        <v>12.345000000000001</v>
      </c>
      <c r="T12" s="150"/>
      <c r="U12" s="150">
        <f>((P12*2.2046*S12)+(Q12*S12)/F12)</f>
        <v>26.952349160638359</v>
      </c>
      <c r="V12" s="150">
        <f t="shared" si="0"/>
        <v>515455.13919299451</v>
      </c>
      <c r="W12" s="153">
        <v>40536</v>
      </c>
    </row>
    <row r="13" spans="1:23">
      <c r="A13" s="189"/>
      <c r="B13" s="145" t="s">
        <v>238</v>
      </c>
      <c r="C13" s="117" t="s">
        <v>255</v>
      </c>
      <c r="D13" s="117" t="s">
        <v>256</v>
      </c>
      <c r="E13" s="117" t="s">
        <v>257</v>
      </c>
      <c r="F13" s="146">
        <v>12217.3</v>
      </c>
      <c r="G13" s="147">
        <v>12217.3</v>
      </c>
      <c r="H13" s="147">
        <f t="shared" si="1"/>
        <v>0</v>
      </c>
      <c r="I13" s="130" t="s">
        <v>258</v>
      </c>
      <c r="J13" s="117"/>
      <c r="K13" s="149"/>
      <c r="L13" s="149">
        <v>40515</v>
      </c>
      <c r="M13" s="117" t="s">
        <v>259</v>
      </c>
      <c r="N13" s="117"/>
      <c r="O13" s="150">
        <v>27.8</v>
      </c>
      <c r="P13" s="151"/>
      <c r="Q13" s="150"/>
      <c r="R13" s="150"/>
      <c r="S13" s="152"/>
      <c r="T13" s="150"/>
      <c r="U13" s="150">
        <f>IF(O13&gt;0,O13,((P13*2.2046*S13)+(Q13+R13)/F13)+T13)</f>
        <v>27.8</v>
      </c>
      <c r="V13" s="150">
        <f t="shared" si="0"/>
        <v>339640.94</v>
      </c>
      <c r="W13" s="153">
        <v>40522</v>
      </c>
    </row>
    <row r="14" spans="1:23">
      <c r="A14" s="189"/>
      <c r="B14" s="145" t="s">
        <v>248</v>
      </c>
      <c r="C14" s="117" t="s">
        <v>234</v>
      </c>
      <c r="D14" s="117" t="s">
        <v>235</v>
      </c>
      <c r="E14" s="117" t="s">
        <v>260</v>
      </c>
      <c r="F14" s="146">
        <v>1571</v>
      </c>
      <c r="G14" s="147">
        <v>1571</v>
      </c>
      <c r="H14" s="147">
        <f t="shared" si="1"/>
        <v>0</v>
      </c>
      <c r="I14" s="130" t="s">
        <v>261</v>
      </c>
      <c r="J14" s="117"/>
      <c r="K14" s="149"/>
      <c r="L14" s="149">
        <v>40515</v>
      </c>
      <c r="M14" s="117" t="s">
        <v>259</v>
      </c>
      <c r="N14" s="117"/>
      <c r="O14" s="150">
        <v>35</v>
      </c>
      <c r="P14" s="151"/>
      <c r="Q14" s="150"/>
      <c r="R14" s="150"/>
      <c r="S14" s="152"/>
      <c r="T14" s="150"/>
      <c r="U14" s="150">
        <f>IF(O14&gt;0,O14,((P14*2.2046*S14)+(Q14+R14)/F14)+T14)</f>
        <v>35</v>
      </c>
      <c r="V14" s="150">
        <f t="shared" si="0"/>
        <v>54985</v>
      </c>
      <c r="W14" s="153">
        <v>40516</v>
      </c>
    </row>
    <row r="15" spans="1:23">
      <c r="A15" s="154"/>
      <c r="B15" s="145" t="s">
        <v>248</v>
      </c>
      <c r="C15" s="117" t="s">
        <v>234</v>
      </c>
      <c r="D15" s="117" t="s">
        <v>235</v>
      </c>
      <c r="E15" s="117" t="s">
        <v>236</v>
      </c>
      <c r="F15" s="146">
        <v>651</v>
      </c>
      <c r="G15" s="147">
        <v>651</v>
      </c>
      <c r="H15" s="147">
        <f t="shared" si="1"/>
        <v>0</v>
      </c>
      <c r="I15" s="130" t="s">
        <v>262</v>
      </c>
      <c r="J15" s="117"/>
      <c r="K15" s="149"/>
      <c r="L15" s="149">
        <v>40516</v>
      </c>
      <c r="M15" s="117" t="s">
        <v>263</v>
      </c>
      <c r="N15" s="117"/>
      <c r="O15" s="150">
        <v>35</v>
      </c>
      <c r="P15" s="151"/>
      <c r="Q15" s="150"/>
      <c r="R15" s="150"/>
      <c r="S15" s="152"/>
      <c r="T15" s="150"/>
      <c r="U15" s="150">
        <f>IF(O15&gt;0,O15,((P15*2.2046*S15)+(Q15+R15)/F15)+T15)</f>
        <v>35</v>
      </c>
      <c r="V15" s="150">
        <f t="shared" si="0"/>
        <v>22785</v>
      </c>
      <c r="W15" s="153">
        <v>40516</v>
      </c>
    </row>
    <row r="16" spans="1:23">
      <c r="A16" s="154"/>
      <c r="B16" s="145" t="s">
        <v>233</v>
      </c>
      <c r="C16" s="117" t="s">
        <v>234</v>
      </c>
      <c r="D16" s="117" t="s">
        <v>235</v>
      </c>
      <c r="E16" s="117" t="s">
        <v>249</v>
      </c>
      <c r="F16" s="146">
        <v>274</v>
      </c>
      <c r="G16" s="147">
        <v>274</v>
      </c>
      <c r="H16" s="147">
        <f t="shared" si="1"/>
        <v>0</v>
      </c>
      <c r="I16" s="130" t="s">
        <v>262</v>
      </c>
      <c r="J16" s="117"/>
      <c r="K16" s="149"/>
      <c r="L16" s="149">
        <v>40516</v>
      </c>
      <c r="M16" s="117" t="s">
        <v>263</v>
      </c>
      <c r="N16" s="117"/>
      <c r="O16" s="150">
        <v>40</v>
      </c>
      <c r="P16" s="151"/>
      <c r="Q16" s="150"/>
      <c r="R16" s="150"/>
      <c r="S16" s="152"/>
      <c r="T16" s="150"/>
      <c r="U16" s="150">
        <f>IF(O16&gt;0,O16,((P16*2.2046*S16)+(Q16+R16)/F16)+T16)</f>
        <v>40</v>
      </c>
      <c r="V16" s="150">
        <f t="shared" si="0"/>
        <v>10960</v>
      </c>
      <c r="W16" s="153">
        <v>40516</v>
      </c>
    </row>
    <row r="17" spans="1:23" ht="13.5" thickBot="1">
      <c r="A17" s="154"/>
      <c r="B17" s="138"/>
      <c r="C17" s="138"/>
      <c r="D17" s="138"/>
      <c r="E17" s="138"/>
      <c r="F17" s="155"/>
      <c r="G17" s="139"/>
      <c r="H17" s="147"/>
      <c r="I17" s="140"/>
      <c r="J17" s="138"/>
      <c r="K17" s="141"/>
      <c r="L17" s="141"/>
      <c r="M17" s="138"/>
      <c r="N17" s="138"/>
      <c r="O17" s="142"/>
      <c r="P17" s="143"/>
      <c r="Q17" s="142"/>
      <c r="R17" s="142"/>
      <c r="S17" s="142"/>
      <c r="T17" s="142"/>
      <c r="U17" s="142"/>
      <c r="V17" s="150"/>
      <c r="W17" s="156"/>
    </row>
    <row r="18" spans="1:23" ht="12" customHeight="1">
      <c r="A18" s="190"/>
      <c r="B18" s="145" t="s">
        <v>221</v>
      </c>
      <c r="C18" s="117" t="s">
        <v>264</v>
      </c>
      <c r="D18" s="117" t="s">
        <v>264</v>
      </c>
      <c r="E18" s="117" t="s">
        <v>265</v>
      </c>
      <c r="F18" s="146">
        <v>18724.400000000001</v>
      </c>
      <c r="G18" s="157">
        <v>18760.02</v>
      </c>
      <c r="H18" s="157">
        <f>G18-F18</f>
        <v>35.619999999998981</v>
      </c>
      <c r="I18" s="117" t="s">
        <v>266</v>
      </c>
      <c r="J18" s="148" t="s">
        <v>226</v>
      </c>
      <c r="K18" s="149">
        <v>40515</v>
      </c>
      <c r="L18" s="149">
        <v>40516</v>
      </c>
      <c r="M18" s="158" t="s">
        <v>263</v>
      </c>
      <c r="N18" s="117" t="s">
        <v>267</v>
      </c>
      <c r="O18" s="159"/>
      <c r="P18" s="151">
        <v>0.91</v>
      </c>
      <c r="Q18" s="150">
        <v>18560</v>
      </c>
      <c r="R18" s="150">
        <v>7732.5</v>
      </c>
      <c r="S18" s="152">
        <v>12.3995</v>
      </c>
      <c r="T18" s="150">
        <v>0.13</v>
      </c>
      <c r="U18" s="150">
        <f t="shared" ref="U18:U34" si="2">IF(O18&gt;0,O18,((P18*2.2046*S18)+(Q18+R18)/F18)+T18)</f>
        <v>26.409887152677296</v>
      </c>
      <c r="V18" s="159">
        <f t="shared" ref="V18:V41" si="3">U18*F18</f>
        <v>494509.29100159078</v>
      </c>
      <c r="W18" s="153">
        <v>40518</v>
      </c>
    </row>
    <row r="19" spans="1:23" ht="12" customHeight="1">
      <c r="A19" s="190"/>
      <c r="B19" s="145" t="s">
        <v>238</v>
      </c>
      <c r="C19" s="117" t="s">
        <v>268</v>
      </c>
      <c r="D19" s="117" t="s">
        <v>268</v>
      </c>
      <c r="E19" s="117" t="s">
        <v>269</v>
      </c>
      <c r="F19" s="146">
        <v>13670</v>
      </c>
      <c r="G19" s="147">
        <v>13670</v>
      </c>
      <c r="H19" s="147">
        <f t="shared" ref="H19:H43" si="4">G19-F19</f>
        <v>0</v>
      </c>
      <c r="I19" s="117" t="s">
        <v>270</v>
      </c>
      <c r="J19" s="117"/>
      <c r="K19" s="149"/>
      <c r="L19" s="149">
        <v>40518</v>
      </c>
      <c r="M19" s="117" t="s">
        <v>271</v>
      </c>
      <c r="N19" s="117"/>
      <c r="O19" s="150">
        <v>28.8</v>
      </c>
      <c r="P19" s="151"/>
      <c r="Q19" s="150"/>
      <c r="R19" s="150"/>
      <c r="S19" s="152"/>
      <c r="T19" s="150"/>
      <c r="U19" s="150">
        <f t="shared" si="2"/>
        <v>28.8</v>
      </c>
      <c r="V19" s="150">
        <f t="shared" si="3"/>
        <v>393696</v>
      </c>
      <c r="W19" s="153">
        <v>40525</v>
      </c>
    </row>
    <row r="20" spans="1:23" ht="12" customHeight="1">
      <c r="A20" s="190"/>
      <c r="B20" s="145" t="s">
        <v>272</v>
      </c>
      <c r="C20" s="117" t="s">
        <v>234</v>
      </c>
      <c r="D20" s="117" t="s">
        <v>235</v>
      </c>
      <c r="E20" s="117" t="s">
        <v>273</v>
      </c>
      <c r="F20" s="146">
        <f>35+37+46+46+47+46</f>
        <v>257</v>
      </c>
      <c r="G20" s="147">
        <v>257</v>
      </c>
      <c r="H20" s="147">
        <f t="shared" si="4"/>
        <v>0</v>
      </c>
      <c r="I20" s="117" t="s">
        <v>274</v>
      </c>
      <c r="J20" s="117"/>
      <c r="K20" s="149"/>
      <c r="L20" s="149">
        <v>40518</v>
      </c>
      <c r="M20" s="117" t="s">
        <v>271</v>
      </c>
      <c r="N20" s="117"/>
      <c r="O20" s="150">
        <v>31</v>
      </c>
      <c r="P20" s="151"/>
      <c r="Q20" s="150"/>
      <c r="R20" s="150"/>
      <c r="S20" s="152"/>
      <c r="T20" s="150"/>
      <c r="U20" s="150">
        <f>IF(O20&gt;0,O20,((P20*2.2046*S20)+(Q20+R20)/F20)+T20)</f>
        <v>31</v>
      </c>
      <c r="V20" s="150">
        <f>U20*F20</f>
        <v>7967</v>
      </c>
      <c r="W20" s="153">
        <v>40523</v>
      </c>
    </row>
    <row r="21" spans="1:23" ht="12" customHeight="1">
      <c r="A21" s="190"/>
      <c r="B21" s="145" t="s">
        <v>238</v>
      </c>
      <c r="C21" s="117" t="s">
        <v>255</v>
      </c>
      <c r="D21" s="117" t="s">
        <v>256</v>
      </c>
      <c r="E21" s="117" t="s">
        <v>275</v>
      </c>
      <c r="F21" s="146">
        <v>12562.7</v>
      </c>
      <c r="G21" s="147">
        <v>12562.7</v>
      </c>
      <c r="H21" s="147">
        <f t="shared" si="4"/>
        <v>0</v>
      </c>
      <c r="I21" s="117" t="s">
        <v>276</v>
      </c>
      <c r="J21" s="117"/>
      <c r="K21" s="149"/>
      <c r="L21" s="149">
        <v>40519</v>
      </c>
      <c r="M21" s="117" t="s">
        <v>277</v>
      </c>
      <c r="N21" s="117"/>
      <c r="O21" s="150">
        <v>28.6</v>
      </c>
      <c r="P21" s="151"/>
      <c r="Q21" s="150"/>
      <c r="R21" s="150"/>
      <c r="S21" s="152"/>
      <c r="T21" s="150"/>
      <c r="U21" s="150">
        <f t="shared" si="2"/>
        <v>28.6</v>
      </c>
      <c r="V21" s="150">
        <f t="shared" si="3"/>
        <v>359293.22000000003</v>
      </c>
      <c r="W21" s="153">
        <v>40526</v>
      </c>
    </row>
    <row r="22" spans="1:23" ht="12" customHeight="1">
      <c r="A22" s="190"/>
      <c r="B22" s="145" t="s">
        <v>221</v>
      </c>
      <c r="C22" s="117" t="s">
        <v>278</v>
      </c>
      <c r="D22" s="117" t="s">
        <v>245</v>
      </c>
      <c r="E22" s="117" t="s">
        <v>279</v>
      </c>
      <c r="F22" s="146">
        <v>16314.71</v>
      </c>
      <c r="G22" s="147">
        <v>16314.71</v>
      </c>
      <c r="H22" s="147">
        <f t="shared" si="4"/>
        <v>0</v>
      </c>
      <c r="I22" s="117" t="s">
        <v>280</v>
      </c>
      <c r="J22" s="117"/>
      <c r="K22" s="149"/>
      <c r="L22" s="149" t="s">
        <v>281</v>
      </c>
      <c r="M22" s="117" t="s">
        <v>271</v>
      </c>
      <c r="N22" s="117"/>
      <c r="O22" s="150">
        <v>27.7</v>
      </c>
      <c r="P22" s="151"/>
      <c r="Q22" s="150"/>
      <c r="R22" s="150"/>
      <c r="S22" s="152"/>
      <c r="T22" s="150"/>
      <c r="U22" s="150">
        <f>IF(O22&gt;0,O22,((P22*2.2046*S22)+(Q22+R22)/F22)+T22)</f>
        <v>27.7</v>
      </c>
      <c r="V22" s="150">
        <f>U22*F22</f>
        <v>451917.46699999995</v>
      </c>
      <c r="W22" s="153">
        <v>40525</v>
      </c>
    </row>
    <row r="23" spans="1:23" ht="12" customHeight="1">
      <c r="A23" s="190"/>
      <c r="B23" s="145" t="s">
        <v>282</v>
      </c>
      <c r="C23" s="117" t="s">
        <v>264</v>
      </c>
      <c r="D23" s="117" t="s">
        <v>264</v>
      </c>
      <c r="E23" s="117" t="s">
        <v>283</v>
      </c>
      <c r="F23" s="146">
        <v>19011.5</v>
      </c>
      <c r="G23" s="147">
        <v>19020.02</v>
      </c>
      <c r="H23" s="147">
        <f t="shared" si="4"/>
        <v>8.5200000000004366</v>
      </c>
      <c r="I23" s="117">
        <v>10064615</v>
      </c>
      <c r="J23" s="148" t="s">
        <v>226</v>
      </c>
      <c r="K23" s="149">
        <v>40518</v>
      </c>
      <c r="L23" s="149">
        <v>40519</v>
      </c>
      <c r="M23" s="117" t="s">
        <v>277</v>
      </c>
      <c r="N23" s="117"/>
      <c r="O23" s="150"/>
      <c r="P23" s="151">
        <v>1.04</v>
      </c>
      <c r="Q23" s="150">
        <v>18560</v>
      </c>
      <c r="R23" s="150">
        <v>7714.5</v>
      </c>
      <c r="S23" s="152">
        <v>12.484999999999999</v>
      </c>
      <c r="T23" s="150">
        <v>0.13</v>
      </c>
      <c r="U23" s="150">
        <f t="shared" si="2"/>
        <v>30.137440168043554</v>
      </c>
      <c r="V23" s="150">
        <f t="shared" si="3"/>
        <v>572957.94375476008</v>
      </c>
      <c r="W23" s="153">
        <v>40520</v>
      </c>
    </row>
    <row r="24" spans="1:23">
      <c r="A24" s="190"/>
      <c r="B24" s="145" t="s">
        <v>221</v>
      </c>
      <c r="C24" s="117" t="s">
        <v>222</v>
      </c>
      <c r="D24" s="117" t="s">
        <v>223</v>
      </c>
      <c r="E24" s="117" t="s">
        <v>224</v>
      </c>
      <c r="F24" s="146">
        <f>41069*0.4536</f>
        <v>18628.898400000002</v>
      </c>
      <c r="G24" s="147">
        <v>18605.310000000001</v>
      </c>
      <c r="H24" s="147">
        <f t="shared" si="4"/>
        <v>-23.588400000000547</v>
      </c>
      <c r="I24" s="117" t="s">
        <v>284</v>
      </c>
      <c r="J24" s="148" t="s">
        <v>285</v>
      </c>
      <c r="K24" s="149">
        <v>40518</v>
      </c>
      <c r="L24" s="149">
        <v>40520</v>
      </c>
      <c r="M24" s="117" t="s">
        <v>227</v>
      </c>
      <c r="N24" s="117" t="s">
        <v>286</v>
      </c>
      <c r="O24" s="150"/>
      <c r="P24" s="151">
        <v>0.90500000000000003</v>
      </c>
      <c r="Q24" s="150">
        <v>18560</v>
      </c>
      <c r="R24" s="150">
        <v>30166.5</v>
      </c>
      <c r="S24" s="152">
        <v>12.484999999999999</v>
      </c>
      <c r="T24" s="150">
        <v>0.13</v>
      </c>
      <c r="U24" s="150">
        <f t="shared" si="2"/>
        <v>27.655250494587133</v>
      </c>
      <c r="V24" s="150">
        <f t="shared" si="3"/>
        <v>515186.85169021349</v>
      </c>
      <c r="W24" s="153">
        <v>40520</v>
      </c>
    </row>
    <row r="25" spans="1:23">
      <c r="A25" s="190"/>
      <c r="B25" s="145" t="s">
        <v>221</v>
      </c>
      <c r="C25" s="117" t="s">
        <v>264</v>
      </c>
      <c r="D25" s="117" t="s">
        <v>264</v>
      </c>
      <c r="E25" s="117" t="s">
        <v>265</v>
      </c>
      <c r="F25" s="146">
        <v>18688.400000000001</v>
      </c>
      <c r="G25" s="147">
        <v>18680.02</v>
      </c>
      <c r="H25" s="147">
        <f t="shared" si="4"/>
        <v>-8.3800000000010186</v>
      </c>
      <c r="I25" s="117" t="s">
        <v>287</v>
      </c>
      <c r="J25" s="148" t="s">
        <v>285</v>
      </c>
      <c r="K25" s="149">
        <v>40518</v>
      </c>
      <c r="L25" s="149">
        <v>40520</v>
      </c>
      <c r="M25" s="117" t="s">
        <v>227</v>
      </c>
      <c r="N25" s="117" t="s">
        <v>288</v>
      </c>
      <c r="O25" s="150"/>
      <c r="P25" s="151">
        <v>0.96</v>
      </c>
      <c r="Q25" s="150">
        <v>18560</v>
      </c>
      <c r="R25" s="150">
        <v>7714.5</v>
      </c>
      <c r="S25" s="152">
        <v>12.49</v>
      </c>
      <c r="T25" s="150">
        <v>0.13</v>
      </c>
      <c r="U25" s="150">
        <f t="shared" si="2"/>
        <v>27.969961440907515</v>
      </c>
      <c r="V25" s="150">
        <f t="shared" si="3"/>
        <v>522713.82739225606</v>
      </c>
      <c r="W25" s="153">
        <v>40520</v>
      </c>
    </row>
    <row r="26" spans="1:23">
      <c r="A26" s="190"/>
      <c r="B26" s="145" t="s">
        <v>221</v>
      </c>
      <c r="C26" s="117" t="s">
        <v>229</v>
      </c>
      <c r="D26" s="117" t="s">
        <v>230</v>
      </c>
      <c r="E26" s="117" t="s">
        <v>289</v>
      </c>
      <c r="F26" s="146">
        <f>49133*0.4536</f>
        <v>22286.728800000001</v>
      </c>
      <c r="G26" s="147">
        <v>22233.1</v>
      </c>
      <c r="H26" s="147">
        <f t="shared" si="4"/>
        <v>-53.628800000002229</v>
      </c>
      <c r="I26" s="117" t="s">
        <v>290</v>
      </c>
      <c r="J26" s="117"/>
      <c r="K26" s="149">
        <v>40518</v>
      </c>
      <c r="L26" s="149">
        <v>40520</v>
      </c>
      <c r="M26" s="117" t="s">
        <v>227</v>
      </c>
      <c r="N26" s="117"/>
      <c r="O26" s="150"/>
      <c r="P26" s="151">
        <v>0.95</v>
      </c>
      <c r="Q26" s="150">
        <v>1700</v>
      </c>
      <c r="R26" s="150"/>
      <c r="S26" s="152">
        <v>12.39</v>
      </c>
      <c r="T26" s="150"/>
      <c r="U26" s="150">
        <f>((P26*2.2046*S26)+(Q26*S26)/F26)</f>
        <v>26.894335891907382</v>
      </c>
      <c r="V26" s="150">
        <f t="shared" si="3"/>
        <v>599386.77027904592</v>
      </c>
      <c r="W26" s="153">
        <v>40541</v>
      </c>
    </row>
    <row r="27" spans="1:23">
      <c r="A27" s="190"/>
      <c r="B27" s="145" t="s">
        <v>272</v>
      </c>
      <c r="C27" s="117" t="s">
        <v>234</v>
      </c>
      <c r="D27" s="117" t="s">
        <v>235</v>
      </c>
      <c r="E27" s="117" t="s">
        <v>273</v>
      </c>
      <c r="F27" s="146">
        <v>222</v>
      </c>
      <c r="G27" s="147">
        <v>222</v>
      </c>
      <c r="H27" s="147">
        <f t="shared" si="4"/>
        <v>0</v>
      </c>
      <c r="I27" s="117" t="s">
        <v>291</v>
      </c>
      <c r="J27" s="117"/>
      <c r="K27" s="149"/>
      <c r="L27" s="149">
        <v>40520</v>
      </c>
      <c r="M27" s="117" t="s">
        <v>227</v>
      </c>
      <c r="N27" s="117"/>
      <c r="O27" s="150">
        <v>30</v>
      </c>
      <c r="P27" s="151"/>
      <c r="Q27" s="150"/>
      <c r="R27" s="150"/>
      <c r="S27" s="152"/>
      <c r="T27" s="150"/>
      <c r="U27" s="150">
        <f t="shared" ref="U27:U32" si="5">IF(O27&gt;0,O27,((P27*2.2046*S27)+(Q27+R27)/F27)+T27)</f>
        <v>30</v>
      </c>
      <c r="V27" s="150">
        <f t="shared" si="3"/>
        <v>6660</v>
      </c>
      <c r="W27" s="153">
        <v>40523</v>
      </c>
    </row>
    <row r="28" spans="1:23">
      <c r="A28" s="190"/>
      <c r="B28" s="145" t="s">
        <v>292</v>
      </c>
      <c r="C28" s="117" t="s">
        <v>234</v>
      </c>
      <c r="D28" s="117" t="s">
        <v>235</v>
      </c>
      <c r="E28" s="117" t="s">
        <v>293</v>
      </c>
      <c r="F28" s="146">
        <v>439</v>
      </c>
      <c r="G28" s="147">
        <v>439</v>
      </c>
      <c r="H28" s="147">
        <f t="shared" si="4"/>
        <v>0</v>
      </c>
      <c r="I28" s="117" t="s">
        <v>291</v>
      </c>
      <c r="J28" s="117"/>
      <c r="K28" s="149"/>
      <c r="L28" s="149">
        <v>40520</v>
      </c>
      <c r="M28" s="117" t="s">
        <v>227</v>
      </c>
      <c r="N28" s="117"/>
      <c r="O28" s="150">
        <v>34</v>
      </c>
      <c r="P28" s="151"/>
      <c r="Q28" s="150"/>
      <c r="R28" s="150"/>
      <c r="S28" s="152"/>
      <c r="T28" s="150"/>
      <c r="U28" s="150">
        <f t="shared" si="5"/>
        <v>34</v>
      </c>
      <c r="V28" s="150">
        <f t="shared" si="3"/>
        <v>14926</v>
      </c>
      <c r="W28" s="153">
        <v>40523</v>
      </c>
    </row>
    <row r="29" spans="1:23">
      <c r="A29" s="190"/>
      <c r="B29" s="145" t="s">
        <v>238</v>
      </c>
      <c r="C29" s="117" t="s">
        <v>239</v>
      </c>
      <c r="D29" s="117" t="s">
        <v>240</v>
      </c>
      <c r="E29" s="117" t="s">
        <v>241</v>
      </c>
      <c r="F29" s="146">
        <v>11960</v>
      </c>
      <c r="G29" s="147">
        <v>11960</v>
      </c>
      <c r="H29" s="147">
        <f t="shared" si="4"/>
        <v>0</v>
      </c>
      <c r="I29" s="117" t="s">
        <v>294</v>
      </c>
      <c r="J29" s="117"/>
      <c r="K29" s="149"/>
      <c r="L29" s="149">
        <v>40521</v>
      </c>
      <c r="M29" s="117" t="s">
        <v>243</v>
      </c>
      <c r="N29" s="135"/>
      <c r="O29" s="150">
        <v>28.8</v>
      </c>
      <c r="P29" s="151"/>
      <c r="Q29" s="150"/>
      <c r="R29" s="150"/>
      <c r="S29" s="152"/>
      <c r="T29" s="150"/>
      <c r="U29" s="150">
        <f t="shared" si="5"/>
        <v>28.8</v>
      </c>
      <c r="V29" s="150">
        <f t="shared" si="3"/>
        <v>344448</v>
      </c>
      <c r="W29" s="153">
        <v>40528</v>
      </c>
    </row>
    <row r="30" spans="1:23">
      <c r="A30" s="190"/>
      <c r="B30" s="145" t="s">
        <v>292</v>
      </c>
      <c r="C30" s="117" t="s">
        <v>295</v>
      </c>
      <c r="D30" s="117" t="s">
        <v>295</v>
      </c>
      <c r="E30" s="117" t="s">
        <v>293</v>
      </c>
      <c r="F30" s="146">
        <v>590.5</v>
      </c>
      <c r="G30" s="147">
        <v>590.5</v>
      </c>
      <c r="H30" s="147">
        <f t="shared" si="4"/>
        <v>0</v>
      </c>
      <c r="I30" s="117" t="s">
        <v>296</v>
      </c>
      <c r="J30" s="117"/>
      <c r="K30" s="149"/>
      <c r="L30" s="149">
        <v>40521</v>
      </c>
      <c r="M30" s="117" t="s">
        <v>243</v>
      </c>
      <c r="N30" s="135"/>
      <c r="O30" s="150">
        <v>34</v>
      </c>
      <c r="P30" s="151"/>
      <c r="Q30" s="150"/>
      <c r="R30" s="150"/>
      <c r="S30" s="152"/>
      <c r="T30" s="150"/>
      <c r="U30" s="150">
        <f t="shared" si="5"/>
        <v>34</v>
      </c>
      <c r="V30" s="150">
        <f t="shared" si="3"/>
        <v>20077</v>
      </c>
      <c r="W30" s="153">
        <v>40543</v>
      </c>
    </row>
    <row r="31" spans="1:23">
      <c r="A31" s="190"/>
      <c r="B31" s="145" t="s">
        <v>292</v>
      </c>
      <c r="C31" s="117" t="s">
        <v>234</v>
      </c>
      <c r="D31" s="117" t="s">
        <v>235</v>
      </c>
      <c r="E31" s="117" t="s">
        <v>297</v>
      </c>
      <c r="F31" s="146">
        <f>131+137+136+131+552.83</f>
        <v>1087.83</v>
      </c>
      <c r="G31" s="147">
        <v>1087.83</v>
      </c>
      <c r="H31" s="147">
        <f t="shared" si="4"/>
        <v>0</v>
      </c>
      <c r="I31" s="117" t="s">
        <v>298</v>
      </c>
      <c r="J31" s="117"/>
      <c r="K31" s="149"/>
      <c r="L31" s="149">
        <v>40521</v>
      </c>
      <c r="M31" s="117" t="s">
        <v>243</v>
      </c>
      <c r="N31" s="135"/>
      <c r="O31" s="150">
        <v>33</v>
      </c>
      <c r="P31" s="151"/>
      <c r="Q31" s="150"/>
      <c r="R31" s="150"/>
      <c r="S31" s="152"/>
      <c r="T31" s="150"/>
      <c r="U31" s="150">
        <f t="shared" si="5"/>
        <v>33</v>
      </c>
      <c r="V31" s="150">
        <f t="shared" si="3"/>
        <v>35898.39</v>
      </c>
      <c r="W31" s="153">
        <v>40523</v>
      </c>
    </row>
    <row r="32" spans="1:23">
      <c r="A32" s="190"/>
      <c r="B32" s="145" t="s">
        <v>272</v>
      </c>
      <c r="C32" s="117" t="s">
        <v>234</v>
      </c>
      <c r="D32" s="117" t="s">
        <v>235</v>
      </c>
      <c r="E32" s="117" t="s">
        <v>260</v>
      </c>
      <c r="F32" s="146">
        <v>661.6</v>
      </c>
      <c r="G32" s="147">
        <v>661.6</v>
      </c>
      <c r="H32" s="147">
        <f t="shared" si="4"/>
        <v>0</v>
      </c>
      <c r="I32" s="117" t="s">
        <v>298</v>
      </c>
      <c r="J32" s="117"/>
      <c r="K32" s="149"/>
      <c r="L32" s="149">
        <v>40521</v>
      </c>
      <c r="M32" s="117" t="s">
        <v>243</v>
      </c>
      <c r="N32" s="135"/>
      <c r="O32" s="150">
        <v>31</v>
      </c>
      <c r="P32" s="151"/>
      <c r="Q32" s="150"/>
      <c r="R32" s="150"/>
      <c r="S32" s="152"/>
      <c r="T32" s="150"/>
      <c r="U32" s="150">
        <f t="shared" si="5"/>
        <v>31</v>
      </c>
      <c r="V32" s="150">
        <f t="shared" si="3"/>
        <v>20509.600000000002</v>
      </c>
      <c r="W32" s="153">
        <v>40523</v>
      </c>
    </row>
    <row r="33" spans="1:23">
      <c r="A33" s="190"/>
      <c r="B33" s="145" t="s">
        <v>238</v>
      </c>
      <c r="C33" s="117" t="s">
        <v>255</v>
      </c>
      <c r="D33" s="117" t="s">
        <v>256</v>
      </c>
      <c r="E33" s="117" t="s">
        <v>275</v>
      </c>
      <c r="F33" s="146">
        <v>13163.6</v>
      </c>
      <c r="G33" s="147">
        <v>13163.6</v>
      </c>
      <c r="H33" s="147">
        <f t="shared" si="4"/>
        <v>0</v>
      </c>
      <c r="I33" s="117" t="s">
        <v>299</v>
      </c>
      <c r="J33" s="117"/>
      <c r="K33" s="149"/>
      <c r="L33" s="149">
        <v>40522</v>
      </c>
      <c r="M33" s="117" t="s">
        <v>259</v>
      </c>
      <c r="N33" s="135"/>
      <c r="O33" s="150">
        <v>28.6</v>
      </c>
      <c r="P33" s="151"/>
      <c r="Q33" s="150"/>
      <c r="R33" s="150"/>
      <c r="S33" s="152"/>
      <c r="T33" s="150"/>
      <c r="U33" s="150">
        <f t="shared" si="2"/>
        <v>28.6</v>
      </c>
      <c r="V33" s="150">
        <f t="shared" si="3"/>
        <v>376478.96</v>
      </c>
      <c r="W33" s="153">
        <v>40529</v>
      </c>
    </row>
    <row r="34" spans="1:23">
      <c r="A34" s="190"/>
      <c r="B34" s="145" t="s">
        <v>221</v>
      </c>
      <c r="C34" s="117" t="s">
        <v>222</v>
      </c>
      <c r="D34" s="117" t="s">
        <v>223</v>
      </c>
      <c r="E34" s="117" t="s">
        <v>289</v>
      </c>
      <c r="F34" s="146">
        <v>19273</v>
      </c>
      <c r="G34" s="147">
        <v>19273.52</v>
      </c>
      <c r="H34" s="147">
        <f t="shared" si="4"/>
        <v>0.52000000000043656</v>
      </c>
      <c r="I34" s="117" t="s">
        <v>300</v>
      </c>
      <c r="J34" s="148" t="s">
        <v>285</v>
      </c>
      <c r="K34" s="149">
        <v>40520</v>
      </c>
      <c r="L34" s="149">
        <v>40522</v>
      </c>
      <c r="M34" s="117" t="s">
        <v>259</v>
      </c>
      <c r="N34" s="117" t="s">
        <v>301</v>
      </c>
      <c r="O34" s="150"/>
      <c r="P34" s="151">
        <v>0.90500000000000003</v>
      </c>
      <c r="Q34" s="150">
        <v>18560</v>
      </c>
      <c r="R34" s="150">
        <v>31015.5</v>
      </c>
      <c r="S34" s="152">
        <v>12.377000000000001</v>
      </c>
      <c r="T34" s="150">
        <v>0.13</v>
      </c>
      <c r="U34" s="150">
        <f t="shared" si="2"/>
        <v>27.396409730095112</v>
      </c>
      <c r="V34" s="150">
        <f t="shared" si="3"/>
        <v>528011.00472812308</v>
      </c>
      <c r="W34" s="153">
        <v>40522</v>
      </c>
    </row>
    <row r="35" spans="1:23">
      <c r="A35" s="190"/>
      <c r="B35" s="145" t="s">
        <v>302</v>
      </c>
      <c r="C35" s="117" t="s">
        <v>303</v>
      </c>
      <c r="D35" s="117" t="s">
        <v>304</v>
      </c>
      <c r="E35" s="117" t="s">
        <v>305</v>
      </c>
      <c r="F35" s="146">
        <v>17680</v>
      </c>
      <c r="G35" s="147">
        <v>17680</v>
      </c>
      <c r="H35" s="147">
        <f t="shared" si="4"/>
        <v>0</v>
      </c>
      <c r="I35" s="117" t="s">
        <v>306</v>
      </c>
      <c r="J35" s="148" t="s">
        <v>307</v>
      </c>
      <c r="K35" s="149">
        <v>40521</v>
      </c>
      <c r="L35" s="149">
        <v>40522</v>
      </c>
      <c r="M35" s="117" t="s">
        <v>259</v>
      </c>
      <c r="N35" s="135"/>
      <c r="O35" s="150"/>
      <c r="P35" s="151">
        <v>30.31</v>
      </c>
      <c r="Q35" s="150">
        <v>20880</v>
      </c>
      <c r="R35" s="150"/>
      <c r="S35" s="152"/>
      <c r="T35" s="150">
        <v>0.13</v>
      </c>
      <c r="U35" s="150">
        <f>(((P35*F35)+Q35)/F35+T35)</f>
        <v>31.620995475113116</v>
      </c>
      <c r="V35" s="150">
        <f t="shared" si="3"/>
        <v>559059.19999999984</v>
      </c>
      <c r="W35" s="153">
        <v>40536</v>
      </c>
    </row>
    <row r="36" spans="1:23">
      <c r="A36" s="190"/>
      <c r="B36" s="145" t="s">
        <v>238</v>
      </c>
      <c r="C36" s="117" t="s">
        <v>308</v>
      </c>
      <c r="D36" s="117" t="s">
        <v>309</v>
      </c>
      <c r="E36" s="117" t="s">
        <v>310</v>
      </c>
      <c r="F36" s="146">
        <v>1450</v>
      </c>
      <c r="G36" s="147">
        <v>1450</v>
      </c>
      <c r="H36" s="147">
        <f t="shared" si="4"/>
        <v>0</v>
      </c>
      <c r="I36" s="117" t="s">
        <v>311</v>
      </c>
      <c r="J36" s="117"/>
      <c r="K36" s="149"/>
      <c r="L36" s="149">
        <v>40522</v>
      </c>
      <c r="M36" s="117" t="s">
        <v>259</v>
      </c>
      <c r="N36" s="135"/>
      <c r="O36" s="150">
        <v>30.3</v>
      </c>
      <c r="P36" s="151"/>
      <c r="Q36" s="150"/>
      <c r="R36" s="150"/>
      <c r="S36" s="152"/>
      <c r="T36" s="150"/>
      <c r="U36" s="150">
        <f>IF(O36&gt;0,O36,((P36*2.2046*S36)+(Q36+R36)/F36)+T36)</f>
        <v>30.3</v>
      </c>
      <c r="V36" s="150">
        <f>U36*F36</f>
        <v>43935</v>
      </c>
      <c r="W36" s="153">
        <v>40543</v>
      </c>
    </row>
    <row r="37" spans="1:23">
      <c r="A37" s="190"/>
      <c r="B37" s="145" t="s">
        <v>272</v>
      </c>
      <c r="C37" s="117" t="s">
        <v>234</v>
      </c>
      <c r="D37" s="117" t="s">
        <v>235</v>
      </c>
      <c r="E37" s="117" t="s">
        <v>312</v>
      </c>
      <c r="F37" s="146">
        <v>914.39</v>
      </c>
      <c r="G37" s="147">
        <v>914.39</v>
      </c>
      <c r="H37" s="147">
        <f t="shared" si="4"/>
        <v>0</v>
      </c>
      <c r="I37" s="117" t="s">
        <v>313</v>
      </c>
      <c r="J37" s="117"/>
      <c r="K37" s="149"/>
      <c r="L37" s="149">
        <v>40523</v>
      </c>
      <c r="M37" s="117" t="s">
        <v>259</v>
      </c>
      <c r="N37" s="135"/>
      <c r="O37" s="150">
        <v>31</v>
      </c>
      <c r="P37" s="151"/>
      <c r="Q37" s="150"/>
      <c r="R37" s="150"/>
      <c r="S37" s="152"/>
      <c r="T37" s="150"/>
      <c r="U37" s="150">
        <f>IF(O37&gt;0,O37,((P37*2.2046*S37)+(Q37+R37)/F37)+T37)</f>
        <v>31</v>
      </c>
      <c r="V37" s="150">
        <f>U37*F37</f>
        <v>28346.09</v>
      </c>
      <c r="W37" s="153">
        <v>40523</v>
      </c>
    </row>
    <row r="38" spans="1:23">
      <c r="A38" s="190"/>
      <c r="B38" s="145" t="s">
        <v>292</v>
      </c>
      <c r="C38" s="117" t="s">
        <v>234</v>
      </c>
      <c r="D38" s="117" t="s">
        <v>235</v>
      </c>
      <c r="E38" s="117" t="s">
        <v>273</v>
      </c>
      <c r="F38" s="146">
        <v>792.5</v>
      </c>
      <c r="G38" s="147">
        <v>792.5</v>
      </c>
      <c r="H38" s="147">
        <f t="shared" si="4"/>
        <v>0</v>
      </c>
      <c r="I38" s="117" t="s">
        <v>313</v>
      </c>
      <c r="J38" s="117"/>
      <c r="K38" s="149"/>
      <c r="L38" s="149">
        <v>40524</v>
      </c>
      <c r="M38" s="117" t="s">
        <v>259</v>
      </c>
      <c r="N38" s="135"/>
      <c r="O38" s="150">
        <v>34</v>
      </c>
      <c r="P38" s="151"/>
      <c r="Q38" s="150"/>
      <c r="R38" s="150"/>
      <c r="S38" s="152"/>
      <c r="T38" s="150"/>
      <c r="U38" s="150">
        <f>IF(O38&gt;0,O38,((P38*2.2046*S38)+(Q38+R38)/F38)+T38)</f>
        <v>34</v>
      </c>
      <c r="V38" s="150">
        <f>U38*F38</f>
        <v>26945</v>
      </c>
      <c r="W38" s="153">
        <v>40523</v>
      </c>
    </row>
    <row r="39" spans="1:23">
      <c r="A39" s="190"/>
      <c r="B39" s="145" t="s">
        <v>314</v>
      </c>
      <c r="C39" s="117" t="s">
        <v>244</v>
      </c>
      <c r="D39" s="117" t="s">
        <v>315</v>
      </c>
      <c r="E39" s="117" t="s">
        <v>316</v>
      </c>
      <c r="F39" s="146">
        <v>18778.77</v>
      </c>
      <c r="G39" s="147">
        <v>18778.77</v>
      </c>
      <c r="H39" s="147">
        <f t="shared" si="4"/>
        <v>0</v>
      </c>
      <c r="I39" s="117" t="s">
        <v>317</v>
      </c>
      <c r="J39" s="117"/>
      <c r="K39" s="149">
        <v>40521</v>
      </c>
      <c r="L39" s="149">
        <v>40523</v>
      </c>
      <c r="M39" s="117" t="s">
        <v>263</v>
      </c>
      <c r="O39" s="150">
        <v>31.8</v>
      </c>
      <c r="P39" s="151"/>
      <c r="Q39" s="150"/>
      <c r="R39" s="150"/>
      <c r="S39" s="152"/>
      <c r="T39" s="150"/>
      <c r="U39" s="150">
        <f>IF(O39&gt;0,O39,((P39*2.2046*S39)+(Q39+R39)/F39)+T39)</f>
        <v>31.8</v>
      </c>
      <c r="V39" s="150">
        <f t="shared" si="3"/>
        <v>597164.88600000006</v>
      </c>
      <c r="W39" s="153">
        <v>40539</v>
      </c>
    </row>
    <row r="40" spans="1:23">
      <c r="A40" s="190"/>
      <c r="B40" s="145" t="s">
        <v>221</v>
      </c>
      <c r="C40" s="117" t="s">
        <v>229</v>
      </c>
      <c r="D40" s="117" t="s">
        <v>230</v>
      </c>
      <c r="E40" s="117" t="s">
        <v>289</v>
      </c>
      <c r="F40" s="146">
        <f>49136*0.4536</f>
        <v>22288.089599999999</v>
      </c>
      <c r="G40" s="147">
        <v>22221.27</v>
      </c>
      <c r="H40" s="147">
        <f t="shared" si="4"/>
        <v>-66.8195999999989</v>
      </c>
      <c r="I40" s="117" t="s">
        <v>318</v>
      </c>
      <c r="J40" s="117"/>
      <c r="K40" s="149">
        <v>40521</v>
      </c>
      <c r="L40" s="149">
        <v>40523</v>
      </c>
      <c r="M40" s="117" t="s">
        <v>263</v>
      </c>
      <c r="O40" s="150"/>
      <c r="P40" s="151">
        <v>0.95</v>
      </c>
      <c r="Q40" s="150">
        <v>1700</v>
      </c>
      <c r="R40" s="150"/>
      <c r="S40" s="152">
        <v>12.38</v>
      </c>
      <c r="T40" s="150"/>
      <c r="U40" s="150">
        <f>((P40*2.2046*S40)+(Q40*S40)/F40)</f>
        <v>26.872571750094448</v>
      </c>
      <c r="V40" s="150">
        <f t="shared" si="3"/>
        <v>598938.28694853385</v>
      </c>
      <c r="W40" s="153">
        <v>40546</v>
      </c>
    </row>
    <row r="41" spans="1:23">
      <c r="A41" s="190"/>
      <c r="B41" s="145" t="s">
        <v>292</v>
      </c>
      <c r="C41" s="117" t="s">
        <v>295</v>
      </c>
      <c r="D41" s="117" t="s">
        <v>295</v>
      </c>
      <c r="E41" s="117" t="s">
        <v>273</v>
      </c>
      <c r="F41" s="146">
        <f>125+126.5+117+130+134+121</f>
        <v>753.5</v>
      </c>
      <c r="G41" s="147">
        <v>753.5</v>
      </c>
      <c r="H41" s="147">
        <f t="shared" si="4"/>
        <v>0</v>
      </c>
      <c r="I41" s="117" t="s">
        <v>319</v>
      </c>
      <c r="J41" s="117"/>
      <c r="K41" s="149"/>
      <c r="L41" s="149">
        <v>40523</v>
      </c>
      <c r="M41" s="117" t="s">
        <v>263</v>
      </c>
      <c r="N41" s="117"/>
      <c r="O41" s="150">
        <v>34</v>
      </c>
      <c r="P41" s="151"/>
      <c r="Q41" s="150"/>
      <c r="R41" s="150"/>
      <c r="S41" s="152"/>
      <c r="T41" s="150"/>
      <c r="U41" s="150">
        <f>IF(O41&gt;0,O41,((P41*2.2046*S41)+(Q41+R41)/F41)+T41)</f>
        <v>34</v>
      </c>
      <c r="V41" s="150">
        <f t="shared" si="3"/>
        <v>25619</v>
      </c>
      <c r="W41" s="153">
        <v>40543</v>
      </c>
    </row>
    <row r="42" spans="1:23">
      <c r="A42" s="190"/>
      <c r="B42" s="145" t="s">
        <v>292</v>
      </c>
      <c r="C42" s="117" t="s">
        <v>234</v>
      </c>
      <c r="D42" s="117" t="s">
        <v>235</v>
      </c>
      <c r="E42" s="117" t="s">
        <v>249</v>
      </c>
      <c r="F42" s="146">
        <v>841</v>
      </c>
      <c r="G42" s="147">
        <v>841</v>
      </c>
      <c r="H42" s="147">
        <f t="shared" si="4"/>
        <v>0</v>
      </c>
      <c r="I42" s="117" t="s">
        <v>320</v>
      </c>
      <c r="J42" s="117"/>
      <c r="K42" s="149"/>
      <c r="L42" s="149">
        <v>40523</v>
      </c>
      <c r="M42" s="117" t="s">
        <v>263</v>
      </c>
      <c r="N42" s="117"/>
      <c r="O42" s="150">
        <v>35</v>
      </c>
      <c r="P42" s="151"/>
      <c r="Q42" s="150"/>
      <c r="R42" s="150"/>
      <c r="S42" s="152"/>
      <c r="T42" s="150"/>
      <c r="U42" s="150">
        <f>IF(O42&gt;0,O42,((P42*2.2046*S42)+(Q42+R42)/F42)+T42)</f>
        <v>35</v>
      </c>
      <c r="V42" s="150">
        <f>U42*F42</f>
        <v>29435</v>
      </c>
      <c r="W42" s="153">
        <v>40530</v>
      </c>
    </row>
    <row r="43" spans="1:23">
      <c r="A43" s="190"/>
      <c r="B43" s="145" t="s">
        <v>272</v>
      </c>
      <c r="C43" s="117" t="s">
        <v>234</v>
      </c>
      <c r="D43" s="117" t="s">
        <v>235</v>
      </c>
      <c r="E43" s="117" t="s">
        <v>297</v>
      </c>
      <c r="F43" s="146">
        <v>400</v>
      </c>
      <c r="G43" s="147">
        <v>400</v>
      </c>
      <c r="H43" s="147">
        <f t="shared" si="4"/>
        <v>0</v>
      </c>
      <c r="I43" s="117" t="s">
        <v>320</v>
      </c>
      <c r="J43" s="117"/>
      <c r="K43" s="149"/>
      <c r="L43" s="149">
        <v>40523</v>
      </c>
      <c r="M43" s="117" t="s">
        <v>263</v>
      </c>
      <c r="O43" s="150">
        <v>31</v>
      </c>
      <c r="P43" s="151"/>
      <c r="Q43" s="150"/>
      <c r="R43" s="150"/>
      <c r="S43" s="152"/>
      <c r="T43" s="150"/>
      <c r="U43" s="150">
        <f>IF(O43&gt;0,O43,((P43*2.2046*S43)+(Q43+R43)/F43)+T43)</f>
        <v>31</v>
      </c>
      <c r="V43" s="150">
        <f>U43*F43</f>
        <v>12400</v>
      </c>
      <c r="W43" s="153">
        <v>40530</v>
      </c>
    </row>
    <row r="44" spans="1:23" ht="13.5" thickBot="1">
      <c r="A44" s="190"/>
      <c r="B44" s="160"/>
      <c r="C44" s="138"/>
      <c r="D44" s="138"/>
      <c r="E44" s="138"/>
      <c r="F44" s="139"/>
      <c r="G44" s="139"/>
      <c r="H44" s="139"/>
      <c r="I44" s="140"/>
      <c r="J44" s="138"/>
      <c r="K44" s="141"/>
      <c r="L44" s="141"/>
      <c r="M44" s="141"/>
      <c r="N44" s="138"/>
      <c r="O44" s="142"/>
      <c r="P44" s="143"/>
      <c r="Q44" s="142"/>
      <c r="R44" s="142"/>
      <c r="S44" s="142"/>
      <c r="T44" s="142"/>
      <c r="U44" s="142"/>
      <c r="V44" s="142"/>
      <c r="W44" s="156"/>
    </row>
    <row r="45" spans="1:23">
      <c r="A45" s="161"/>
      <c r="B45" s="145" t="s">
        <v>221</v>
      </c>
      <c r="C45" s="117" t="s">
        <v>264</v>
      </c>
      <c r="D45" s="117" t="s">
        <v>264</v>
      </c>
      <c r="E45" s="117" t="s">
        <v>265</v>
      </c>
      <c r="F45" s="146">
        <v>18746.900000000001</v>
      </c>
      <c r="G45" s="147">
        <v>18780.02</v>
      </c>
      <c r="H45" s="147">
        <f t="shared" ref="H45:H64" si="6">G45-F45</f>
        <v>33.119999999998981</v>
      </c>
      <c r="I45" s="117" t="s">
        <v>321</v>
      </c>
      <c r="J45" s="148" t="s">
        <v>226</v>
      </c>
      <c r="K45" s="149">
        <v>40522</v>
      </c>
      <c r="L45" s="149">
        <v>40523</v>
      </c>
      <c r="M45" s="117" t="s">
        <v>263</v>
      </c>
      <c r="N45" s="117" t="s">
        <v>322</v>
      </c>
      <c r="O45" s="150"/>
      <c r="P45" s="151">
        <v>0.91</v>
      </c>
      <c r="Q45" s="150">
        <v>18560</v>
      </c>
      <c r="R45" s="150">
        <v>7714.5</v>
      </c>
      <c r="S45" s="152">
        <v>12.385999999999999</v>
      </c>
      <c r="T45" s="150">
        <v>0.13</v>
      </c>
      <c r="U45" s="150">
        <f>IF(O45&gt;0,O45,((P45*2.2046*S45)+(Q45+R45)/F45)+T45)</f>
        <v>26.380158183680091</v>
      </c>
      <c r="V45" s="150">
        <f t="shared" ref="V45:V61" si="7">U45*F45</f>
        <v>494546.18745363236</v>
      </c>
      <c r="W45" s="153">
        <v>40525</v>
      </c>
    </row>
    <row r="46" spans="1:23">
      <c r="A46" s="161"/>
      <c r="B46" s="145" t="s">
        <v>221</v>
      </c>
      <c r="C46" s="117" t="s">
        <v>264</v>
      </c>
      <c r="D46" s="117" t="s">
        <v>264</v>
      </c>
      <c r="E46" s="117" t="s">
        <v>265</v>
      </c>
      <c r="F46" s="146">
        <v>18926.900000000001</v>
      </c>
      <c r="G46" s="147">
        <v>18890.02</v>
      </c>
      <c r="H46" s="147">
        <f t="shared" si="6"/>
        <v>-36.880000000001019</v>
      </c>
      <c r="I46" s="117" t="s">
        <v>323</v>
      </c>
      <c r="J46" s="148" t="s">
        <v>285</v>
      </c>
      <c r="K46" s="149">
        <v>40522</v>
      </c>
      <c r="L46" s="149">
        <v>40525</v>
      </c>
      <c r="M46" s="117" t="s">
        <v>271</v>
      </c>
      <c r="N46" s="117" t="s">
        <v>322</v>
      </c>
      <c r="O46" s="150"/>
      <c r="P46" s="151">
        <v>0.91</v>
      </c>
      <c r="Q46" s="150">
        <v>18560</v>
      </c>
      <c r="R46" s="150">
        <v>7714.05</v>
      </c>
      <c r="S46" s="152">
        <v>12.417</v>
      </c>
      <c r="T46" s="150">
        <v>0.13</v>
      </c>
      <c r="U46" s="150">
        <f>IF(O46&gt;0,O46,((P46*2.2046*S46)+(Q46+R46)/F46)+T46)</f>
        <v>26.428997160275468</v>
      </c>
      <c r="V46" s="150">
        <f t="shared" si="7"/>
        <v>500218.9863528178</v>
      </c>
      <c r="W46" s="153">
        <v>40525</v>
      </c>
    </row>
    <row r="47" spans="1:23">
      <c r="A47" s="161"/>
      <c r="B47" s="145" t="s">
        <v>238</v>
      </c>
      <c r="C47" s="117" t="s">
        <v>268</v>
      </c>
      <c r="D47" s="117" t="s">
        <v>268</v>
      </c>
      <c r="E47" s="117" t="s">
        <v>324</v>
      </c>
      <c r="F47" s="147">
        <v>12830</v>
      </c>
      <c r="G47" s="147">
        <v>12830</v>
      </c>
      <c r="H47" s="147">
        <f t="shared" si="6"/>
        <v>0</v>
      </c>
      <c r="I47" s="117" t="s">
        <v>325</v>
      </c>
      <c r="J47" s="117"/>
      <c r="K47" s="149"/>
      <c r="L47" s="149">
        <v>40525</v>
      </c>
      <c r="M47" s="117" t="s">
        <v>271</v>
      </c>
      <c r="N47" s="117"/>
      <c r="O47" s="150">
        <v>28.8</v>
      </c>
      <c r="P47" s="151"/>
      <c r="Q47" s="150"/>
      <c r="R47" s="150"/>
      <c r="S47" s="152"/>
      <c r="T47" s="150"/>
      <c r="U47" s="150">
        <f>IF(O47&gt;0,O47,((P47*2.2046*S47)+(Q47+R47)/F47)+T47)</f>
        <v>28.8</v>
      </c>
      <c r="V47" s="150">
        <f>U47*F47</f>
        <v>369504</v>
      </c>
      <c r="W47" s="153">
        <v>40532</v>
      </c>
    </row>
    <row r="48" spans="1:23">
      <c r="A48" s="161"/>
      <c r="B48" s="145" t="s">
        <v>238</v>
      </c>
      <c r="C48" s="117" t="s">
        <v>255</v>
      </c>
      <c r="D48" s="117" t="s">
        <v>256</v>
      </c>
      <c r="E48" s="117" t="s">
        <v>275</v>
      </c>
      <c r="F48" s="147">
        <v>12450.3</v>
      </c>
      <c r="G48" s="147">
        <v>12450.3</v>
      </c>
      <c r="H48" s="147">
        <f t="shared" si="6"/>
        <v>0</v>
      </c>
      <c r="I48" s="117" t="s">
        <v>326</v>
      </c>
      <c r="J48" s="117"/>
      <c r="K48" s="149"/>
      <c r="L48" s="149">
        <v>40526</v>
      </c>
      <c r="M48" s="117" t="s">
        <v>277</v>
      </c>
      <c r="N48" s="117"/>
      <c r="O48" s="150">
        <v>28.8</v>
      </c>
      <c r="P48" s="151"/>
      <c r="Q48" s="150"/>
      <c r="R48" s="150"/>
      <c r="S48" s="152"/>
      <c r="T48" s="150"/>
      <c r="U48" s="150">
        <f>IF(O48&gt;0,O48,((P48*2.2046*S48)+(Q48+R48)/F48)+T48)</f>
        <v>28.8</v>
      </c>
      <c r="V48" s="150">
        <f>U48*F48</f>
        <v>358568.64</v>
      </c>
      <c r="W48" s="153">
        <v>40533</v>
      </c>
    </row>
    <row r="49" spans="1:23">
      <c r="A49" s="161"/>
      <c r="B49" s="145" t="s">
        <v>282</v>
      </c>
      <c r="C49" s="117" t="s">
        <v>229</v>
      </c>
      <c r="D49" s="117" t="s">
        <v>230</v>
      </c>
      <c r="E49" s="117" t="s">
        <v>224</v>
      </c>
      <c r="F49" s="146">
        <f>46128*0.4536</f>
        <v>20923.660800000001</v>
      </c>
      <c r="G49" s="147">
        <v>20878.07</v>
      </c>
      <c r="H49" s="147">
        <f t="shared" si="6"/>
        <v>-45.590800000001764</v>
      </c>
      <c r="I49" s="117" t="s">
        <v>327</v>
      </c>
      <c r="J49" s="117"/>
      <c r="K49" s="149">
        <v>40525</v>
      </c>
      <c r="L49" s="149">
        <v>40527</v>
      </c>
      <c r="M49" s="117" t="s">
        <v>227</v>
      </c>
      <c r="N49" s="117"/>
      <c r="O49" s="150"/>
      <c r="P49" s="151">
        <v>1.1100000000000001</v>
      </c>
      <c r="Q49" s="150"/>
      <c r="R49" s="150"/>
      <c r="S49" s="152">
        <v>12.38</v>
      </c>
      <c r="T49" s="150"/>
      <c r="U49" s="150">
        <f>P49/0.4536*S49</f>
        <v>30.294973544973551</v>
      </c>
      <c r="V49" s="150">
        <f t="shared" si="7"/>
        <v>633881.75040000014</v>
      </c>
      <c r="W49" s="153">
        <v>40548</v>
      </c>
    </row>
    <row r="50" spans="1:23">
      <c r="A50" s="161"/>
      <c r="B50" s="145" t="s">
        <v>221</v>
      </c>
      <c r="C50" s="117" t="s">
        <v>264</v>
      </c>
      <c r="D50" s="117" t="s">
        <v>264</v>
      </c>
      <c r="E50" s="117" t="s">
        <v>265</v>
      </c>
      <c r="F50" s="146">
        <v>18813.400000000001</v>
      </c>
      <c r="G50" s="147">
        <v>18800.02</v>
      </c>
      <c r="H50" s="147">
        <f t="shared" si="6"/>
        <v>-13.380000000001019</v>
      </c>
      <c r="I50" t="s">
        <v>328</v>
      </c>
      <c r="J50" s="148" t="s">
        <v>226</v>
      </c>
      <c r="K50" s="149">
        <v>40525</v>
      </c>
      <c r="L50" s="149">
        <v>40527</v>
      </c>
      <c r="M50" s="117" t="s">
        <v>227</v>
      </c>
      <c r="N50" s="117" t="s">
        <v>329</v>
      </c>
      <c r="O50" s="150"/>
      <c r="P50" s="151">
        <v>0.91</v>
      </c>
      <c r="Q50" s="150">
        <v>18560</v>
      </c>
      <c r="R50" s="150">
        <v>7714.5</v>
      </c>
      <c r="S50" s="152">
        <v>12.436</v>
      </c>
      <c r="T50" s="150">
        <v>0.13</v>
      </c>
      <c r="U50" s="150">
        <f>IF(O50&gt;0,O50,((P50*2.2046*S50)+(Q50+R50)/F50)+T50)</f>
        <v>26.47551344545305</v>
      </c>
      <c r="V50" s="150">
        <f t="shared" si="7"/>
        <v>498094.42465468647</v>
      </c>
      <c r="W50" s="153">
        <v>40527</v>
      </c>
    </row>
    <row r="51" spans="1:23">
      <c r="A51" s="161"/>
      <c r="B51" s="145" t="s">
        <v>221</v>
      </c>
      <c r="C51" s="117" t="s">
        <v>229</v>
      </c>
      <c r="D51" s="117" t="s">
        <v>230</v>
      </c>
      <c r="E51" s="117" t="s">
        <v>289</v>
      </c>
      <c r="F51" s="146">
        <f>49098*0.4536</f>
        <v>22270.852800000001</v>
      </c>
      <c r="G51" s="147">
        <v>22244.44</v>
      </c>
      <c r="H51" s="147">
        <f t="shared" si="6"/>
        <v>-26.41280000000188</v>
      </c>
      <c r="I51" t="s">
        <v>330</v>
      </c>
      <c r="J51" s="117"/>
      <c r="K51" s="149">
        <v>40525</v>
      </c>
      <c r="L51" s="149">
        <v>40527</v>
      </c>
      <c r="M51" s="117" t="s">
        <v>227</v>
      </c>
      <c r="N51" s="117"/>
      <c r="O51" s="150"/>
      <c r="P51" s="151">
        <v>0.93</v>
      </c>
      <c r="Q51" s="150">
        <v>1700</v>
      </c>
      <c r="R51" s="150"/>
      <c r="S51" s="152">
        <v>12.38</v>
      </c>
      <c r="T51" s="150"/>
      <c r="U51" s="150">
        <f>((P51*2.2046*S51)+(Q51*S51)/F51)</f>
        <v>26.327443620346262</v>
      </c>
      <c r="V51" s="150">
        <f t="shared" si="7"/>
        <v>586334.62146903074</v>
      </c>
      <c r="W51" s="153">
        <v>40548</v>
      </c>
    </row>
    <row r="52" spans="1:23">
      <c r="A52" s="161"/>
      <c r="B52" s="145" t="s">
        <v>238</v>
      </c>
      <c r="C52" s="117" t="s">
        <v>239</v>
      </c>
      <c r="D52" s="117" t="s">
        <v>240</v>
      </c>
      <c r="E52" s="117" t="s">
        <v>331</v>
      </c>
      <c r="F52" s="146">
        <v>12877.7</v>
      </c>
      <c r="G52" s="147">
        <v>12877.7</v>
      </c>
      <c r="H52" s="147">
        <f t="shared" si="6"/>
        <v>0</v>
      </c>
      <c r="I52" t="s">
        <v>332</v>
      </c>
      <c r="J52" s="117"/>
      <c r="K52" s="149"/>
      <c r="L52" s="149">
        <v>40528</v>
      </c>
      <c r="M52" s="117" t="s">
        <v>243</v>
      </c>
      <c r="N52" s="117"/>
      <c r="O52" s="150">
        <v>28.8</v>
      </c>
      <c r="P52" s="151"/>
      <c r="Q52" s="150"/>
      <c r="R52" s="150"/>
      <c r="S52" s="152"/>
      <c r="T52" s="150"/>
      <c r="U52" s="150">
        <f t="shared" ref="U52:U57" si="8">IF(O52&gt;0,O52,((P52*2.2046*S52)+(Q52+R52)/F52)+T52)</f>
        <v>28.8</v>
      </c>
      <c r="V52" s="150">
        <f t="shared" si="7"/>
        <v>370877.76</v>
      </c>
      <c r="W52" s="153">
        <v>40535</v>
      </c>
    </row>
    <row r="53" spans="1:23">
      <c r="A53" s="161"/>
      <c r="B53" s="145" t="s">
        <v>292</v>
      </c>
      <c r="C53" s="117" t="s">
        <v>234</v>
      </c>
      <c r="D53" s="117" t="s">
        <v>235</v>
      </c>
      <c r="E53" s="117" t="s">
        <v>273</v>
      </c>
      <c r="F53" s="146">
        <v>839.94</v>
      </c>
      <c r="G53" s="147">
        <v>839.94</v>
      </c>
      <c r="H53" s="147">
        <f t="shared" si="6"/>
        <v>0</v>
      </c>
      <c r="I53" t="s">
        <v>333</v>
      </c>
      <c r="J53" s="117"/>
      <c r="K53" s="149"/>
      <c r="L53" s="149">
        <v>40528</v>
      </c>
      <c r="M53" s="117" t="s">
        <v>243</v>
      </c>
      <c r="N53" s="117"/>
      <c r="O53" s="150">
        <v>35</v>
      </c>
      <c r="P53" s="151"/>
      <c r="Q53" s="150"/>
      <c r="R53" s="150"/>
      <c r="S53" s="152"/>
      <c r="T53" s="150"/>
      <c r="U53" s="150">
        <f t="shared" si="8"/>
        <v>35</v>
      </c>
      <c r="V53" s="150">
        <f>U53*F53</f>
        <v>29397.9</v>
      </c>
      <c r="W53" s="153">
        <v>40530</v>
      </c>
    </row>
    <row r="54" spans="1:23">
      <c r="A54" s="161"/>
      <c r="B54" s="145" t="s">
        <v>272</v>
      </c>
      <c r="C54" s="117" t="s">
        <v>234</v>
      </c>
      <c r="D54" s="117" t="s">
        <v>235</v>
      </c>
      <c r="E54" s="117" t="s">
        <v>334</v>
      </c>
      <c r="F54" s="146">
        <v>612.49</v>
      </c>
      <c r="G54" s="147">
        <v>612.49</v>
      </c>
      <c r="H54" s="147">
        <f t="shared" si="6"/>
        <v>0</v>
      </c>
      <c r="I54" t="s">
        <v>333</v>
      </c>
      <c r="J54" s="117"/>
      <c r="K54" s="149"/>
      <c r="L54" s="149">
        <v>40528</v>
      </c>
      <c r="M54" s="117" t="s">
        <v>243</v>
      </c>
      <c r="N54" s="117"/>
      <c r="O54" s="150">
        <v>31</v>
      </c>
      <c r="P54" s="151"/>
      <c r="Q54" s="150"/>
      <c r="R54" s="150"/>
      <c r="S54" s="152"/>
      <c r="T54" s="150"/>
      <c r="U54" s="150">
        <f t="shared" si="8"/>
        <v>31</v>
      </c>
      <c r="V54" s="150">
        <f>U54*F54</f>
        <v>18987.189999999999</v>
      </c>
      <c r="W54" s="153">
        <v>40530</v>
      </c>
    </row>
    <row r="55" spans="1:23">
      <c r="A55" s="161"/>
      <c r="B55" s="145" t="s">
        <v>238</v>
      </c>
      <c r="C55" s="117" t="s">
        <v>239</v>
      </c>
      <c r="D55" s="117" t="s">
        <v>240</v>
      </c>
      <c r="E55" s="117" t="s">
        <v>335</v>
      </c>
      <c r="F55" s="146">
        <v>12950</v>
      </c>
      <c r="G55" s="147">
        <v>12950</v>
      </c>
      <c r="H55" s="147">
        <f t="shared" si="6"/>
        <v>0</v>
      </c>
      <c r="I55" t="s">
        <v>332</v>
      </c>
      <c r="J55" s="117"/>
      <c r="K55" s="149"/>
      <c r="L55" s="149">
        <v>40529</v>
      </c>
      <c r="M55" s="117" t="s">
        <v>259</v>
      </c>
      <c r="N55" s="117"/>
      <c r="O55" s="150">
        <v>28.8</v>
      </c>
      <c r="P55" s="151"/>
      <c r="Q55" s="150"/>
      <c r="R55" s="150"/>
      <c r="S55" s="152"/>
      <c r="T55" s="150"/>
      <c r="U55" s="150">
        <f t="shared" si="8"/>
        <v>28.8</v>
      </c>
      <c r="V55" s="150">
        <f>U55*F55</f>
        <v>372960</v>
      </c>
      <c r="W55" s="153">
        <v>40536</v>
      </c>
    </row>
    <row r="56" spans="1:23">
      <c r="A56" s="161"/>
      <c r="B56" s="145" t="s">
        <v>221</v>
      </c>
      <c r="C56" s="117" t="s">
        <v>222</v>
      </c>
      <c r="D56" s="117" t="s">
        <v>223</v>
      </c>
      <c r="E56" s="117" t="s">
        <v>289</v>
      </c>
      <c r="F56" s="146">
        <f>42552*0.4536</f>
        <v>19301.587200000002</v>
      </c>
      <c r="G56" s="147">
        <v>19210.38</v>
      </c>
      <c r="H56" s="147">
        <f t="shared" si="6"/>
        <v>-91.207200000000739</v>
      </c>
      <c r="I56" t="s">
        <v>336</v>
      </c>
      <c r="J56" s="148" t="s">
        <v>285</v>
      </c>
      <c r="K56" s="149">
        <v>40527</v>
      </c>
      <c r="L56" s="149">
        <v>40529</v>
      </c>
      <c r="M56" s="117" t="s">
        <v>259</v>
      </c>
      <c r="N56" s="117" t="s">
        <v>337</v>
      </c>
      <c r="O56" s="150"/>
      <c r="P56" s="151">
        <v>0.85</v>
      </c>
      <c r="Q56" s="150">
        <v>18560</v>
      </c>
      <c r="R56" s="150">
        <v>29634.5</v>
      </c>
      <c r="S56" s="152">
        <v>12.436</v>
      </c>
      <c r="T56" s="150">
        <v>0.13</v>
      </c>
      <c r="U56" s="150">
        <f t="shared" si="8"/>
        <v>25.930863769852206</v>
      </c>
      <c r="V56" s="150">
        <f t="shared" si="7"/>
        <v>500506.82822512311</v>
      </c>
      <c r="W56" s="153">
        <v>40529</v>
      </c>
    </row>
    <row r="57" spans="1:23">
      <c r="A57" s="161"/>
      <c r="B57" s="145" t="s">
        <v>292</v>
      </c>
      <c r="C57" s="117" t="s">
        <v>295</v>
      </c>
      <c r="D57" s="117" t="s">
        <v>295</v>
      </c>
      <c r="E57" s="117" t="s">
        <v>293</v>
      </c>
      <c r="F57" s="146">
        <f>171+167+179+173</f>
        <v>690</v>
      </c>
      <c r="G57" s="147">
        <v>690</v>
      </c>
      <c r="H57" s="147">
        <f t="shared" si="6"/>
        <v>0</v>
      </c>
      <c r="I57" t="s">
        <v>338</v>
      </c>
      <c r="J57" s="117"/>
      <c r="K57" s="149"/>
      <c r="L57" s="149">
        <v>40529</v>
      </c>
      <c r="M57" s="117" t="s">
        <v>259</v>
      </c>
      <c r="N57" s="117"/>
      <c r="O57" s="150">
        <v>34</v>
      </c>
      <c r="P57" s="151"/>
      <c r="Q57" s="150"/>
      <c r="R57" s="150"/>
      <c r="S57" s="152"/>
      <c r="T57" s="150"/>
      <c r="U57" s="150">
        <f t="shared" si="8"/>
        <v>34</v>
      </c>
      <c r="V57" s="150">
        <f>U57*F57</f>
        <v>23460</v>
      </c>
      <c r="W57" s="153">
        <v>40543</v>
      </c>
    </row>
    <row r="58" spans="1:23">
      <c r="A58" s="161"/>
      <c r="B58" s="145" t="s">
        <v>221</v>
      </c>
      <c r="C58" s="117" t="s">
        <v>229</v>
      </c>
      <c r="D58" s="117" t="s">
        <v>230</v>
      </c>
      <c r="E58" s="117" t="s">
        <v>289</v>
      </c>
      <c r="F58" s="146">
        <f>49105*0.4536</f>
        <v>22274.027999999998</v>
      </c>
      <c r="G58" s="147">
        <v>22167.33</v>
      </c>
      <c r="H58" s="147">
        <f t="shared" si="6"/>
        <v>-106.69799999999668</v>
      </c>
      <c r="I58" s="130" t="s">
        <v>339</v>
      </c>
      <c r="J58" s="117"/>
      <c r="K58" s="149">
        <v>40527</v>
      </c>
      <c r="L58" s="149">
        <v>40528</v>
      </c>
      <c r="M58" s="117" t="s">
        <v>243</v>
      </c>
      <c r="N58" s="117" t="s">
        <v>340</v>
      </c>
      <c r="O58" s="150"/>
      <c r="P58" s="151">
        <v>0.9</v>
      </c>
      <c r="Q58" s="150">
        <v>1700</v>
      </c>
      <c r="R58" s="150"/>
      <c r="S58" s="152">
        <v>12.38</v>
      </c>
      <c r="T58" s="150"/>
      <c r="U58" s="150">
        <f>((P58*2.2046*S58)+(Q58*S58)/F58)</f>
        <v>25.508520468731103</v>
      </c>
      <c r="V58" s="150">
        <f t="shared" si="7"/>
        <v>568177.49915908964</v>
      </c>
      <c r="W58" s="153">
        <v>40550</v>
      </c>
    </row>
    <row r="59" spans="1:23">
      <c r="A59" s="161"/>
      <c r="B59" s="145" t="s">
        <v>272</v>
      </c>
      <c r="C59" s="117" t="s">
        <v>234</v>
      </c>
      <c r="D59" s="117" t="s">
        <v>235</v>
      </c>
      <c r="E59" s="117" t="s">
        <v>341</v>
      </c>
      <c r="F59" s="146">
        <v>739</v>
      </c>
      <c r="G59" s="147">
        <v>739</v>
      </c>
      <c r="H59" s="147">
        <f t="shared" si="6"/>
        <v>0</v>
      </c>
      <c r="I59" s="130" t="s">
        <v>342</v>
      </c>
      <c r="J59" s="117"/>
      <c r="K59" s="149"/>
      <c r="L59" s="149">
        <v>40529</v>
      </c>
      <c r="M59" s="117" t="s">
        <v>259</v>
      </c>
      <c r="N59" s="117"/>
      <c r="O59" s="150">
        <v>31</v>
      </c>
      <c r="P59" s="151"/>
      <c r="Q59" s="150"/>
      <c r="R59" s="150"/>
      <c r="S59" s="152"/>
      <c r="T59" s="150"/>
      <c r="U59" s="150">
        <f t="shared" ref="U59:U64" si="9">IF(O59&gt;0,O59,((P59*2.2046*S59)+(Q59+R59)/F59)+T59)</f>
        <v>31</v>
      </c>
      <c r="V59" s="150">
        <f>U59*F59</f>
        <v>22909</v>
      </c>
      <c r="W59" s="153">
        <v>40530</v>
      </c>
    </row>
    <row r="60" spans="1:23">
      <c r="A60" s="161"/>
      <c r="B60" s="145" t="s">
        <v>292</v>
      </c>
      <c r="C60" s="117" t="s">
        <v>234</v>
      </c>
      <c r="D60" s="117" t="s">
        <v>235</v>
      </c>
      <c r="E60" s="117" t="s">
        <v>293</v>
      </c>
      <c r="F60" s="146">
        <v>638</v>
      </c>
      <c r="G60" s="147">
        <v>638</v>
      </c>
      <c r="H60" s="147">
        <f t="shared" si="6"/>
        <v>0</v>
      </c>
      <c r="I60" s="130" t="s">
        <v>342</v>
      </c>
      <c r="J60" s="117"/>
      <c r="K60" s="149"/>
      <c r="L60" s="149">
        <v>40529</v>
      </c>
      <c r="M60" s="117" t="s">
        <v>259</v>
      </c>
      <c r="N60" s="117"/>
      <c r="O60" s="150">
        <v>35</v>
      </c>
      <c r="P60" s="151"/>
      <c r="Q60" s="150"/>
      <c r="R60" s="150"/>
      <c r="S60" s="152"/>
      <c r="T60" s="150"/>
      <c r="U60" s="150">
        <f t="shared" si="9"/>
        <v>35</v>
      </c>
      <c r="V60" s="150">
        <f>U60*F60</f>
        <v>22330</v>
      </c>
      <c r="W60" s="153">
        <v>40530</v>
      </c>
    </row>
    <row r="61" spans="1:23">
      <c r="A61" s="161"/>
      <c r="B61" s="145" t="s">
        <v>221</v>
      </c>
      <c r="C61" s="117" t="s">
        <v>222</v>
      </c>
      <c r="D61" s="117" t="s">
        <v>223</v>
      </c>
      <c r="E61" s="117" t="s">
        <v>224</v>
      </c>
      <c r="F61" s="146">
        <f>41656*0.4536</f>
        <v>18895.161599999999</v>
      </c>
      <c r="G61" s="147">
        <v>18871.189999999999</v>
      </c>
      <c r="H61" s="147">
        <f t="shared" si="6"/>
        <v>-23.971600000000763</v>
      </c>
      <c r="I61" s="130" t="s">
        <v>343</v>
      </c>
      <c r="J61" s="148" t="s">
        <v>285</v>
      </c>
      <c r="K61" s="149">
        <v>40529</v>
      </c>
      <c r="L61" s="149">
        <v>40532</v>
      </c>
      <c r="M61" s="117" t="s">
        <v>271</v>
      </c>
      <c r="N61" s="117" t="s">
        <v>344</v>
      </c>
      <c r="O61" s="150"/>
      <c r="P61" s="151">
        <v>0.8</v>
      </c>
      <c r="Q61" s="150">
        <v>18560</v>
      </c>
      <c r="R61" s="150">
        <v>27862.5</v>
      </c>
      <c r="S61" s="152">
        <v>12.436</v>
      </c>
      <c r="T61" s="150">
        <v>0.13</v>
      </c>
      <c r="U61" s="150">
        <f t="shared" si="9"/>
        <v>24.519970363763175</v>
      </c>
      <c r="V61" s="150">
        <f t="shared" si="7"/>
        <v>463308.80245051597</v>
      </c>
      <c r="W61" s="153">
        <v>40532</v>
      </c>
    </row>
    <row r="62" spans="1:23">
      <c r="A62" s="161"/>
      <c r="B62" s="145" t="s">
        <v>238</v>
      </c>
      <c r="C62" s="117" t="s">
        <v>255</v>
      </c>
      <c r="D62" s="117" t="s">
        <v>256</v>
      </c>
      <c r="E62" s="117" t="s">
        <v>275</v>
      </c>
      <c r="F62" s="146">
        <v>13219.2</v>
      </c>
      <c r="G62" s="147">
        <v>13219.2</v>
      </c>
      <c r="H62" s="147">
        <f t="shared" si="6"/>
        <v>0</v>
      </c>
      <c r="I62" s="130" t="s">
        <v>345</v>
      </c>
      <c r="J62" s="117"/>
      <c r="K62" s="149"/>
      <c r="L62" s="149">
        <v>40530</v>
      </c>
      <c r="M62" s="117" t="s">
        <v>263</v>
      </c>
      <c r="N62" s="117"/>
      <c r="O62" s="150">
        <v>28.8</v>
      </c>
      <c r="P62" s="151"/>
      <c r="Q62" s="150"/>
      <c r="R62" s="150"/>
      <c r="S62" s="152"/>
      <c r="T62" s="150"/>
      <c r="U62" s="150">
        <f t="shared" si="9"/>
        <v>28.8</v>
      </c>
      <c r="V62" s="150">
        <f>U62*F62</f>
        <v>380712.96000000002</v>
      </c>
      <c r="W62" s="153">
        <v>40536</v>
      </c>
    </row>
    <row r="63" spans="1:23">
      <c r="A63" s="161"/>
      <c r="B63" s="145" t="s">
        <v>292</v>
      </c>
      <c r="C63" s="117" t="s">
        <v>234</v>
      </c>
      <c r="D63" s="117" t="s">
        <v>235</v>
      </c>
      <c r="E63" s="117" t="s">
        <v>273</v>
      </c>
      <c r="F63" s="146">
        <v>803.56</v>
      </c>
      <c r="G63" s="147">
        <v>803.56</v>
      </c>
      <c r="H63" s="147">
        <f t="shared" si="6"/>
        <v>0</v>
      </c>
      <c r="I63" s="130" t="s">
        <v>346</v>
      </c>
      <c r="J63" s="117"/>
      <c r="K63" s="149"/>
      <c r="L63" s="149">
        <v>40530</v>
      </c>
      <c r="M63" s="117" t="s">
        <v>263</v>
      </c>
      <c r="N63" s="117"/>
      <c r="O63" s="150">
        <v>35</v>
      </c>
      <c r="P63" s="151"/>
      <c r="Q63" s="150"/>
      <c r="R63" s="150"/>
      <c r="S63" s="152"/>
      <c r="T63" s="150"/>
      <c r="U63" s="150">
        <f t="shared" si="9"/>
        <v>35</v>
      </c>
      <c r="V63" s="150">
        <f>U63*F63</f>
        <v>28124.6</v>
      </c>
      <c r="W63" s="153">
        <v>40539</v>
      </c>
    </row>
    <row r="64" spans="1:23">
      <c r="A64" s="161"/>
      <c r="B64" s="145" t="s">
        <v>272</v>
      </c>
      <c r="C64" s="117" t="s">
        <v>234</v>
      </c>
      <c r="D64" s="117" t="s">
        <v>235</v>
      </c>
      <c r="E64" s="117" t="s">
        <v>347</v>
      </c>
      <c r="F64" s="146">
        <v>46.5</v>
      </c>
      <c r="G64" s="147">
        <v>46.5</v>
      </c>
      <c r="H64" s="147">
        <f t="shared" si="6"/>
        <v>0</v>
      </c>
      <c r="I64" s="130" t="s">
        <v>346</v>
      </c>
      <c r="J64" s="117"/>
      <c r="K64" s="149"/>
      <c r="L64" s="149">
        <v>40530</v>
      </c>
      <c r="M64" s="117" t="s">
        <v>263</v>
      </c>
      <c r="N64" s="117"/>
      <c r="O64" s="150">
        <v>31</v>
      </c>
      <c r="P64" s="151"/>
      <c r="Q64" s="150"/>
      <c r="R64" s="150"/>
      <c r="S64" s="152"/>
      <c r="T64" s="150"/>
      <c r="U64" s="150">
        <f t="shared" si="9"/>
        <v>31</v>
      </c>
      <c r="V64" s="150">
        <f>U64*F64</f>
        <v>1441.5</v>
      </c>
      <c r="W64" s="153">
        <v>40539</v>
      </c>
    </row>
    <row r="65" spans="1:23" ht="13.5" thickBot="1">
      <c r="A65" s="161"/>
      <c r="B65" s="160"/>
      <c r="C65" s="138"/>
      <c r="D65" s="138"/>
      <c r="E65" s="138"/>
      <c r="F65" s="139"/>
      <c r="G65" s="139"/>
      <c r="H65" s="139"/>
      <c r="I65" s="139"/>
      <c r="J65" s="138"/>
      <c r="K65" s="141"/>
      <c r="L65" s="141"/>
      <c r="M65" s="138"/>
      <c r="N65" s="138"/>
      <c r="O65" s="142"/>
      <c r="P65" s="143"/>
      <c r="Q65" s="142"/>
      <c r="R65" s="142"/>
      <c r="S65" s="142"/>
      <c r="T65" s="142"/>
      <c r="U65" s="142"/>
      <c r="V65" s="142"/>
      <c r="W65" s="156"/>
    </row>
    <row r="66" spans="1:23">
      <c r="A66" s="191"/>
      <c r="B66" s="145" t="s">
        <v>221</v>
      </c>
      <c r="C66" s="117" t="s">
        <v>264</v>
      </c>
      <c r="D66" s="117" t="s">
        <v>264</v>
      </c>
      <c r="E66" s="117" t="s">
        <v>265</v>
      </c>
      <c r="F66" s="146">
        <v>18973.900000000001</v>
      </c>
      <c r="G66" s="157">
        <v>18960.02</v>
      </c>
      <c r="H66" s="157">
        <f t="shared" ref="H66:H87" si="10">G66-F66</f>
        <v>-13.880000000001019</v>
      </c>
      <c r="I66" s="117" t="s">
        <v>348</v>
      </c>
      <c r="J66" s="148" t="s">
        <v>226</v>
      </c>
      <c r="K66" s="149">
        <v>40529</v>
      </c>
      <c r="L66" s="149">
        <v>40530</v>
      </c>
      <c r="M66" s="158" t="s">
        <v>263</v>
      </c>
      <c r="N66" s="117" t="s">
        <v>349</v>
      </c>
      <c r="O66" s="150"/>
      <c r="P66" s="151">
        <v>0.83</v>
      </c>
      <c r="Q66" s="150">
        <v>18560</v>
      </c>
      <c r="R66" s="150">
        <v>7714.5</v>
      </c>
      <c r="S66" s="152">
        <v>12.39</v>
      </c>
      <c r="T66" s="150">
        <v>0.13</v>
      </c>
      <c r="U66" s="150">
        <f>IF(O66&gt;0,O66,((P66*2.2046*S66)+(Q66+R66)/F66)+T66)</f>
        <v>24.186215678641606</v>
      </c>
      <c r="V66" s="159">
        <f>U66*F66</f>
        <v>458906.837664978</v>
      </c>
      <c r="W66" s="153">
        <v>40532</v>
      </c>
    </row>
    <row r="67" spans="1:23">
      <c r="A67" s="191"/>
      <c r="B67" s="145" t="s">
        <v>350</v>
      </c>
      <c r="C67" s="117" t="s">
        <v>268</v>
      </c>
      <c r="D67" s="117" t="s">
        <v>268</v>
      </c>
      <c r="E67" s="117" t="s">
        <v>351</v>
      </c>
      <c r="F67" s="146">
        <v>14213.32</v>
      </c>
      <c r="G67" s="147">
        <v>14213.32</v>
      </c>
      <c r="H67" s="147">
        <f t="shared" si="10"/>
        <v>0</v>
      </c>
      <c r="I67" s="117" t="s">
        <v>332</v>
      </c>
      <c r="J67" s="117"/>
      <c r="K67" s="149"/>
      <c r="L67" s="149">
        <v>40532</v>
      </c>
      <c r="M67" s="117" t="s">
        <v>271</v>
      </c>
      <c r="N67" s="117"/>
      <c r="O67" s="150">
        <v>29</v>
      </c>
      <c r="P67" s="151"/>
      <c r="Q67" s="150"/>
      <c r="R67" s="150"/>
      <c r="S67" s="152"/>
      <c r="T67" s="150"/>
      <c r="U67" s="150">
        <f>IF(O67&gt;0,O67,((P67*2.2046*S67)+(Q67+R67)/F67)+T67)</f>
        <v>29</v>
      </c>
      <c r="V67" s="150">
        <f>U67*F67</f>
        <v>412186.27999999997</v>
      </c>
      <c r="W67" s="153">
        <v>40539</v>
      </c>
    </row>
    <row r="68" spans="1:23">
      <c r="A68" s="191"/>
      <c r="B68" s="145" t="s">
        <v>292</v>
      </c>
      <c r="C68" s="117" t="s">
        <v>295</v>
      </c>
      <c r="D68" s="117" t="s">
        <v>295</v>
      </c>
      <c r="E68" s="117" t="s">
        <v>293</v>
      </c>
      <c r="F68" s="146">
        <v>388.7</v>
      </c>
      <c r="G68" s="147">
        <v>388.7</v>
      </c>
      <c r="H68" s="147">
        <f t="shared" si="10"/>
        <v>0</v>
      </c>
      <c r="I68" s="117" t="s">
        <v>352</v>
      </c>
      <c r="J68" s="117"/>
      <c r="K68" s="149"/>
      <c r="L68" s="149">
        <v>40532</v>
      </c>
      <c r="M68" s="117"/>
      <c r="N68" s="117"/>
      <c r="O68" s="150">
        <v>34</v>
      </c>
      <c r="P68" s="151"/>
      <c r="Q68" s="150"/>
      <c r="R68" s="150"/>
      <c r="S68" s="152"/>
      <c r="T68" s="150"/>
      <c r="U68" s="150">
        <f>IF(O68&gt;0,O68,((P68*2.2046*S68)+(Q68+R68)/F68)+T68)</f>
        <v>34</v>
      </c>
      <c r="V68" s="150">
        <f>U68*F68</f>
        <v>13215.8</v>
      </c>
      <c r="W68" s="153">
        <v>40543</v>
      </c>
    </row>
    <row r="69" spans="1:23">
      <c r="A69" s="191"/>
      <c r="B69" s="145" t="s">
        <v>221</v>
      </c>
      <c r="C69" s="117" t="s">
        <v>264</v>
      </c>
      <c r="D69" s="117" t="s">
        <v>264</v>
      </c>
      <c r="E69" s="117" t="s">
        <v>265</v>
      </c>
      <c r="F69" s="146">
        <v>18453</v>
      </c>
      <c r="G69" s="147">
        <v>18470.02</v>
      </c>
      <c r="H69" s="147">
        <f t="shared" si="10"/>
        <v>17.020000000000437</v>
      </c>
      <c r="I69" s="117" t="s">
        <v>353</v>
      </c>
      <c r="J69" s="148" t="s">
        <v>285</v>
      </c>
      <c r="K69" s="149">
        <v>40532</v>
      </c>
      <c r="L69" s="149">
        <v>40533</v>
      </c>
      <c r="M69" s="117" t="s">
        <v>277</v>
      </c>
      <c r="N69" s="117" t="s">
        <v>349</v>
      </c>
      <c r="O69" s="150"/>
      <c r="P69" s="151">
        <v>0.83</v>
      </c>
      <c r="Q69" s="150">
        <v>18560</v>
      </c>
      <c r="R69" s="150">
        <v>7768.5</v>
      </c>
      <c r="S69" s="152">
        <v>12.337999999999999</v>
      </c>
      <c r="T69" s="150">
        <v>0.13</v>
      </c>
      <c r="U69" s="150">
        <f>IF(O69&gt;0,O69,((P69*2.2046*S69)+(Q69+R69)/F69)+T69)</f>
        <v>24.133081456308023</v>
      </c>
      <c r="V69" s="150">
        <f>U69*F69</f>
        <v>445327.75211325195</v>
      </c>
      <c r="W69" s="153">
        <v>40534</v>
      </c>
    </row>
    <row r="70" spans="1:23">
      <c r="A70" s="191"/>
      <c r="B70" s="145" t="s">
        <v>354</v>
      </c>
      <c r="C70" s="117" t="s">
        <v>234</v>
      </c>
      <c r="D70" s="117" t="s">
        <v>235</v>
      </c>
      <c r="E70" s="117" t="s">
        <v>355</v>
      </c>
      <c r="F70" s="146">
        <v>978</v>
      </c>
      <c r="G70" s="147">
        <v>978</v>
      </c>
      <c r="H70" s="147">
        <f t="shared" si="10"/>
        <v>0</v>
      </c>
      <c r="I70" s="117" t="s">
        <v>356</v>
      </c>
      <c r="J70" s="117"/>
      <c r="K70" s="149"/>
      <c r="L70" s="149">
        <v>40532</v>
      </c>
      <c r="M70" s="117" t="s">
        <v>271</v>
      </c>
      <c r="N70" s="117"/>
      <c r="O70" s="150">
        <v>39</v>
      </c>
      <c r="P70" s="151"/>
      <c r="Q70" s="150"/>
      <c r="R70" s="150"/>
      <c r="S70" s="152"/>
      <c r="T70" s="150"/>
      <c r="U70" s="150">
        <f>IF(O70&gt;0,O70,((P70*2.2046*S70)+(Q70+R70)/F70)+T70)</f>
        <v>39</v>
      </c>
      <c r="V70" s="150">
        <f>U70*F70</f>
        <v>38142</v>
      </c>
      <c r="W70" s="153">
        <v>40539</v>
      </c>
    </row>
    <row r="71" spans="1:23">
      <c r="A71" s="191"/>
      <c r="B71" s="145" t="s">
        <v>357</v>
      </c>
      <c r="C71" s="117" t="s">
        <v>244</v>
      </c>
      <c r="D71" s="117" t="s">
        <v>315</v>
      </c>
      <c r="E71" s="117" t="s">
        <v>358</v>
      </c>
      <c r="F71" s="146">
        <v>18916.621999999999</v>
      </c>
      <c r="G71" s="147">
        <v>18916.621999999999</v>
      </c>
      <c r="H71" s="147">
        <f t="shared" si="10"/>
        <v>0</v>
      </c>
      <c r="I71" s="117" t="s">
        <v>359</v>
      </c>
      <c r="J71" s="117"/>
      <c r="K71" s="149"/>
      <c r="L71" s="149">
        <v>40532</v>
      </c>
      <c r="M71" s="117" t="s">
        <v>271</v>
      </c>
      <c r="N71" s="117"/>
      <c r="O71" s="150">
        <v>48</v>
      </c>
      <c r="P71" s="151"/>
      <c r="Q71" s="150"/>
      <c r="R71" s="150"/>
      <c r="S71" s="152"/>
      <c r="T71" s="150"/>
      <c r="U71" s="150">
        <f t="shared" ref="U71:U81" si="11">IF(O71&gt;0,O71,((P71*2.2046*S71)+(Q71+R71)/F71)+T71)</f>
        <v>48</v>
      </c>
      <c r="V71" s="150">
        <f t="shared" ref="V71:V87" si="12">U71*F71</f>
        <v>907997.85599999991</v>
      </c>
      <c r="W71" s="153">
        <v>40546</v>
      </c>
    </row>
    <row r="72" spans="1:23">
      <c r="A72" s="191"/>
      <c r="B72" s="145" t="s">
        <v>51</v>
      </c>
      <c r="C72" s="117" t="s">
        <v>360</v>
      </c>
      <c r="D72" s="117" t="s">
        <v>361</v>
      </c>
      <c r="E72" s="117" t="s">
        <v>362</v>
      </c>
      <c r="F72" s="146">
        <v>1067</v>
      </c>
      <c r="G72" s="147">
        <v>1067</v>
      </c>
      <c r="H72" s="147">
        <f t="shared" si="10"/>
        <v>0</v>
      </c>
      <c r="I72" s="117" t="s">
        <v>363</v>
      </c>
      <c r="J72" s="117"/>
      <c r="K72" s="149"/>
      <c r="L72" s="149">
        <v>40533</v>
      </c>
      <c r="M72" s="117" t="s">
        <v>277</v>
      </c>
      <c r="N72" s="117"/>
      <c r="O72" s="150">
        <v>61.5</v>
      </c>
      <c r="P72" s="151"/>
      <c r="Q72" s="150"/>
      <c r="R72" s="150"/>
      <c r="S72" s="152"/>
      <c r="T72" s="150"/>
      <c r="U72" s="150">
        <f>IF(O72&gt;0,O72,((P72*2.2046*S72)+(Q72+R72)/F72)+T72)</f>
        <v>61.5</v>
      </c>
      <c r="V72" s="150">
        <f>U72*F72</f>
        <v>65620.5</v>
      </c>
      <c r="W72" s="153">
        <v>40540</v>
      </c>
    </row>
    <row r="73" spans="1:23">
      <c r="A73" s="191"/>
      <c r="B73" s="145" t="s">
        <v>350</v>
      </c>
      <c r="C73" s="117" t="s">
        <v>255</v>
      </c>
      <c r="D73" s="117" t="s">
        <v>256</v>
      </c>
      <c r="E73" s="117" t="s">
        <v>275</v>
      </c>
      <c r="F73" s="146">
        <v>12938.3</v>
      </c>
      <c r="G73" s="147">
        <v>12938.3</v>
      </c>
      <c r="H73" s="147">
        <f t="shared" si="10"/>
        <v>0</v>
      </c>
      <c r="I73" s="117" t="s">
        <v>364</v>
      </c>
      <c r="J73" s="117"/>
      <c r="K73" s="149"/>
      <c r="L73" s="149">
        <v>40533</v>
      </c>
      <c r="M73" s="117" t="s">
        <v>277</v>
      </c>
      <c r="N73" s="117"/>
      <c r="O73" s="150">
        <v>29.2</v>
      </c>
      <c r="P73" s="151"/>
      <c r="Q73" s="150"/>
      <c r="R73" s="150"/>
      <c r="S73" s="152"/>
      <c r="T73" s="150"/>
      <c r="U73" s="150">
        <f>IF(O73&gt;0,O73,((P73*2.2046*S73)+(Q73+R73)/F73)+T73)</f>
        <v>29.2</v>
      </c>
      <c r="V73" s="150">
        <f>U73*F73</f>
        <v>377798.36</v>
      </c>
      <c r="W73" s="153">
        <v>40540</v>
      </c>
    </row>
    <row r="74" spans="1:23">
      <c r="A74" s="191"/>
      <c r="B74" s="145" t="s">
        <v>292</v>
      </c>
      <c r="C74" s="117" t="s">
        <v>234</v>
      </c>
      <c r="D74" s="117" t="s">
        <v>235</v>
      </c>
      <c r="E74" s="117" t="s">
        <v>273</v>
      </c>
      <c r="F74" s="146">
        <v>698.2</v>
      </c>
      <c r="G74" s="147">
        <v>698.2</v>
      </c>
      <c r="H74" s="147">
        <f t="shared" si="10"/>
        <v>0</v>
      </c>
      <c r="I74" s="117" t="s">
        <v>365</v>
      </c>
      <c r="J74" s="117"/>
      <c r="K74" s="149"/>
      <c r="L74" s="149">
        <v>40534</v>
      </c>
      <c r="M74" s="117" t="s">
        <v>227</v>
      </c>
      <c r="N74" s="117"/>
      <c r="O74" s="150">
        <v>35</v>
      </c>
      <c r="P74" s="151"/>
      <c r="Q74" s="150"/>
      <c r="R74" s="150"/>
      <c r="S74" s="152"/>
      <c r="T74" s="150"/>
      <c r="U74" s="150">
        <f>IF(O74&gt;0,O74,((P74*2.2046*S74)+(Q74+R74)/F74)+T74)</f>
        <v>35</v>
      </c>
      <c r="V74" s="150">
        <f>U74*F74</f>
        <v>24437</v>
      </c>
      <c r="W74" s="153">
        <v>40539</v>
      </c>
    </row>
    <row r="75" spans="1:23">
      <c r="A75" s="191"/>
      <c r="B75" s="145" t="s">
        <v>221</v>
      </c>
      <c r="C75" s="117" t="s">
        <v>264</v>
      </c>
      <c r="D75" s="117" t="s">
        <v>264</v>
      </c>
      <c r="E75" s="117" t="s">
        <v>265</v>
      </c>
      <c r="F75" s="146">
        <v>18817</v>
      </c>
      <c r="G75" s="147">
        <v>18770.02</v>
      </c>
      <c r="H75" s="147">
        <f t="shared" si="10"/>
        <v>-46.979999999999563</v>
      </c>
      <c r="I75" s="117" t="s">
        <v>366</v>
      </c>
      <c r="J75" s="148" t="s">
        <v>226</v>
      </c>
      <c r="K75" s="149">
        <v>40532</v>
      </c>
      <c r="L75" s="149">
        <v>40534</v>
      </c>
      <c r="M75" s="117" t="s">
        <v>227</v>
      </c>
      <c r="N75" s="117" t="s">
        <v>367</v>
      </c>
      <c r="O75" s="150"/>
      <c r="P75" s="151">
        <v>0.81</v>
      </c>
      <c r="Q75" s="150">
        <v>18560</v>
      </c>
      <c r="R75" s="150">
        <v>7768.5</v>
      </c>
      <c r="S75" s="152">
        <v>12.337999999999999</v>
      </c>
      <c r="T75" s="150">
        <v>0.13</v>
      </c>
      <c r="U75" s="150">
        <f t="shared" si="11"/>
        <v>23.561474293457831</v>
      </c>
      <c r="V75" s="150">
        <f t="shared" si="12"/>
        <v>443356.26177999598</v>
      </c>
      <c r="W75" s="153">
        <v>40534</v>
      </c>
    </row>
    <row r="76" spans="1:23">
      <c r="A76" s="191"/>
      <c r="B76" s="145" t="s">
        <v>221</v>
      </c>
      <c r="C76" s="117" t="s">
        <v>222</v>
      </c>
      <c r="D76" s="117" t="s">
        <v>223</v>
      </c>
      <c r="E76" s="117" t="s">
        <v>224</v>
      </c>
      <c r="F76" s="146">
        <f>41041*0.4536</f>
        <v>18616.1976</v>
      </c>
      <c r="G76" s="147">
        <v>18573.47</v>
      </c>
      <c r="H76" s="147">
        <f t="shared" si="10"/>
        <v>-42.727599999998347</v>
      </c>
      <c r="I76" s="117" t="s">
        <v>368</v>
      </c>
      <c r="J76" s="148" t="s">
        <v>285</v>
      </c>
      <c r="K76" s="149">
        <v>40532</v>
      </c>
      <c r="L76" s="149">
        <v>40534</v>
      </c>
      <c r="M76" s="117" t="s">
        <v>227</v>
      </c>
      <c r="N76" s="117" t="s">
        <v>369</v>
      </c>
      <c r="O76" s="150"/>
      <c r="P76" s="151">
        <v>0.80500000000000005</v>
      </c>
      <c r="Q76" s="150">
        <v>18560</v>
      </c>
      <c r="R76" s="150">
        <v>27813.5</v>
      </c>
      <c r="S76" s="152">
        <v>12.337999999999999</v>
      </c>
      <c r="T76" s="150">
        <v>0.13</v>
      </c>
      <c r="U76" s="150">
        <f t="shared" si="11"/>
        <v>24.517315253693983</v>
      </c>
      <c r="V76" s="150">
        <f t="shared" si="12"/>
        <v>456419.18538426131</v>
      </c>
      <c r="W76" s="153">
        <v>40534</v>
      </c>
    </row>
    <row r="77" spans="1:23">
      <c r="A77" s="191"/>
      <c r="B77" s="145" t="s">
        <v>350</v>
      </c>
      <c r="C77" s="117" t="s">
        <v>268</v>
      </c>
      <c r="D77" s="117" t="s">
        <v>268</v>
      </c>
      <c r="E77" s="117" t="s">
        <v>241</v>
      </c>
      <c r="F77" s="146">
        <v>12490</v>
      </c>
      <c r="G77" s="147">
        <v>12490</v>
      </c>
      <c r="H77" s="147">
        <f t="shared" si="10"/>
        <v>0</v>
      </c>
      <c r="I77" s="117" t="s">
        <v>332</v>
      </c>
      <c r="J77" s="117"/>
      <c r="K77" s="149"/>
      <c r="L77" s="149">
        <v>40534</v>
      </c>
      <c r="M77" s="117" t="s">
        <v>227</v>
      </c>
      <c r="N77" s="117"/>
      <c r="O77" s="150">
        <v>29</v>
      </c>
      <c r="P77" s="151"/>
      <c r="Q77" s="150"/>
      <c r="R77" s="150"/>
      <c r="S77" s="152"/>
      <c r="T77" s="150"/>
      <c r="U77" s="150">
        <f>IF(O77&gt;0,O77,((P77*2.2046*S77)+(Q77+R77)/F77)+T77)</f>
        <v>29</v>
      </c>
      <c r="V77" s="150">
        <f>U77*F77</f>
        <v>362210</v>
      </c>
      <c r="W77" s="153">
        <v>40541</v>
      </c>
    </row>
    <row r="78" spans="1:23">
      <c r="A78" s="191"/>
      <c r="B78" s="145" t="s">
        <v>221</v>
      </c>
      <c r="C78" s="117" t="s">
        <v>278</v>
      </c>
      <c r="D78" s="117" t="s">
        <v>230</v>
      </c>
      <c r="E78" s="117" t="s">
        <v>370</v>
      </c>
      <c r="F78" s="146">
        <f>40119*0.4536</f>
        <v>18197.9784</v>
      </c>
      <c r="G78" s="147">
        <v>18126.88</v>
      </c>
      <c r="H78" s="147">
        <f t="shared" si="10"/>
        <v>-71.098399999998946</v>
      </c>
      <c r="I78" s="117" t="s">
        <v>371</v>
      </c>
      <c r="J78" s="117"/>
      <c r="K78" s="149"/>
      <c r="L78" s="149">
        <v>40534</v>
      </c>
      <c r="M78" s="117" t="s">
        <v>227</v>
      </c>
      <c r="N78" s="117" t="s">
        <v>372</v>
      </c>
      <c r="O78" s="150"/>
      <c r="P78" s="163">
        <v>0.83</v>
      </c>
      <c r="Q78" s="150">
        <v>1700</v>
      </c>
      <c r="R78" s="150"/>
      <c r="S78" s="152">
        <v>12.37</v>
      </c>
      <c r="T78" s="150"/>
      <c r="U78" s="150">
        <f>((P78*2.2046*S78)+(Q78*S78)/F78)</f>
        <v>23.790416577368227</v>
      </c>
      <c r="V78" s="150">
        <f t="shared" si="12"/>
        <v>432937.48700194893</v>
      </c>
      <c r="W78" s="153">
        <v>40555</v>
      </c>
    </row>
    <row r="79" spans="1:23">
      <c r="A79" s="191"/>
      <c r="B79" s="145" t="s">
        <v>221</v>
      </c>
      <c r="C79" s="117" t="s">
        <v>229</v>
      </c>
      <c r="D79" s="117" t="s">
        <v>230</v>
      </c>
      <c r="E79" s="117" t="s">
        <v>289</v>
      </c>
      <c r="F79" s="146">
        <f>49111*0.4536</f>
        <v>22276.749599999999</v>
      </c>
      <c r="G79" s="147">
        <v>22155.37</v>
      </c>
      <c r="H79" s="147">
        <f t="shared" si="10"/>
        <v>-121.37960000000021</v>
      </c>
      <c r="I79" s="117" t="s">
        <v>373</v>
      </c>
      <c r="J79" s="117"/>
      <c r="K79" s="149"/>
      <c r="L79" s="149">
        <v>40535</v>
      </c>
      <c r="M79" s="117" t="s">
        <v>243</v>
      </c>
      <c r="N79" s="117" t="s">
        <v>372</v>
      </c>
      <c r="O79" s="150"/>
      <c r="P79" s="163">
        <v>0.84</v>
      </c>
      <c r="Q79" s="150">
        <v>1700</v>
      </c>
      <c r="R79" s="150"/>
      <c r="S79" s="152">
        <v>12.37</v>
      </c>
      <c r="T79" s="150"/>
      <c r="U79" s="150">
        <f>((P79*2.2046*S79)+(Q79*S79)/F79)</f>
        <v>23.851546384707618</v>
      </c>
      <c r="V79" s="150">
        <f t="shared" si="12"/>
        <v>531334.92638491688</v>
      </c>
      <c r="W79" s="153">
        <v>40556</v>
      </c>
    </row>
    <row r="80" spans="1:23">
      <c r="A80" s="191"/>
      <c r="B80" s="145" t="s">
        <v>350</v>
      </c>
      <c r="C80" s="117" t="s">
        <v>239</v>
      </c>
      <c r="D80" s="117" t="s">
        <v>240</v>
      </c>
      <c r="E80" s="117" t="s">
        <v>275</v>
      </c>
      <c r="F80" s="146">
        <v>12690</v>
      </c>
      <c r="G80" s="147">
        <v>12690</v>
      </c>
      <c r="H80" s="147">
        <f t="shared" si="10"/>
        <v>0</v>
      </c>
      <c r="I80" s="117" t="s">
        <v>374</v>
      </c>
      <c r="J80" s="117"/>
      <c r="K80" s="149"/>
      <c r="L80" s="149">
        <v>40535</v>
      </c>
      <c r="M80" s="117" t="s">
        <v>243</v>
      </c>
      <c r="N80" s="117"/>
      <c r="O80" s="150">
        <v>29.5</v>
      </c>
      <c r="P80" s="151"/>
      <c r="Q80" s="150"/>
      <c r="R80" s="150"/>
      <c r="S80" s="152"/>
      <c r="T80" s="150"/>
      <c r="U80" s="150">
        <f t="shared" si="11"/>
        <v>29.5</v>
      </c>
      <c r="V80" s="150">
        <f t="shared" si="12"/>
        <v>374355</v>
      </c>
      <c r="W80" s="153">
        <v>40542</v>
      </c>
    </row>
    <row r="81" spans="1:23">
      <c r="A81" s="191"/>
      <c r="B81" s="145" t="s">
        <v>221</v>
      </c>
      <c r="C81" s="117" t="s">
        <v>222</v>
      </c>
      <c r="D81" s="117" t="s">
        <v>223</v>
      </c>
      <c r="E81" s="117" t="s">
        <v>224</v>
      </c>
      <c r="F81" s="146">
        <v>18415.88</v>
      </c>
      <c r="G81" s="147">
        <v>18336.810000000001</v>
      </c>
      <c r="H81" s="147">
        <f t="shared" si="10"/>
        <v>-79.069999999999709</v>
      </c>
      <c r="I81" s="117" t="s">
        <v>375</v>
      </c>
      <c r="J81" s="148" t="s">
        <v>226</v>
      </c>
      <c r="K81" s="149">
        <v>40534</v>
      </c>
      <c r="L81" s="149">
        <v>40535</v>
      </c>
      <c r="M81" s="117" t="s">
        <v>243</v>
      </c>
      <c r="N81" s="117" t="s">
        <v>376</v>
      </c>
      <c r="O81" s="150"/>
      <c r="P81" s="151">
        <v>0.78500000000000003</v>
      </c>
      <c r="Q81" s="150">
        <v>18560</v>
      </c>
      <c r="R81" s="150">
        <v>26809.5</v>
      </c>
      <c r="S81" s="152">
        <v>12.351000000000001</v>
      </c>
      <c r="T81" s="150">
        <v>0.13</v>
      </c>
      <c r="U81" s="150">
        <f t="shared" si="11"/>
        <v>23.96838395627039</v>
      </c>
      <c r="V81" s="150">
        <f t="shared" si="12"/>
        <v>441398.88273260079</v>
      </c>
      <c r="W81" s="153">
        <v>40536</v>
      </c>
    </row>
    <row r="82" spans="1:23">
      <c r="A82" s="191"/>
      <c r="B82" s="145" t="s">
        <v>292</v>
      </c>
      <c r="C82" s="117" t="s">
        <v>234</v>
      </c>
      <c r="D82" s="117" t="s">
        <v>235</v>
      </c>
      <c r="E82" s="117" t="s">
        <v>273</v>
      </c>
      <c r="F82" s="146">
        <v>782.3</v>
      </c>
      <c r="G82" s="147">
        <v>782.3</v>
      </c>
      <c r="H82" s="147">
        <f t="shared" si="10"/>
        <v>0</v>
      </c>
      <c r="I82" s="117" t="s">
        <v>377</v>
      </c>
      <c r="J82" s="117"/>
      <c r="K82" s="149"/>
      <c r="L82" s="149">
        <v>40535</v>
      </c>
      <c r="M82" s="117" t="s">
        <v>243</v>
      </c>
      <c r="N82" s="117"/>
      <c r="O82" s="150">
        <v>35</v>
      </c>
      <c r="P82" s="151"/>
      <c r="Q82" s="150"/>
      <c r="R82" s="150"/>
      <c r="S82" s="152"/>
      <c r="T82" s="150"/>
      <c r="U82" s="150">
        <f>IF(O82&gt;0,O82,((P82*2.2046*S82)+(Q82+R82)/F82)+T82)</f>
        <v>35</v>
      </c>
      <c r="V82" s="150">
        <f t="shared" si="12"/>
        <v>27380.5</v>
      </c>
      <c r="W82" s="153">
        <v>40539</v>
      </c>
    </row>
    <row r="83" spans="1:23">
      <c r="A83" s="191"/>
      <c r="B83" s="145" t="s">
        <v>350</v>
      </c>
      <c r="C83" s="117" t="s">
        <v>239</v>
      </c>
      <c r="D83" s="117" t="s">
        <v>240</v>
      </c>
      <c r="E83" s="117" t="s">
        <v>241</v>
      </c>
      <c r="F83" s="146">
        <v>11820</v>
      </c>
      <c r="G83" s="147">
        <v>11820</v>
      </c>
      <c r="H83" s="147">
        <f t="shared" si="10"/>
        <v>0</v>
      </c>
      <c r="I83" s="117" t="s">
        <v>378</v>
      </c>
      <c r="J83" s="117"/>
      <c r="K83" s="149"/>
      <c r="L83" s="149">
        <v>40536</v>
      </c>
      <c r="M83" s="117" t="s">
        <v>259</v>
      </c>
      <c r="N83" s="117"/>
      <c r="O83" s="150">
        <v>29.5</v>
      </c>
      <c r="P83" s="151"/>
      <c r="Q83" s="150"/>
      <c r="R83" s="150"/>
      <c r="S83" s="152"/>
      <c r="T83" s="150"/>
      <c r="U83" s="150">
        <f>IF(O83&gt;0,O83,((P83*2.2046*S83)+(Q83+R83)/F83)+T83)</f>
        <v>29.5</v>
      </c>
      <c r="V83" s="150">
        <f t="shared" si="12"/>
        <v>348690</v>
      </c>
      <c r="W83" s="153">
        <v>40543</v>
      </c>
    </row>
    <row r="84" spans="1:23">
      <c r="A84" s="191"/>
      <c r="B84" s="145" t="s">
        <v>221</v>
      </c>
      <c r="C84" s="117" t="s">
        <v>229</v>
      </c>
      <c r="D84" s="117" t="s">
        <v>295</v>
      </c>
      <c r="E84" s="117" t="s">
        <v>252</v>
      </c>
      <c r="F84" s="146">
        <v>18599.5</v>
      </c>
      <c r="G84" s="147">
        <v>18500</v>
      </c>
      <c r="H84" s="147">
        <f t="shared" si="10"/>
        <v>-99.5</v>
      </c>
      <c r="I84" s="117" t="s">
        <v>379</v>
      </c>
      <c r="J84" s="117"/>
      <c r="K84" s="149"/>
      <c r="L84" s="149">
        <v>40536</v>
      </c>
      <c r="M84" s="117" t="s">
        <v>259</v>
      </c>
      <c r="N84" s="117"/>
      <c r="O84" s="150">
        <v>24.29</v>
      </c>
      <c r="P84" s="151"/>
      <c r="Q84" s="150"/>
      <c r="R84" s="150"/>
      <c r="S84" s="152"/>
      <c r="T84" s="150"/>
      <c r="U84" s="150">
        <f>IF(O84&gt;0,O84,((P84*2.2046*S84)+(Q84+R84)/F84)+T84)</f>
        <v>24.29</v>
      </c>
      <c r="V84" s="150">
        <f t="shared" si="12"/>
        <v>451781.85499999998</v>
      </c>
      <c r="W84" s="153">
        <v>40541</v>
      </c>
    </row>
    <row r="85" spans="1:23">
      <c r="A85" s="191"/>
      <c r="B85" s="145" t="s">
        <v>221</v>
      </c>
      <c r="C85" s="117" t="s">
        <v>229</v>
      </c>
      <c r="D85" s="117" t="s">
        <v>230</v>
      </c>
      <c r="E85" s="117" t="s">
        <v>289</v>
      </c>
      <c r="F85" s="146">
        <f>49252*0.4536</f>
        <v>22340.707200000001</v>
      </c>
      <c r="G85" s="147">
        <v>22293.99</v>
      </c>
      <c r="H85" s="147">
        <f>G85-F85</f>
        <v>-46.717199999999139</v>
      </c>
      <c r="I85" s="117" t="s">
        <v>380</v>
      </c>
      <c r="J85" s="117"/>
      <c r="K85" s="149"/>
      <c r="L85" s="149">
        <v>40538</v>
      </c>
      <c r="M85" s="117" t="s">
        <v>381</v>
      </c>
      <c r="N85" s="117" t="s">
        <v>382</v>
      </c>
      <c r="O85" s="150"/>
      <c r="P85" s="151">
        <v>0.83</v>
      </c>
      <c r="Q85" s="150">
        <v>1700</v>
      </c>
      <c r="R85" s="150"/>
      <c r="S85" s="152">
        <v>12.4</v>
      </c>
      <c r="T85" s="150"/>
      <c r="U85" s="150">
        <f>((P85*2.2046*S85)+(Q85*S85)/F85)</f>
        <v>23.633312255862293</v>
      </c>
      <c r="V85" s="150">
        <f t="shared" si="12"/>
        <v>527984.90927439102</v>
      </c>
      <c r="W85" s="153">
        <v>40560</v>
      </c>
    </row>
    <row r="86" spans="1:23">
      <c r="A86" s="191"/>
      <c r="B86" s="145" t="s">
        <v>221</v>
      </c>
      <c r="C86" s="117" t="s">
        <v>229</v>
      </c>
      <c r="D86" s="117" t="s">
        <v>295</v>
      </c>
      <c r="E86" s="117" t="s">
        <v>252</v>
      </c>
      <c r="F86" s="146">
        <v>18599.5</v>
      </c>
      <c r="G86" s="147">
        <v>18500</v>
      </c>
      <c r="H86" s="147">
        <f t="shared" si="10"/>
        <v>-99.5</v>
      </c>
      <c r="I86" s="117" t="s">
        <v>332</v>
      </c>
      <c r="J86" s="117"/>
      <c r="K86" s="149"/>
      <c r="L86" s="149">
        <v>40536</v>
      </c>
      <c r="M86" s="117" t="s">
        <v>259</v>
      </c>
      <c r="N86" s="117"/>
      <c r="O86" s="150">
        <v>24.29</v>
      </c>
      <c r="P86" s="151"/>
      <c r="Q86" s="150"/>
      <c r="R86" s="150"/>
      <c r="S86" s="152"/>
      <c r="T86" s="150"/>
      <c r="U86" s="150">
        <f>IF(O86&gt;0,O86,((P86*2.2046*S86)+(Q86+R86)/F86)+T86)</f>
        <v>24.29</v>
      </c>
      <c r="V86" s="150">
        <f t="shared" si="12"/>
        <v>451781.85499999998</v>
      </c>
      <c r="W86" s="153">
        <v>40543</v>
      </c>
    </row>
    <row r="87" spans="1:23">
      <c r="A87" s="191"/>
      <c r="B87" s="145" t="s">
        <v>354</v>
      </c>
      <c r="C87" s="117" t="s">
        <v>234</v>
      </c>
      <c r="D87" s="117" t="s">
        <v>235</v>
      </c>
      <c r="E87" s="117" t="s">
        <v>297</v>
      </c>
      <c r="F87" s="147">
        <v>550</v>
      </c>
      <c r="G87" s="147">
        <v>550</v>
      </c>
      <c r="H87" s="147">
        <f t="shared" si="10"/>
        <v>0</v>
      </c>
      <c r="I87" s="117" t="s">
        <v>383</v>
      </c>
      <c r="J87" s="117"/>
      <c r="K87" s="149"/>
      <c r="L87" s="149">
        <v>40536</v>
      </c>
      <c r="M87" s="117" t="s">
        <v>259</v>
      </c>
      <c r="N87" s="117"/>
      <c r="O87" s="150">
        <v>38</v>
      </c>
      <c r="P87" s="151"/>
      <c r="Q87" s="150"/>
      <c r="R87" s="150"/>
      <c r="S87" s="152"/>
      <c r="T87" s="150"/>
      <c r="U87" s="150">
        <f>IF(O87&gt;0,O87,((P87*2.2046*S87)+(Q87+R87)/F87)+T87)</f>
        <v>38</v>
      </c>
      <c r="V87" s="150">
        <f t="shared" si="12"/>
        <v>20900</v>
      </c>
      <c r="W87" s="153">
        <v>40539</v>
      </c>
    </row>
    <row r="88" spans="1:23" ht="13.5" thickBot="1">
      <c r="A88" s="191"/>
      <c r="B88" s="160"/>
      <c r="C88" s="138"/>
      <c r="D88" s="138"/>
      <c r="E88" s="138"/>
      <c r="F88" s="139"/>
      <c r="G88" s="139"/>
      <c r="H88" s="139"/>
      <c r="I88" s="140"/>
      <c r="J88" s="138"/>
      <c r="K88" s="141"/>
      <c r="L88" s="141"/>
      <c r="M88" s="138"/>
      <c r="N88" s="138"/>
      <c r="O88" s="142"/>
      <c r="P88" s="143"/>
      <c r="Q88" s="142"/>
      <c r="R88" s="142"/>
      <c r="S88" s="142"/>
      <c r="T88" s="142"/>
      <c r="U88" s="142"/>
      <c r="V88" s="142"/>
      <c r="W88" s="156"/>
    </row>
    <row r="89" spans="1:23">
      <c r="A89" s="162"/>
      <c r="B89" s="145" t="s">
        <v>350</v>
      </c>
      <c r="C89" s="117" t="s">
        <v>384</v>
      </c>
      <c r="D89" s="117" t="s">
        <v>384</v>
      </c>
      <c r="E89" s="117" t="s">
        <v>385</v>
      </c>
      <c r="F89" s="147">
        <v>3200</v>
      </c>
      <c r="G89" s="147">
        <v>3200</v>
      </c>
      <c r="H89" s="147">
        <f t="shared" ref="H89:H108" si="13">G89-F89</f>
        <v>0</v>
      </c>
      <c r="I89" s="164"/>
      <c r="J89" s="117"/>
      <c r="K89" s="149"/>
      <c r="L89" s="149">
        <v>40538</v>
      </c>
      <c r="M89" s="117" t="s">
        <v>386</v>
      </c>
      <c r="N89" s="117"/>
      <c r="O89" s="165">
        <v>28</v>
      </c>
      <c r="P89" s="151"/>
      <c r="Q89" s="150"/>
      <c r="R89" s="150"/>
      <c r="S89" s="150"/>
      <c r="T89" s="150"/>
      <c r="U89" s="165">
        <f t="shared" ref="U89:U95" si="14">IF(O89&gt;0,O89,((P89*2.2046*S89)+(Q89+R89)/F89)+T89)</f>
        <v>28</v>
      </c>
      <c r="V89" s="165">
        <f>U89*F89</f>
        <v>89600</v>
      </c>
      <c r="W89" s="153">
        <v>40543</v>
      </c>
    </row>
    <row r="90" spans="1:23">
      <c r="A90" s="192"/>
      <c r="B90" s="145" t="s">
        <v>350</v>
      </c>
      <c r="C90" s="117" t="s">
        <v>239</v>
      </c>
      <c r="D90" s="117" t="s">
        <v>240</v>
      </c>
      <c r="E90" s="117" t="s">
        <v>275</v>
      </c>
      <c r="F90" s="147">
        <v>13170</v>
      </c>
      <c r="G90" s="147">
        <v>13170</v>
      </c>
      <c r="H90" s="147">
        <f t="shared" si="13"/>
        <v>0</v>
      </c>
      <c r="I90" s="117" t="s">
        <v>387</v>
      </c>
      <c r="J90" s="117"/>
      <c r="K90" s="149"/>
      <c r="L90" s="149">
        <v>40539</v>
      </c>
      <c r="M90" s="117" t="s">
        <v>271</v>
      </c>
      <c r="N90" s="117"/>
      <c r="O90" s="150">
        <v>29.5</v>
      </c>
      <c r="P90" s="151"/>
      <c r="Q90" s="150"/>
      <c r="R90" s="150"/>
      <c r="S90" s="152"/>
      <c r="T90" s="150"/>
      <c r="U90" s="150">
        <f t="shared" si="14"/>
        <v>29.5</v>
      </c>
      <c r="V90" s="150">
        <f t="shared" ref="V90:V108" si="15">U90*F90</f>
        <v>388515</v>
      </c>
      <c r="W90" s="153">
        <v>40546</v>
      </c>
    </row>
    <row r="91" spans="1:23">
      <c r="A91" s="192"/>
      <c r="B91" s="145" t="s">
        <v>221</v>
      </c>
      <c r="C91" s="117" t="s">
        <v>388</v>
      </c>
      <c r="D91" s="117" t="s">
        <v>295</v>
      </c>
      <c r="E91" s="117" t="s">
        <v>283</v>
      </c>
      <c r="F91" s="147">
        <v>18356.03</v>
      </c>
      <c r="G91" s="147">
        <v>18356.03</v>
      </c>
      <c r="H91" s="147">
        <f t="shared" si="13"/>
        <v>0</v>
      </c>
      <c r="I91" s="117" t="s">
        <v>389</v>
      </c>
      <c r="J91" s="117"/>
      <c r="K91" s="149"/>
      <c r="L91" s="149">
        <v>40539</v>
      </c>
      <c r="M91" s="117" t="s">
        <v>271</v>
      </c>
      <c r="N91" s="117"/>
      <c r="O91" s="150">
        <v>24.29</v>
      </c>
      <c r="P91" s="151"/>
      <c r="Q91" s="150"/>
      <c r="R91" s="150"/>
      <c r="S91" s="152"/>
      <c r="T91" s="150"/>
      <c r="U91" s="150">
        <f t="shared" si="14"/>
        <v>24.29</v>
      </c>
      <c r="V91" s="150">
        <f t="shared" si="15"/>
        <v>445867.96869999997</v>
      </c>
      <c r="W91" s="153">
        <v>40543</v>
      </c>
    </row>
    <row r="92" spans="1:23">
      <c r="A92" s="192"/>
      <c r="B92" s="145" t="s">
        <v>292</v>
      </c>
      <c r="C92" s="117" t="s">
        <v>234</v>
      </c>
      <c r="D92" s="117" t="s">
        <v>235</v>
      </c>
      <c r="E92" s="117" t="s">
        <v>293</v>
      </c>
      <c r="F92" s="147">
        <f>114+114+125+130</f>
        <v>483</v>
      </c>
      <c r="G92" s="147">
        <v>483</v>
      </c>
      <c r="H92" s="147">
        <f t="shared" si="13"/>
        <v>0</v>
      </c>
      <c r="I92" s="117" t="s">
        <v>390</v>
      </c>
      <c r="J92" s="117"/>
      <c r="K92" s="149"/>
      <c r="L92" s="149">
        <v>40539</v>
      </c>
      <c r="M92" s="117" t="s">
        <v>271</v>
      </c>
      <c r="N92" s="117"/>
      <c r="O92" s="150">
        <v>35</v>
      </c>
      <c r="P92" s="151"/>
      <c r="Q92" s="150"/>
      <c r="R92" s="150"/>
      <c r="S92" s="152"/>
      <c r="T92" s="150"/>
      <c r="U92" s="150">
        <f t="shared" si="14"/>
        <v>35</v>
      </c>
      <c r="V92" s="150">
        <f>U92*F92</f>
        <v>16905</v>
      </c>
      <c r="W92" s="153">
        <v>40543</v>
      </c>
    </row>
    <row r="93" spans="1:23">
      <c r="A93" s="192"/>
      <c r="B93" s="145" t="s">
        <v>354</v>
      </c>
      <c r="C93" s="117" t="s">
        <v>234</v>
      </c>
      <c r="D93" s="117" t="s">
        <v>235</v>
      </c>
      <c r="E93" s="117" t="s">
        <v>251</v>
      </c>
      <c r="F93" s="147">
        <f>75+78</f>
        <v>153</v>
      </c>
      <c r="G93" s="147">
        <v>153</v>
      </c>
      <c r="H93" s="147">
        <f t="shared" si="13"/>
        <v>0</v>
      </c>
      <c r="I93" s="117" t="s">
        <v>390</v>
      </c>
      <c r="J93" s="117"/>
      <c r="K93" s="149"/>
      <c r="L93" s="149">
        <v>40539</v>
      </c>
      <c r="M93" s="117" t="s">
        <v>271</v>
      </c>
      <c r="N93" s="117"/>
      <c r="O93" s="150">
        <v>39</v>
      </c>
      <c r="P93" s="151"/>
      <c r="Q93" s="150"/>
      <c r="R93" s="150"/>
      <c r="S93" s="152"/>
      <c r="T93" s="150"/>
      <c r="U93" s="150">
        <f t="shared" si="14"/>
        <v>39</v>
      </c>
      <c r="V93" s="150">
        <f>U93*F93</f>
        <v>5967</v>
      </c>
      <c r="W93" s="153">
        <v>40543</v>
      </c>
    </row>
    <row r="94" spans="1:23">
      <c r="A94" s="192"/>
      <c r="B94" s="145" t="s">
        <v>221</v>
      </c>
      <c r="C94" s="117" t="s">
        <v>229</v>
      </c>
      <c r="D94" s="117" t="s">
        <v>391</v>
      </c>
      <c r="E94" s="117" t="s">
        <v>283</v>
      </c>
      <c r="F94" s="147">
        <v>19378.57</v>
      </c>
      <c r="G94" s="147">
        <v>19347.95</v>
      </c>
      <c r="H94" s="147">
        <f t="shared" si="13"/>
        <v>-30.619999999998981</v>
      </c>
      <c r="I94" s="117" t="s">
        <v>392</v>
      </c>
      <c r="J94" s="117"/>
      <c r="K94" s="149">
        <v>40539</v>
      </c>
      <c r="L94" s="149">
        <v>40540</v>
      </c>
      <c r="M94" s="117" t="s">
        <v>277</v>
      </c>
      <c r="N94" s="117"/>
      <c r="O94" s="150">
        <v>25.8</v>
      </c>
      <c r="P94" s="151"/>
      <c r="Q94" s="150"/>
      <c r="R94" s="150"/>
      <c r="S94" s="152"/>
      <c r="T94" s="150"/>
      <c r="U94" s="150">
        <f t="shared" si="14"/>
        <v>25.8</v>
      </c>
      <c r="V94" s="150">
        <f t="shared" si="15"/>
        <v>499967.10600000003</v>
      </c>
      <c r="W94" s="153">
        <v>40553</v>
      </c>
    </row>
    <row r="95" spans="1:23">
      <c r="A95" s="192"/>
      <c r="B95" s="145" t="s">
        <v>221</v>
      </c>
      <c r="C95" s="117" t="s">
        <v>229</v>
      </c>
      <c r="D95" s="117" t="s">
        <v>391</v>
      </c>
      <c r="E95" s="117" t="s">
        <v>283</v>
      </c>
      <c r="F95" s="147">
        <v>19159.03</v>
      </c>
      <c r="G95" s="147">
        <v>19135.68</v>
      </c>
      <c r="H95" s="147">
        <f t="shared" si="13"/>
        <v>-23.349999999998545</v>
      </c>
      <c r="I95" s="117" t="s">
        <v>393</v>
      </c>
      <c r="J95" s="117"/>
      <c r="K95" s="149">
        <v>40539</v>
      </c>
      <c r="L95" s="149">
        <v>40541</v>
      </c>
      <c r="M95" s="117" t="s">
        <v>227</v>
      </c>
      <c r="N95" s="117"/>
      <c r="O95" s="150">
        <v>25.8</v>
      </c>
      <c r="P95" s="151"/>
      <c r="Q95" s="150"/>
      <c r="R95" s="150"/>
      <c r="S95" s="152"/>
      <c r="T95" s="150"/>
      <c r="U95" s="150">
        <f t="shared" si="14"/>
        <v>25.8</v>
      </c>
      <c r="V95" s="150">
        <f t="shared" si="15"/>
        <v>494302.97399999999</v>
      </c>
      <c r="W95" s="153">
        <v>40554</v>
      </c>
    </row>
    <row r="96" spans="1:23">
      <c r="A96" s="192"/>
      <c r="B96" s="145" t="s">
        <v>221</v>
      </c>
      <c r="C96" s="117" t="s">
        <v>229</v>
      </c>
      <c r="D96" s="117" t="s">
        <v>230</v>
      </c>
      <c r="E96" s="117" t="s">
        <v>289</v>
      </c>
      <c r="F96" s="146">
        <f>49129*0.4536</f>
        <v>22284.914400000001</v>
      </c>
      <c r="G96" s="147">
        <v>22261.27</v>
      </c>
      <c r="H96" s="147">
        <f t="shared" si="13"/>
        <v>-23.644400000001042</v>
      </c>
      <c r="I96" s="117" t="s">
        <v>394</v>
      </c>
      <c r="J96" s="117"/>
      <c r="K96" s="149">
        <v>40539</v>
      </c>
      <c r="L96" s="149">
        <v>40541</v>
      </c>
      <c r="M96" s="117" t="s">
        <v>227</v>
      </c>
      <c r="N96" s="117" t="s">
        <v>395</v>
      </c>
      <c r="O96" s="150"/>
      <c r="P96" s="151">
        <v>0.84</v>
      </c>
      <c r="Q96" s="150">
        <v>1700</v>
      </c>
      <c r="R96" s="150"/>
      <c r="S96" s="152">
        <v>12.26</v>
      </c>
      <c r="T96" s="150"/>
      <c r="U96" s="150">
        <f>((P96*2.2046*S96)+(Q96*S96)/F96)</f>
        <v>23.639104157053165</v>
      </c>
      <c r="V96" s="150">
        <f t="shared" si="15"/>
        <v>526795.41263261402</v>
      </c>
      <c r="W96" s="153">
        <v>40562</v>
      </c>
    </row>
    <row r="97" spans="1:23">
      <c r="A97" s="192"/>
      <c r="B97" s="145" t="s">
        <v>350</v>
      </c>
      <c r="C97" s="117" t="s">
        <v>255</v>
      </c>
      <c r="D97" s="117" t="s">
        <v>256</v>
      </c>
      <c r="E97" s="117" t="s">
        <v>275</v>
      </c>
      <c r="F97" s="146">
        <v>12195</v>
      </c>
      <c r="G97" s="147">
        <v>12195</v>
      </c>
      <c r="H97" s="147">
        <f t="shared" si="13"/>
        <v>0</v>
      </c>
      <c r="I97" s="117" t="s">
        <v>396</v>
      </c>
      <c r="J97" s="117"/>
      <c r="K97" s="149"/>
      <c r="L97" s="149">
        <v>40541</v>
      </c>
      <c r="M97" s="117" t="s">
        <v>227</v>
      </c>
      <c r="N97" s="117"/>
      <c r="O97" s="150">
        <v>29.2</v>
      </c>
      <c r="P97" s="151"/>
      <c r="Q97" s="150"/>
      <c r="R97" s="150"/>
      <c r="S97" s="152"/>
      <c r="T97" s="150"/>
      <c r="U97" s="150">
        <f>IF(O97&gt;0,O97,((P97*2.2046*S97)+(Q97+R97)/F97)+T97)</f>
        <v>29.2</v>
      </c>
      <c r="V97" s="150">
        <f>U97*F97</f>
        <v>356094</v>
      </c>
      <c r="W97" s="153">
        <v>40548</v>
      </c>
    </row>
    <row r="98" spans="1:23">
      <c r="A98" s="192"/>
      <c r="B98" s="145" t="s">
        <v>354</v>
      </c>
      <c r="C98" s="117" t="s">
        <v>234</v>
      </c>
      <c r="D98" s="117" t="s">
        <v>235</v>
      </c>
      <c r="E98" s="117" t="s">
        <v>297</v>
      </c>
      <c r="F98" s="146">
        <v>619.5</v>
      </c>
      <c r="G98" s="147">
        <v>619.5</v>
      </c>
      <c r="H98" s="147">
        <f t="shared" si="13"/>
        <v>0</v>
      </c>
      <c r="I98" s="117" t="s">
        <v>397</v>
      </c>
      <c r="J98" s="117"/>
      <c r="K98" s="149"/>
      <c r="L98" s="149">
        <v>40541</v>
      </c>
      <c r="M98" s="117" t="s">
        <v>227</v>
      </c>
      <c r="N98" s="117"/>
      <c r="O98" s="150">
        <v>39</v>
      </c>
      <c r="P98" s="151"/>
      <c r="Q98" s="150"/>
      <c r="R98" s="150"/>
      <c r="S98" s="152"/>
      <c r="T98" s="150"/>
      <c r="U98" s="150">
        <f>IF(O98&gt;0,O98,((P98*2.2046*S98)+(Q98+R98)/F98)+T98)</f>
        <v>39</v>
      </c>
      <c r="V98" s="150">
        <f>U98*F98</f>
        <v>24160.5</v>
      </c>
      <c r="W98" s="153">
        <v>40543</v>
      </c>
    </row>
    <row r="99" spans="1:23">
      <c r="A99" s="192"/>
      <c r="B99" s="145" t="s">
        <v>221</v>
      </c>
      <c r="C99" s="117" t="s">
        <v>229</v>
      </c>
      <c r="D99" s="117" t="s">
        <v>230</v>
      </c>
      <c r="E99" s="117" t="s">
        <v>265</v>
      </c>
      <c r="F99" s="146">
        <f>44544*0.4536</f>
        <v>20205.1584</v>
      </c>
      <c r="G99" s="147">
        <v>20178.48</v>
      </c>
      <c r="H99" s="147">
        <f t="shared" si="13"/>
        <v>-26.678400000000693</v>
      </c>
      <c r="I99" s="117" t="s">
        <v>398</v>
      </c>
      <c r="J99" s="117"/>
      <c r="K99" s="149">
        <v>40539</v>
      </c>
      <c r="L99" s="149">
        <v>40542</v>
      </c>
      <c r="M99" s="117" t="s">
        <v>243</v>
      </c>
      <c r="N99" s="117" t="s">
        <v>395</v>
      </c>
      <c r="O99" s="150"/>
      <c r="P99" s="151">
        <v>0.84</v>
      </c>
      <c r="Q99" s="150">
        <v>1700</v>
      </c>
      <c r="R99" s="150"/>
      <c r="S99" s="166">
        <v>12.5</v>
      </c>
      <c r="T99" s="150"/>
      <c r="U99" s="150">
        <f>((P99*2.2046*S99)+(Q99*S99)/F99)</f>
        <v>24.200011626274605</v>
      </c>
      <c r="V99" s="150">
        <f t="shared" si="15"/>
        <v>488965.06819071999</v>
      </c>
      <c r="W99" s="153">
        <v>40563</v>
      </c>
    </row>
    <row r="100" spans="1:23">
      <c r="A100" s="192"/>
      <c r="B100" s="145" t="s">
        <v>350</v>
      </c>
      <c r="C100" s="117" t="s">
        <v>268</v>
      </c>
      <c r="D100" s="117" t="s">
        <v>268</v>
      </c>
      <c r="E100" s="117" t="s">
        <v>399</v>
      </c>
      <c r="F100" s="146">
        <v>13853.5</v>
      </c>
      <c r="G100" s="147">
        <v>13853.5</v>
      </c>
      <c r="H100" s="147">
        <f t="shared" si="13"/>
        <v>0</v>
      </c>
      <c r="I100" s="117" t="s">
        <v>400</v>
      </c>
      <c r="J100" s="117"/>
      <c r="K100" s="149"/>
      <c r="L100" s="149">
        <v>40542</v>
      </c>
      <c r="M100" s="117" t="s">
        <v>243</v>
      </c>
      <c r="N100" s="117"/>
      <c r="O100" s="150">
        <v>29.5</v>
      </c>
      <c r="P100" s="151"/>
      <c r="Q100" s="150"/>
      <c r="R100" s="150"/>
      <c r="S100" s="152"/>
      <c r="T100" s="150"/>
      <c r="U100" s="150">
        <f t="shared" ref="U100:U108" si="16">IF(O100&gt;0,O100,((P100*2.2046*S100)+(Q100+R100)/F100)+T100)</f>
        <v>29.5</v>
      </c>
      <c r="V100" s="150">
        <f>U100*F100</f>
        <v>408678.25</v>
      </c>
      <c r="W100" s="153">
        <v>40549</v>
      </c>
    </row>
    <row r="101" spans="1:23">
      <c r="A101" s="192"/>
      <c r="B101" s="145" t="s">
        <v>350</v>
      </c>
      <c r="C101" s="117" t="s">
        <v>384</v>
      </c>
      <c r="D101" s="117" t="s">
        <v>384</v>
      </c>
      <c r="E101" s="117" t="s">
        <v>401</v>
      </c>
      <c r="F101" s="147">
        <v>12220</v>
      </c>
      <c r="G101" s="147">
        <v>12220</v>
      </c>
      <c r="H101" s="147">
        <f t="shared" si="13"/>
        <v>0</v>
      </c>
      <c r="I101" s="167"/>
      <c r="J101" s="117"/>
      <c r="K101" s="149"/>
      <c r="L101" s="149">
        <v>40542</v>
      </c>
      <c r="M101" s="117" t="s">
        <v>243</v>
      </c>
      <c r="N101" s="117"/>
      <c r="O101" s="165">
        <v>28.6</v>
      </c>
      <c r="P101" s="151"/>
      <c r="Q101" s="150"/>
      <c r="R101" s="150"/>
      <c r="S101" s="152"/>
      <c r="T101" s="150"/>
      <c r="U101" s="165">
        <f t="shared" si="16"/>
        <v>28.6</v>
      </c>
      <c r="V101" s="165">
        <f t="shared" si="15"/>
        <v>349492</v>
      </c>
      <c r="W101" s="153">
        <v>40543</v>
      </c>
    </row>
    <row r="102" spans="1:23">
      <c r="A102" s="192"/>
      <c r="B102" s="145" t="s">
        <v>221</v>
      </c>
      <c r="C102" s="117" t="s">
        <v>222</v>
      </c>
      <c r="D102" s="117" t="s">
        <v>223</v>
      </c>
      <c r="E102" s="117" t="s">
        <v>224</v>
      </c>
      <c r="F102" s="146">
        <v>18140.14</v>
      </c>
      <c r="G102" s="147">
        <v>17988.939999999999</v>
      </c>
      <c r="H102" s="147">
        <f t="shared" si="13"/>
        <v>-151.20000000000073</v>
      </c>
      <c r="I102" s="117" t="s">
        <v>402</v>
      </c>
      <c r="J102" s="148" t="s">
        <v>226</v>
      </c>
      <c r="K102" s="149">
        <v>40541</v>
      </c>
      <c r="L102" s="149">
        <v>40542</v>
      </c>
      <c r="M102" s="117" t="s">
        <v>243</v>
      </c>
      <c r="N102" s="117" t="s">
        <v>403</v>
      </c>
      <c r="O102" s="150"/>
      <c r="P102" s="151">
        <v>0.79500000000000004</v>
      </c>
      <c r="Q102" s="150">
        <v>18560</v>
      </c>
      <c r="R102" s="150">
        <v>26866.5</v>
      </c>
      <c r="S102" s="152">
        <v>12.398</v>
      </c>
      <c r="T102" s="150">
        <v>0.13</v>
      </c>
      <c r="U102" s="150">
        <f t="shared" si="16"/>
        <v>24.363639358783782</v>
      </c>
      <c r="V102" s="150">
        <f t="shared" si="15"/>
        <v>441959.82887784805</v>
      </c>
      <c r="W102" s="153">
        <v>40542</v>
      </c>
    </row>
    <row r="103" spans="1:23">
      <c r="A103" s="192"/>
      <c r="B103" s="145" t="s">
        <v>350</v>
      </c>
      <c r="C103" s="117" t="s">
        <v>404</v>
      </c>
      <c r="D103" s="117" t="s">
        <v>404</v>
      </c>
      <c r="E103" s="117" t="s">
        <v>405</v>
      </c>
      <c r="F103" s="146">
        <v>895.5</v>
      </c>
      <c r="G103" s="147">
        <v>895.5</v>
      </c>
      <c r="H103" s="147">
        <f t="shared" si="13"/>
        <v>0</v>
      </c>
      <c r="I103" s="117" t="s">
        <v>406</v>
      </c>
      <c r="J103" s="117"/>
      <c r="K103" s="149"/>
      <c r="L103" s="149">
        <v>40542</v>
      </c>
      <c r="M103" s="117" t="s">
        <v>243</v>
      </c>
      <c r="N103" s="117"/>
      <c r="O103" s="150">
        <v>28</v>
      </c>
      <c r="P103" s="151"/>
      <c r="Q103" s="150"/>
      <c r="R103" s="150"/>
      <c r="S103" s="152"/>
      <c r="T103" s="150"/>
      <c r="U103" s="150">
        <f t="shared" si="16"/>
        <v>28</v>
      </c>
      <c r="V103" s="150">
        <f>U103*F103</f>
        <v>25074</v>
      </c>
      <c r="W103" s="153">
        <v>40543</v>
      </c>
    </row>
    <row r="104" spans="1:23">
      <c r="A104" s="192"/>
      <c r="B104" s="145" t="s">
        <v>292</v>
      </c>
      <c r="C104" s="117" t="s">
        <v>295</v>
      </c>
      <c r="D104" s="117" t="s">
        <v>295</v>
      </c>
      <c r="E104" s="117" t="s">
        <v>293</v>
      </c>
      <c r="F104" s="146">
        <f>123.5+117.5+176+156</f>
        <v>573</v>
      </c>
      <c r="G104" s="147">
        <v>573</v>
      </c>
      <c r="H104" s="147">
        <f t="shared" si="13"/>
        <v>0</v>
      </c>
      <c r="I104" s="117" t="s">
        <v>407</v>
      </c>
      <c r="J104" s="117"/>
      <c r="K104" s="149"/>
      <c r="L104" s="149">
        <v>40542</v>
      </c>
      <c r="M104" s="117" t="s">
        <v>243</v>
      </c>
      <c r="N104" s="117"/>
      <c r="O104" s="150">
        <v>34</v>
      </c>
      <c r="P104" s="151"/>
      <c r="Q104" s="150"/>
      <c r="R104" s="150"/>
      <c r="S104" s="152"/>
      <c r="T104" s="150"/>
      <c r="U104" s="150">
        <f t="shared" si="16"/>
        <v>34</v>
      </c>
      <c r="V104" s="150">
        <f>U104*F104</f>
        <v>19482</v>
      </c>
      <c r="W104" s="153">
        <v>40543</v>
      </c>
    </row>
    <row r="105" spans="1:23">
      <c r="A105" s="192"/>
      <c r="B105" s="145" t="s">
        <v>408</v>
      </c>
      <c r="C105" s="117" t="s">
        <v>409</v>
      </c>
      <c r="D105" s="117" t="s">
        <v>295</v>
      </c>
      <c r="E105" s="117" t="s">
        <v>410</v>
      </c>
      <c r="F105" s="146">
        <v>8166</v>
      </c>
      <c r="G105" s="147">
        <v>8166</v>
      </c>
      <c r="H105" s="147">
        <f t="shared" si="13"/>
        <v>0</v>
      </c>
      <c r="I105" s="117" t="s">
        <v>411</v>
      </c>
      <c r="J105" s="117"/>
      <c r="K105" s="149"/>
      <c r="L105" s="149">
        <v>40542</v>
      </c>
      <c r="M105" s="117" t="s">
        <v>243</v>
      </c>
      <c r="N105" s="117"/>
      <c r="O105" s="165">
        <v>19</v>
      </c>
      <c r="P105" s="151"/>
      <c r="Q105" s="150"/>
      <c r="R105" s="150"/>
      <c r="S105" s="152"/>
      <c r="T105" s="150"/>
      <c r="U105" s="165">
        <f t="shared" si="16"/>
        <v>19</v>
      </c>
      <c r="V105" s="165">
        <f>U105*F105</f>
        <v>155154</v>
      </c>
      <c r="W105" s="153">
        <v>40543</v>
      </c>
    </row>
    <row r="106" spans="1:23">
      <c r="A106" s="192"/>
      <c r="B106" s="145" t="s">
        <v>221</v>
      </c>
      <c r="C106" s="117" t="s">
        <v>222</v>
      </c>
      <c r="D106" s="117" t="s">
        <v>384</v>
      </c>
      <c r="E106" s="117" t="s">
        <v>412</v>
      </c>
      <c r="F106" s="146">
        <v>8285.26</v>
      </c>
      <c r="G106" s="147">
        <v>8285.26</v>
      </c>
      <c r="H106" s="147">
        <f t="shared" si="13"/>
        <v>0</v>
      </c>
      <c r="I106" s="167"/>
      <c r="J106" s="117"/>
      <c r="K106" s="149"/>
      <c r="L106" s="149">
        <v>40542</v>
      </c>
      <c r="M106" s="117" t="s">
        <v>243</v>
      </c>
      <c r="N106" s="117"/>
      <c r="O106" s="165">
        <v>25.3</v>
      </c>
      <c r="P106" s="151"/>
      <c r="Q106" s="150"/>
      <c r="R106" s="150"/>
      <c r="S106" s="152"/>
      <c r="T106" s="150"/>
      <c r="U106" s="165">
        <f t="shared" si="16"/>
        <v>25.3</v>
      </c>
      <c r="V106" s="165">
        <f>U106*F106</f>
        <v>209617.07800000001</v>
      </c>
      <c r="W106" s="153">
        <v>40543</v>
      </c>
    </row>
    <row r="107" spans="1:23">
      <c r="A107" s="192"/>
      <c r="B107" s="145" t="s">
        <v>292</v>
      </c>
      <c r="C107" s="117" t="s">
        <v>234</v>
      </c>
      <c r="D107" s="117" t="s">
        <v>235</v>
      </c>
      <c r="E107" s="117" t="s">
        <v>297</v>
      </c>
      <c r="F107" s="146">
        <v>1160.19</v>
      </c>
      <c r="G107" s="147">
        <v>1160.19</v>
      </c>
      <c r="H107" s="147">
        <f t="shared" si="13"/>
        <v>0</v>
      </c>
      <c r="I107" s="117" t="s">
        <v>413</v>
      </c>
      <c r="J107" s="117"/>
      <c r="K107" s="149"/>
      <c r="L107" s="149">
        <v>40543</v>
      </c>
      <c r="M107" s="117" t="s">
        <v>259</v>
      </c>
      <c r="N107" s="117"/>
      <c r="O107" s="150">
        <v>35</v>
      </c>
      <c r="P107" s="151"/>
      <c r="Q107" s="150"/>
      <c r="R107" s="150"/>
      <c r="S107" s="152"/>
      <c r="T107" s="150"/>
      <c r="U107" s="150">
        <f t="shared" si="16"/>
        <v>35</v>
      </c>
      <c r="V107" s="150">
        <f t="shared" si="15"/>
        <v>40606.65</v>
      </c>
      <c r="W107" s="153">
        <v>40543</v>
      </c>
    </row>
    <row r="108" spans="1:23">
      <c r="A108" s="192"/>
      <c r="B108" s="145" t="s">
        <v>272</v>
      </c>
      <c r="C108" s="117" t="s">
        <v>234</v>
      </c>
      <c r="D108" s="117" t="s">
        <v>235</v>
      </c>
      <c r="E108" s="117" t="s">
        <v>251</v>
      </c>
      <c r="F108" s="146">
        <v>104</v>
      </c>
      <c r="G108" s="147">
        <v>104</v>
      </c>
      <c r="H108" s="147">
        <f t="shared" si="13"/>
        <v>0</v>
      </c>
      <c r="I108" s="117" t="s">
        <v>413</v>
      </c>
      <c r="J108" s="117"/>
      <c r="K108" s="149"/>
      <c r="L108" s="149">
        <v>40543</v>
      </c>
      <c r="M108" s="117" t="s">
        <v>259</v>
      </c>
      <c r="N108" s="117"/>
      <c r="O108" s="150">
        <v>30</v>
      </c>
      <c r="P108" s="151"/>
      <c r="Q108" s="150"/>
      <c r="R108" s="150"/>
      <c r="S108" s="152"/>
      <c r="T108" s="150"/>
      <c r="U108" s="150">
        <f t="shared" si="16"/>
        <v>30</v>
      </c>
      <c r="V108" s="150">
        <f t="shared" si="15"/>
        <v>3120</v>
      </c>
      <c r="W108" s="153">
        <v>40543</v>
      </c>
    </row>
    <row r="109" spans="1:23" ht="13.5" thickBot="1">
      <c r="A109" s="192"/>
      <c r="B109" s="160"/>
      <c r="C109" s="138"/>
      <c r="D109" s="138"/>
      <c r="E109" s="138"/>
      <c r="F109" s="139"/>
      <c r="G109" s="139"/>
      <c r="H109" s="139"/>
      <c r="I109" s="140"/>
      <c r="J109" s="138"/>
      <c r="K109" s="141"/>
      <c r="L109" s="141"/>
      <c r="M109" s="138"/>
      <c r="N109" s="138"/>
      <c r="O109" s="142"/>
      <c r="P109" s="143"/>
      <c r="Q109" s="142"/>
      <c r="R109" s="142"/>
      <c r="S109" s="142"/>
      <c r="T109" s="142"/>
      <c r="U109" s="142"/>
      <c r="V109" s="142"/>
      <c r="W109" s="156"/>
    </row>
    <row r="110" spans="1:23">
      <c r="I110" s="130"/>
      <c r="J110" s="130"/>
      <c r="K110" s="130"/>
      <c r="L110" s="130"/>
      <c r="M110" s="135"/>
      <c r="N110" s="135"/>
      <c r="O110" s="135"/>
      <c r="P110" s="135"/>
      <c r="Q110" s="130"/>
      <c r="R110" s="130"/>
      <c r="S110" s="130"/>
      <c r="T110" s="130"/>
    </row>
    <row r="111" spans="1:23">
      <c r="E111" s="1"/>
      <c r="I111" s="130"/>
      <c r="J111" s="130"/>
      <c r="K111" s="130"/>
      <c r="L111" s="130"/>
      <c r="M111" s="135"/>
      <c r="N111" s="135"/>
      <c r="O111" s="135"/>
      <c r="P111" s="135"/>
      <c r="Q111" s="130"/>
      <c r="R111" s="130"/>
      <c r="S111" s="130"/>
      <c r="T111" s="130"/>
    </row>
    <row r="112" spans="1:23">
      <c r="I112" s="130"/>
      <c r="J112" s="130"/>
      <c r="K112" s="130"/>
      <c r="L112" s="130"/>
      <c r="M112" s="135"/>
      <c r="N112" s="135"/>
      <c r="O112" s="135"/>
      <c r="P112" s="135"/>
      <c r="Q112" s="130"/>
      <c r="R112" s="130"/>
      <c r="S112" s="130"/>
      <c r="T112" s="130"/>
    </row>
    <row r="113" spans="6:20">
      <c r="F113" s="72"/>
      <c r="I113" s="130"/>
      <c r="J113" s="130"/>
      <c r="K113" s="130"/>
      <c r="L113" s="130"/>
      <c r="M113" s="135"/>
      <c r="N113" s="135"/>
      <c r="O113" s="135"/>
      <c r="P113" s="135"/>
      <c r="Q113" s="130"/>
      <c r="R113" s="130"/>
      <c r="S113" s="130"/>
      <c r="T113" s="130"/>
    </row>
    <row r="114" spans="6:20">
      <c r="I114" s="130"/>
      <c r="J114" s="130"/>
      <c r="K114" s="130"/>
      <c r="L114" s="130"/>
      <c r="M114" s="135"/>
      <c r="O114" s="135"/>
      <c r="P114" s="135"/>
      <c r="Q114" s="130"/>
      <c r="R114" s="130"/>
      <c r="S114" s="130"/>
      <c r="T114" s="130"/>
    </row>
    <row r="115" spans="6:20">
      <c r="F115" s="72"/>
      <c r="I115" s="130"/>
      <c r="J115" s="130"/>
      <c r="K115" s="130"/>
      <c r="L115" s="130"/>
      <c r="M115" s="135"/>
    </row>
    <row r="116" spans="6:20">
      <c r="F116" s="72"/>
      <c r="I116" s="130"/>
      <c r="J116" s="130"/>
      <c r="K116" s="130"/>
      <c r="L116" s="130"/>
      <c r="M116" s="135"/>
    </row>
    <row r="117" spans="6:20">
      <c r="I117" s="130"/>
      <c r="J117" s="130"/>
      <c r="K117" s="130"/>
      <c r="L117" s="130"/>
      <c r="M117" s="135"/>
    </row>
    <row r="118" spans="6:20">
      <c r="I118" s="130"/>
      <c r="J118" s="130"/>
      <c r="K118" s="130"/>
      <c r="L118" s="130"/>
      <c r="M118" s="135"/>
    </row>
    <row r="119" spans="6:20">
      <c r="I119" s="130"/>
      <c r="J119" s="130"/>
      <c r="K119" s="130"/>
      <c r="L119" s="130"/>
      <c r="M119" s="135"/>
    </row>
  </sheetData>
  <mergeCells count="4">
    <mergeCell ref="A6:A14"/>
    <mergeCell ref="A18:A44"/>
    <mergeCell ref="A66:A88"/>
    <mergeCell ref="A90:A109"/>
  </mergeCells>
  <phoneticPr fontId="8" type="noConversion"/>
  <pageMargins left="0.74803149606299213" right="0.19685039370078741" top="0.31496062992125984" bottom="0.31496062992125984" header="0" footer="0"/>
  <pageSetup scale="75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H28"/>
  <sheetViews>
    <sheetView workbookViewId="0">
      <selection activeCell="E5" sqref="E5"/>
    </sheetView>
  </sheetViews>
  <sheetFormatPr baseColWidth="10" defaultRowHeight="12.75"/>
  <cols>
    <col min="1" max="1" width="26.140625" customWidth="1"/>
    <col min="2" max="2" width="13.42578125" customWidth="1"/>
    <col min="4" max="4" width="9.5703125" customWidth="1"/>
    <col min="6" max="6" width="14.7109375" customWidth="1"/>
    <col min="7" max="7" width="11.42578125" hidden="1" customWidth="1"/>
  </cols>
  <sheetData>
    <row r="2" spans="1:8">
      <c r="B2" s="39" t="s">
        <v>0</v>
      </c>
      <c r="C2" s="40"/>
      <c r="D2" s="39"/>
    </row>
    <row r="3" spans="1:8">
      <c r="B3" s="39"/>
      <c r="C3" s="40"/>
      <c r="D3" s="39"/>
    </row>
    <row r="4" spans="1:8">
      <c r="B4" s="39"/>
      <c r="C4" s="40"/>
      <c r="D4" s="39"/>
    </row>
    <row r="5" spans="1:8">
      <c r="B5" s="39" t="s">
        <v>1</v>
      </c>
      <c r="C5" s="40"/>
      <c r="D5" s="39"/>
    </row>
    <row r="6" spans="1:8">
      <c r="B6" s="39"/>
      <c r="C6" s="40"/>
      <c r="D6" s="39"/>
    </row>
    <row r="7" spans="1:8">
      <c r="B7" s="41"/>
      <c r="C7" s="40" t="s">
        <v>2</v>
      </c>
      <c r="D7" s="41">
        <v>40543</v>
      </c>
    </row>
    <row r="9" spans="1:8">
      <c r="A9" s="42" t="s">
        <v>4</v>
      </c>
      <c r="B9" s="43"/>
      <c r="C9" s="44" t="s">
        <v>5</v>
      </c>
      <c r="D9" s="45" t="s">
        <v>6</v>
      </c>
      <c r="E9" s="45" t="s">
        <v>7</v>
      </c>
      <c r="F9" s="45" t="s">
        <v>8</v>
      </c>
      <c r="G9" s="46" t="s">
        <v>13</v>
      </c>
    </row>
    <row r="10" spans="1:8">
      <c r="A10" s="42" t="s">
        <v>10</v>
      </c>
      <c r="B10" s="43"/>
      <c r="C10" s="47">
        <f>10*D10</f>
        <v>340</v>
      </c>
      <c r="D10" s="48">
        <v>34</v>
      </c>
      <c r="E10" s="49">
        <v>35.76</v>
      </c>
      <c r="F10" s="50">
        <f t="shared" ref="F10:F22" si="0">E10*C10</f>
        <v>12158.4</v>
      </c>
      <c r="G10" s="51">
        <f>E10+0.5</f>
        <v>36.26</v>
      </c>
    </row>
    <row r="11" spans="1:8">
      <c r="A11" s="42" t="s">
        <v>72</v>
      </c>
      <c r="B11" s="43"/>
      <c r="C11" s="47">
        <v>2663.4</v>
      </c>
      <c r="D11" s="48">
        <v>3</v>
      </c>
      <c r="E11" s="49">
        <v>30.29</v>
      </c>
      <c r="F11" s="50">
        <f t="shared" si="0"/>
        <v>80674.385999999999</v>
      </c>
      <c r="G11" s="51"/>
    </row>
    <row r="12" spans="1:8">
      <c r="A12" s="42" t="s">
        <v>73</v>
      </c>
      <c r="B12" s="43"/>
      <c r="C12" s="52">
        <v>27351.01</v>
      </c>
      <c r="D12" s="53">
        <v>898</v>
      </c>
      <c r="E12" s="49">
        <v>48.3</v>
      </c>
      <c r="F12" s="50">
        <f t="shared" si="0"/>
        <v>1321053.7829999998</v>
      </c>
      <c r="G12" s="51"/>
    </row>
    <row r="13" spans="1:8">
      <c r="A13" s="42" t="s">
        <v>14</v>
      </c>
      <c r="B13" s="43"/>
      <c r="C13" s="52">
        <f>13*D13</f>
        <v>2574</v>
      </c>
      <c r="D13" s="53">
        <v>198</v>
      </c>
      <c r="E13" s="49">
        <v>25</v>
      </c>
      <c r="F13" s="50">
        <f t="shared" si="0"/>
        <v>64350</v>
      </c>
      <c r="G13" s="51"/>
      <c r="H13" s="54"/>
    </row>
    <row r="14" spans="1:8">
      <c r="A14" s="42" t="s">
        <v>74</v>
      </c>
      <c r="B14" s="43"/>
      <c r="C14" s="52">
        <v>10982.1</v>
      </c>
      <c r="D14" s="53">
        <v>539</v>
      </c>
      <c r="E14" s="49">
        <v>31.8</v>
      </c>
      <c r="F14" s="50">
        <f t="shared" si="0"/>
        <v>349230.78</v>
      </c>
      <c r="G14" s="51">
        <f>E14+0.5</f>
        <v>32.299999999999997</v>
      </c>
    </row>
    <row r="15" spans="1:8">
      <c r="A15" s="42" t="s">
        <v>15</v>
      </c>
      <c r="B15" s="43"/>
      <c r="C15" s="52">
        <f>27.22*D15</f>
        <v>26430.62</v>
      </c>
      <c r="D15" s="53">
        <v>971</v>
      </c>
      <c r="E15" s="49">
        <v>14.6</v>
      </c>
      <c r="F15" s="50">
        <f t="shared" si="0"/>
        <v>385887.05199999997</v>
      </c>
      <c r="G15" s="51"/>
    </row>
    <row r="16" spans="1:8">
      <c r="A16" s="42" t="s">
        <v>75</v>
      </c>
      <c r="B16" s="43"/>
      <c r="C16" s="52">
        <v>809.8</v>
      </c>
      <c r="D16" s="53">
        <v>38</v>
      </c>
      <c r="E16" s="49">
        <v>61.5</v>
      </c>
      <c r="F16" s="50">
        <f>E16*C16</f>
        <v>49802.7</v>
      </c>
      <c r="G16" s="51"/>
      <c r="H16" s="55"/>
    </row>
    <row r="17" spans="1:8">
      <c r="A17" s="42" t="s">
        <v>76</v>
      </c>
      <c r="B17" s="43"/>
      <c r="C17" s="52">
        <f>20*D17</f>
        <v>100</v>
      </c>
      <c r="D17" s="53">
        <v>5</v>
      </c>
      <c r="E17" s="49">
        <v>45.5</v>
      </c>
      <c r="F17" s="50">
        <f>E17*C17</f>
        <v>4550</v>
      </c>
      <c r="G17" s="51"/>
      <c r="H17" s="55"/>
    </row>
    <row r="18" spans="1:8">
      <c r="A18" s="42" t="s">
        <v>12</v>
      </c>
      <c r="B18" s="43"/>
      <c r="C18" s="52">
        <f>27.22*D18</f>
        <v>5444</v>
      </c>
      <c r="D18" s="53">
        <v>200</v>
      </c>
      <c r="E18" s="49">
        <v>18.350000000000001</v>
      </c>
      <c r="F18" s="50">
        <f t="shared" si="0"/>
        <v>99897.400000000009</v>
      </c>
      <c r="G18" s="51"/>
      <c r="H18" s="55"/>
    </row>
    <row r="19" spans="1:8">
      <c r="A19" s="42" t="s">
        <v>77</v>
      </c>
      <c r="B19" s="43"/>
      <c r="C19" s="52">
        <v>1538.09</v>
      </c>
      <c r="D19" s="53">
        <v>77</v>
      </c>
      <c r="E19" s="49">
        <v>31.62</v>
      </c>
      <c r="F19" s="50">
        <f t="shared" si="0"/>
        <v>48634.4058</v>
      </c>
      <c r="G19" s="51"/>
      <c r="H19" s="55"/>
    </row>
    <row r="20" spans="1:8">
      <c r="A20" s="42" t="s">
        <v>78</v>
      </c>
      <c r="B20" s="43"/>
      <c r="C20" s="52">
        <v>8272.3799999999992</v>
      </c>
      <c r="D20" s="53">
        <v>9</v>
      </c>
      <c r="E20" s="49">
        <v>23.64</v>
      </c>
      <c r="F20" s="50">
        <f t="shared" si="0"/>
        <v>195559.06319999998</v>
      </c>
      <c r="G20" s="51"/>
      <c r="H20" s="55"/>
    </row>
    <row r="21" spans="1:8">
      <c r="A21" s="42" t="s">
        <v>16</v>
      </c>
      <c r="B21" s="43"/>
      <c r="C21" s="52">
        <f>5.4432*D21</f>
        <v>5220.0288</v>
      </c>
      <c r="D21" s="53">
        <v>959</v>
      </c>
      <c r="E21" s="49">
        <v>34.799999999999997</v>
      </c>
      <c r="F21" s="50">
        <f>E21*C21</f>
        <v>181657.00223999997</v>
      </c>
      <c r="G21" s="51">
        <f>E21+0.5</f>
        <v>35.299999999999997</v>
      </c>
    </row>
    <row r="22" spans="1:8">
      <c r="A22" s="42" t="s">
        <v>17</v>
      </c>
      <c r="B22" s="43"/>
      <c r="C22" s="52">
        <f>13.61*D22</f>
        <v>285.81</v>
      </c>
      <c r="D22" s="53">
        <v>21</v>
      </c>
      <c r="E22" s="49">
        <v>25.7</v>
      </c>
      <c r="F22" s="50">
        <f t="shared" si="0"/>
        <v>7345.317</v>
      </c>
      <c r="G22" s="51">
        <f>E22+0.5</f>
        <v>26.2</v>
      </c>
    </row>
    <row r="23" spans="1:8">
      <c r="A23" s="56"/>
      <c r="B23" s="56"/>
      <c r="C23" s="57"/>
      <c r="D23" s="58"/>
      <c r="E23" s="59"/>
      <c r="F23" s="60"/>
      <c r="G23" s="51"/>
    </row>
    <row r="24" spans="1:8">
      <c r="A24" s="61"/>
      <c r="B24" s="39" t="s">
        <v>8</v>
      </c>
      <c r="C24" s="40">
        <f>SUM(C10:C23)</f>
        <v>92011.238800000006</v>
      </c>
      <c r="D24" s="39">
        <f>SUM(D10:D23)</f>
        <v>3952</v>
      </c>
      <c r="E24" s="62"/>
      <c r="F24" s="63">
        <f>SUM(F10:F23)</f>
        <v>2800800.2892399994</v>
      </c>
      <c r="G24" s="51"/>
    </row>
    <row r="25" spans="1:8" s="6" customFormat="1">
      <c r="A25" s="61"/>
      <c r="B25" s="61"/>
      <c r="C25" s="64"/>
      <c r="E25" s="65"/>
      <c r="F25" s="66"/>
      <c r="G25" s="67"/>
    </row>
    <row r="28" spans="1:8">
      <c r="D28" s="68"/>
      <c r="E28" s="68"/>
      <c r="F28" s="69"/>
    </row>
  </sheetData>
  <phoneticPr fontId="8" type="noConversion"/>
  <pageMargins left="0.75" right="0.16" top="1" bottom="1" header="0" footer="0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N31"/>
  <sheetViews>
    <sheetView zoomScale="75" workbookViewId="0">
      <selection activeCell="F4" sqref="F4"/>
    </sheetView>
  </sheetViews>
  <sheetFormatPr baseColWidth="10" defaultRowHeight="12.75"/>
  <cols>
    <col min="1" max="1" width="17.140625" customWidth="1"/>
    <col min="2" max="2" width="31.140625" customWidth="1"/>
    <col min="3" max="3" width="15.42578125" customWidth="1"/>
    <col min="4" max="4" width="8.28515625" bestFit="1" customWidth="1"/>
    <col min="5" max="5" width="14.28515625" customWidth="1"/>
    <col min="6" max="6" width="8.28515625" bestFit="1" customWidth="1"/>
    <col min="7" max="7" width="14.28515625" customWidth="1"/>
    <col min="8" max="8" width="5.140625" bestFit="1" customWidth="1"/>
    <col min="9" max="9" width="14.85546875" style="2" customWidth="1"/>
    <col min="10" max="10" width="18.85546875" style="2" customWidth="1"/>
    <col min="11" max="11" width="13.42578125" hidden="1" customWidth="1"/>
    <col min="12" max="12" width="0" hidden="1" customWidth="1"/>
    <col min="13" max="13" width="17.140625" hidden="1" customWidth="1"/>
  </cols>
  <sheetData>
    <row r="1" spans="1:14">
      <c r="C1" s="1"/>
    </row>
    <row r="2" spans="1:14" ht="20.25">
      <c r="B2" s="3" t="s">
        <v>0</v>
      </c>
    </row>
    <row r="3" spans="1:14">
      <c r="A3" s="4"/>
      <c r="C3" s="1"/>
    </row>
    <row r="4" spans="1:14">
      <c r="A4" s="4"/>
      <c r="C4" s="1"/>
    </row>
    <row r="5" spans="1:14" ht="18">
      <c r="B5" s="5" t="s">
        <v>1</v>
      </c>
    </row>
    <row r="7" spans="1:14" ht="18">
      <c r="B7" s="33" t="s">
        <v>2</v>
      </c>
      <c r="C7" s="125">
        <v>40543</v>
      </c>
      <c r="I7" s="7"/>
    </row>
    <row r="8" spans="1:14" ht="15.75">
      <c r="B8" s="6"/>
      <c r="C8" s="8" t="s">
        <v>66</v>
      </c>
      <c r="D8" s="9"/>
      <c r="E8" s="10" t="s">
        <v>3</v>
      </c>
      <c r="F8" s="9"/>
      <c r="G8" s="10" t="s">
        <v>67</v>
      </c>
      <c r="H8" s="9"/>
      <c r="I8" s="7"/>
    </row>
    <row r="9" spans="1:14" ht="17.25" customHeight="1">
      <c r="A9" s="11" t="s">
        <v>4</v>
      </c>
      <c r="B9" s="12"/>
      <c r="C9" s="13" t="s">
        <v>5</v>
      </c>
      <c r="D9" s="14" t="s">
        <v>6</v>
      </c>
      <c r="E9" s="13" t="s">
        <v>5</v>
      </c>
      <c r="F9" s="14" t="s">
        <v>6</v>
      </c>
      <c r="G9" s="13" t="s">
        <v>5</v>
      </c>
      <c r="H9" s="14" t="s">
        <v>6</v>
      </c>
      <c r="I9" s="15" t="s">
        <v>7</v>
      </c>
      <c r="J9" s="14" t="s">
        <v>8</v>
      </c>
      <c r="K9" s="16" t="s">
        <v>9</v>
      </c>
      <c r="L9" s="17"/>
      <c r="M9" s="18"/>
    </row>
    <row r="10" spans="1:14" ht="18">
      <c r="A10" s="19" t="str">
        <f>'[1]BUCHE '!$C$5</f>
        <v>BUCHE MAPLE</v>
      </c>
      <c r="B10" s="20"/>
      <c r="C10" s="21">
        <f>'[1]BUCHE '!$G$212</f>
        <v>340</v>
      </c>
      <c r="D10" s="22">
        <f>'[1]BUCHE '!$H$212</f>
        <v>34</v>
      </c>
      <c r="E10" s="25">
        <v>340</v>
      </c>
      <c r="F10" s="22">
        <v>34</v>
      </c>
      <c r="G10" s="21">
        <f t="shared" ref="G10:H23" si="0">E10-C10</f>
        <v>0</v>
      </c>
      <c r="H10" s="22">
        <f t="shared" si="0"/>
        <v>0</v>
      </c>
      <c r="I10" s="23">
        <v>35.76</v>
      </c>
      <c r="J10" s="23">
        <f>I10*E10</f>
        <v>12158.4</v>
      </c>
      <c r="K10" s="24">
        <f t="shared" ref="K10:K23" si="1">I10+0.5</f>
        <v>36.26</v>
      </c>
      <c r="L10" s="24">
        <v>37</v>
      </c>
      <c r="M10" s="18" t="s">
        <v>68</v>
      </c>
    </row>
    <row r="11" spans="1:14" ht="18.75" customHeight="1">
      <c r="A11" s="28" t="str">
        <f>'[1]CABEZA DE LOMO MAPLE'!$C$5</f>
        <v>CABEZA DE LOMO MAPLE</v>
      </c>
      <c r="B11" s="20"/>
      <c r="C11" s="25">
        <f>'[1]C.DE LOMO MAPLE'!$G$207</f>
        <v>2563.0000000000055</v>
      </c>
      <c r="D11" s="26">
        <f>'[1]C.DE LOMO MAPLE'!$H$207</f>
        <v>3</v>
      </c>
      <c r="E11" s="25">
        <v>2663.4</v>
      </c>
      <c r="F11" s="26">
        <v>3</v>
      </c>
      <c r="G11" s="21">
        <f t="shared" si="0"/>
        <v>100.39999999999463</v>
      </c>
      <c r="H11" s="22">
        <f t="shared" si="0"/>
        <v>0</v>
      </c>
      <c r="I11" s="23">
        <v>30.29</v>
      </c>
      <c r="J11" s="23">
        <f t="shared" ref="J11:J23" si="2">I11*E11</f>
        <v>80674.385999999999</v>
      </c>
      <c r="K11" s="24">
        <f t="shared" si="1"/>
        <v>30.79</v>
      </c>
      <c r="L11" s="24">
        <v>13</v>
      </c>
      <c r="M11" s="18" t="s">
        <v>11</v>
      </c>
    </row>
    <row r="12" spans="1:14" ht="18.75" customHeight="1">
      <c r="A12" s="28" t="str">
        <f>'[1]CARNERO CANAL'!C5</f>
        <v>CARNERO CANAL</v>
      </c>
      <c r="B12" s="20"/>
      <c r="C12" s="25">
        <f>'[1]CARNERO CANAL'!G207</f>
        <v>809.8</v>
      </c>
      <c r="D12" s="29">
        <f>'[1]CARNERO CANAL'!H207</f>
        <v>38</v>
      </c>
      <c r="E12" s="25">
        <v>809.8</v>
      </c>
      <c r="F12" s="29">
        <v>38</v>
      </c>
      <c r="G12" s="21">
        <f t="shared" si="0"/>
        <v>0</v>
      </c>
      <c r="H12" s="22">
        <f t="shared" si="0"/>
        <v>0</v>
      </c>
      <c r="I12" s="23">
        <v>61.5</v>
      </c>
      <c r="J12" s="23">
        <f t="shared" si="2"/>
        <v>49802.7</v>
      </c>
      <c r="K12" s="24">
        <f t="shared" si="1"/>
        <v>62</v>
      </c>
      <c r="L12" s="24">
        <v>29</v>
      </c>
      <c r="M12" s="18" t="s">
        <v>69</v>
      </c>
    </row>
    <row r="13" spans="1:14" ht="21" customHeight="1">
      <c r="A13" s="28" t="str">
        <f>'[1]CONTRA SWIFT'!$C$5</f>
        <v>CONTRA (GOOSENECK) SWIFT</v>
      </c>
      <c r="B13" s="20"/>
      <c r="C13" s="25">
        <f>'[1]CONTRA SWIFT'!$G$198</f>
        <v>27289.19</v>
      </c>
      <c r="D13" s="26">
        <f>'[1]CONTRA SWIFT'!$H$198</f>
        <v>898</v>
      </c>
      <c r="E13" s="25">
        <v>27351.01</v>
      </c>
      <c r="F13" s="26">
        <v>898</v>
      </c>
      <c r="G13" s="21">
        <f t="shared" si="0"/>
        <v>61.819999999999709</v>
      </c>
      <c r="H13" s="22">
        <f t="shared" si="0"/>
        <v>0</v>
      </c>
      <c r="I13" s="23">
        <v>48.3</v>
      </c>
      <c r="J13" s="23">
        <f t="shared" si="2"/>
        <v>1321053.7829999998</v>
      </c>
      <c r="K13" s="24">
        <f t="shared" si="1"/>
        <v>48.8</v>
      </c>
      <c r="L13" s="24">
        <v>51</v>
      </c>
      <c r="M13" s="18" t="s">
        <v>11</v>
      </c>
      <c r="N13" s="126"/>
    </row>
    <row r="14" spans="1:14" ht="18.75" customHeight="1">
      <c r="A14" s="28" t="str">
        <f>'[1]CORBATA F.JBO'!$C$5</f>
        <v>CORBATA FARMLAND JBO</v>
      </c>
      <c r="B14" s="20"/>
      <c r="C14" s="25">
        <f>'[1]CORBATA F.JBO'!$G$206</f>
        <v>2574</v>
      </c>
      <c r="D14" s="26">
        <f>'[1]CORBATA F.JBO'!$H$206</f>
        <v>198</v>
      </c>
      <c r="E14" s="25">
        <v>2574</v>
      </c>
      <c r="F14" s="26">
        <v>198</v>
      </c>
      <c r="G14" s="21">
        <f t="shared" si="0"/>
        <v>0</v>
      </c>
      <c r="H14" s="22">
        <f t="shared" si="0"/>
        <v>0</v>
      </c>
      <c r="I14" s="23">
        <v>25</v>
      </c>
      <c r="J14" s="23">
        <f t="shared" si="2"/>
        <v>64350</v>
      </c>
      <c r="K14" s="24">
        <f t="shared" si="1"/>
        <v>25.5</v>
      </c>
      <c r="L14" s="24">
        <v>37.5</v>
      </c>
      <c r="M14" s="18" t="s">
        <v>11</v>
      </c>
    </row>
    <row r="15" spans="1:14" ht="18" customHeight="1">
      <c r="A15" s="28" t="str">
        <f>'[1]Corbata SWIFT'!$C$5</f>
        <v>CORBATA SWIFT</v>
      </c>
      <c r="B15" s="20"/>
      <c r="C15" s="25">
        <f>'[1]Corbata SWIFT'!$G$207</f>
        <v>10976.069999999996</v>
      </c>
      <c r="D15" s="26">
        <f>'[1]Corbata SWIFT'!$H$207</f>
        <v>539</v>
      </c>
      <c r="E15" s="25">
        <v>10982.1</v>
      </c>
      <c r="F15" s="26">
        <v>539</v>
      </c>
      <c r="G15" s="21">
        <f t="shared" si="0"/>
        <v>6.0300000000042928</v>
      </c>
      <c r="H15" s="22">
        <f t="shared" si="0"/>
        <v>0</v>
      </c>
      <c r="I15" s="23">
        <v>31.8</v>
      </c>
      <c r="J15" s="23">
        <f t="shared" si="2"/>
        <v>349230.78</v>
      </c>
      <c r="K15" s="24">
        <f t="shared" si="1"/>
        <v>32.299999999999997</v>
      </c>
      <c r="L15" s="24">
        <v>33</v>
      </c>
      <c r="M15" s="18" t="s">
        <v>70</v>
      </c>
    </row>
    <row r="16" spans="1:14" ht="18" customHeight="1">
      <c r="A16" s="28" t="str">
        <f>'[1]CUERO PAPEL BELLY'!$C$5</f>
        <v>CUERO PAPEL BELLY FARMLAND</v>
      </c>
      <c r="B16" s="20"/>
      <c r="C16" s="25">
        <f>'[1]CUERO PAPEL BELLY'!$G$214</f>
        <v>26430.61999999997</v>
      </c>
      <c r="D16" s="26">
        <f>'[1]CUERO PAPEL BELLY'!$H$214</f>
        <v>971</v>
      </c>
      <c r="E16" s="25">
        <v>26430.62</v>
      </c>
      <c r="F16" s="26">
        <v>971</v>
      </c>
      <c r="G16" s="21">
        <f t="shared" si="0"/>
        <v>2.9103830456733704E-11</v>
      </c>
      <c r="H16" s="22">
        <f t="shared" si="0"/>
        <v>0</v>
      </c>
      <c r="I16" s="23">
        <v>14.6</v>
      </c>
      <c r="J16" s="23">
        <f t="shared" si="2"/>
        <v>385887.05199999997</v>
      </c>
      <c r="K16" s="24">
        <f t="shared" si="1"/>
        <v>15.1</v>
      </c>
      <c r="L16" s="24">
        <v>26</v>
      </c>
      <c r="M16" s="18" t="s">
        <v>11</v>
      </c>
    </row>
    <row r="17" spans="1:13" ht="18.75" customHeight="1">
      <c r="A17" s="28" t="str">
        <f>'[1]ESPALDILLA DE CARNERO ALLIANCE'!$C$5</f>
        <v>ESPALDILLA DE CARNERO ALLIANCE</v>
      </c>
      <c r="B17" s="20"/>
      <c r="C17" s="25">
        <f>'[1]ESPALDILLA DE CARNERO ALLIANCE'!$G$207</f>
        <v>-0.95999999999997954</v>
      </c>
      <c r="D17" s="26">
        <f>'[1]ESPALDILLA DE CARNERO ALLIANCE'!$H$207</f>
        <v>0</v>
      </c>
      <c r="E17" s="25">
        <v>0</v>
      </c>
      <c r="F17" s="26">
        <v>0</v>
      </c>
      <c r="G17" s="21">
        <f t="shared" si="0"/>
        <v>0.95999999999997954</v>
      </c>
      <c r="H17" s="22">
        <f t="shared" si="0"/>
        <v>0</v>
      </c>
      <c r="I17" s="23">
        <v>57.7</v>
      </c>
      <c r="J17" s="23">
        <f t="shared" si="2"/>
        <v>0</v>
      </c>
      <c r="K17" s="24">
        <f t="shared" si="1"/>
        <v>58.2</v>
      </c>
      <c r="L17" s="24">
        <v>37.5</v>
      </c>
      <c r="M17" s="18" t="s">
        <v>11</v>
      </c>
    </row>
    <row r="18" spans="1:13" ht="18.75" customHeight="1">
      <c r="A18" s="28" t="str">
        <f>'[1]Filete pescado BASA'!$C$5</f>
        <v>FILETE DE PESCADO BASA</v>
      </c>
      <c r="B18" s="20"/>
      <c r="C18" s="25">
        <f>'[1]Filete pescado BASA'!$G$207</f>
        <v>100</v>
      </c>
      <c r="D18" s="26">
        <f>'[1]Filete pescado BASA'!$H$207</f>
        <v>5</v>
      </c>
      <c r="E18" s="25">
        <v>100</v>
      </c>
      <c r="F18" s="26">
        <v>5</v>
      </c>
      <c r="G18" s="21">
        <f t="shared" si="0"/>
        <v>0</v>
      </c>
      <c r="H18" s="22">
        <f t="shared" si="0"/>
        <v>0</v>
      </c>
      <c r="I18" s="23">
        <v>45.5</v>
      </c>
      <c r="J18" s="23">
        <f t="shared" si="2"/>
        <v>4550</v>
      </c>
      <c r="K18" s="24">
        <f t="shared" si="1"/>
        <v>46</v>
      </c>
      <c r="L18" s="24">
        <v>17.5</v>
      </c>
      <c r="M18" s="18" t="s">
        <v>71</v>
      </c>
    </row>
    <row r="19" spans="1:13" ht="18.75" customHeight="1">
      <c r="A19" s="28" t="str">
        <f>'[1]MENUDO EXCEL 86M'!$C$5</f>
        <v>MENUDO EXCEL</v>
      </c>
      <c r="B19" s="20"/>
      <c r="C19" s="25">
        <f>'[1]MENUDO EXCEL 86M'!$G$210</f>
        <v>5444.1999999999989</v>
      </c>
      <c r="D19" s="26">
        <f>'[1]MENUDO EXCEL 86M'!$H$210</f>
        <v>200</v>
      </c>
      <c r="E19" s="25">
        <v>5444</v>
      </c>
      <c r="F19" s="26">
        <v>200</v>
      </c>
      <c r="G19" s="21">
        <f t="shared" si="0"/>
        <v>-0.19999999999890861</v>
      </c>
      <c r="H19" s="22">
        <f t="shared" si="0"/>
        <v>0</v>
      </c>
      <c r="I19" s="23">
        <v>18.350000000000001</v>
      </c>
      <c r="J19" s="23">
        <f t="shared" si="2"/>
        <v>99897.400000000009</v>
      </c>
      <c r="K19" s="24">
        <f t="shared" si="1"/>
        <v>18.850000000000001</v>
      </c>
      <c r="L19" s="24">
        <v>13</v>
      </c>
      <c r="M19" s="18" t="s">
        <v>11</v>
      </c>
    </row>
    <row r="20" spans="1:13" ht="18.75" customHeight="1">
      <c r="A20" s="28" t="str">
        <f>'[1]Pavo Crudo'!$C$5</f>
        <v>PAVO CRUDO</v>
      </c>
      <c r="B20" s="20"/>
      <c r="C20" s="25">
        <f>'[1]Pavo Crudo'!$G$207</f>
        <v>1550.7999999999995</v>
      </c>
      <c r="D20" s="26">
        <f>'[1]Pavo Crudo'!$H$207</f>
        <v>77</v>
      </c>
      <c r="E20" s="25">
        <v>1538.09</v>
      </c>
      <c r="F20" s="26">
        <v>77</v>
      </c>
      <c r="G20" s="21">
        <f t="shared" si="0"/>
        <v>-12.709999999999582</v>
      </c>
      <c r="H20" s="22">
        <f t="shared" si="0"/>
        <v>0</v>
      </c>
      <c r="I20" s="23">
        <v>31.62</v>
      </c>
      <c r="J20" s="23">
        <f t="shared" si="2"/>
        <v>48634.4058</v>
      </c>
      <c r="K20" s="24">
        <f t="shared" si="1"/>
        <v>32.120000000000005</v>
      </c>
      <c r="L20" s="24">
        <v>64</v>
      </c>
      <c r="M20" s="18" t="s">
        <v>11</v>
      </c>
    </row>
    <row r="21" spans="1:13" ht="18.75" customHeight="1">
      <c r="A21" s="28" t="str">
        <f>'[1]PERNIL CON PIEL'!$C$5</f>
        <v>PERNIL CON PIEL</v>
      </c>
      <c r="B21" s="20"/>
      <c r="C21" s="25">
        <f>'[1]PERNIL CON PIEL'!G1305</f>
        <v>8268.8900000000394</v>
      </c>
      <c r="D21" s="26">
        <f>'[1]PERNIL CON PIEL'!H1305</f>
        <v>9</v>
      </c>
      <c r="E21" s="25">
        <v>8272.3799999999992</v>
      </c>
      <c r="F21" s="26">
        <v>9</v>
      </c>
      <c r="G21" s="21">
        <f t="shared" si="0"/>
        <v>3.489999999959764</v>
      </c>
      <c r="H21" s="22">
        <f t="shared" si="0"/>
        <v>0</v>
      </c>
      <c r="I21" s="23">
        <v>23.64</v>
      </c>
      <c r="J21" s="23">
        <f t="shared" si="2"/>
        <v>195559.06319999998</v>
      </c>
      <c r="K21" s="24">
        <f t="shared" si="1"/>
        <v>24.14</v>
      </c>
      <c r="L21" s="24">
        <v>64</v>
      </c>
      <c r="M21" s="18" t="s">
        <v>11</v>
      </c>
    </row>
    <row r="22" spans="1:13" ht="17.25" customHeight="1">
      <c r="A22" s="28" t="str">
        <f>'[1]SESOS EN COPA '!$C$5</f>
        <v>SESOS EN COPA FARMLAND</v>
      </c>
      <c r="B22" s="20"/>
      <c r="C22" s="25">
        <f>'[1]SESOS EN COPA '!$G$212</f>
        <v>5212.719500000002</v>
      </c>
      <c r="D22" s="26">
        <f>'[1]SESOS EN COPA '!$H$212</f>
        <v>959</v>
      </c>
      <c r="E22" s="25">
        <v>5220.03</v>
      </c>
      <c r="F22" s="26">
        <v>959</v>
      </c>
      <c r="G22" s="21">
        <f t="shared" si="0"/>
        <v>7.3104999999977736</v>
      </c>
      <c r="H22" s="22">
        <f t="shared" si="0"/>
        <v>0</v>
      </c>
      <c r="I22" s="23">
        <v>34.799999999999997</v>
      </c>
      <c r="J22" s="23">
        <f t="shared" si="2"/>
        <v>181657.04399999997</v>
      </c>
      <c r="K22" s="24">
        <f t="shared" si="1"/>
        <v>35.299999999999997</v>
      </c>
      <c r="L22" s="24">
        <v>48</v>
      </c>
      <c r="M22" s="18" t="s">
        <v>11</v>
      </c>
    </row>
    <row r="23" spans="1:13" ht="18.75" customHeight="1">
      <c r="A23" s="127" t="str">
        <f>'[1]Sesos marqueta FARMLAND'!$C$5</f>
        <v>SESOS MARQUETA FARMLAND</v>
      </c>
      <c r="B23" s="20"/>
      <c r="C23" s="21">
        <f>'[1]Sesos marqueta FARMLAND'!$G$208</f>
        <v>285.80999999999983</v>
      </c>
      <c r="D23" s="22">
        <f>'[1]Sesos marqueta FARMLAND'!$H$208</f>
        <v>21</v>
      </c>
      <c r="E23" s="25">
        <v>285.81</v>
      </c>
      <c r="F23" s="128">
        <v>21</v>
      </c>
      <c r="G23" s="25">
        <f t="shared" si="0"/>
        <v>0</v>
      </c>
      <c r="H23" s="128">
        <f t="shared" si="0"/>
        <v>0</v>
      </c>
      <c r="I23" s="27">
        <v>25.7</v>
      </c>
      <c r="J23" s="23">
        <f t="shared" si="2"/>
        <v>7345.317</v>
      </c>
      <c r="K23" s="24">
        <f t="shared" si="1"/>
        <v>26.2</v>
      </c>
      <c r="L23" s="24"/>
      <c r="M23" s="32"/>
    </row>
    <row r="24" spans="1:13" ht="18" customHeight="1">
      <c r="A24" s="30"/>
      <c r="B24" s="30"/>
      <c r="C24" s="30"/>
      <c r="D24" s="30"/>
      <c r="E24" s="30"/>
      <c r="F24" s="30"/>
      <c r="G24" s="30"/>
      <c r="H24" s="30"/>
      <c r="I24" s="31"/>
      <c r="J24" s="31"/>
      <c r="K24" s="24"/>
      <c r="L24" s="24"/>
      <c r="M24" s="32"/>
    </row>
    <row r="25" spans="1:13" ht="18">
      <c r="A25" s="30"/>
      <c r="B25" s="33" t="s">
        <v>8</v>
      </c>
      <c r="C25" s="34">
        <f t="shared" ref="C25:H25" si="3">SUM(C10:C23)</f>
        <v>91844.139500000005</v>
      </c>
      <c r="D25" s="35">
        <f t="shared" si="3"/>
        <v>3952</v>
      </c>
      <c r="E25" s="34">
        <f t="shared" si="3"/>
        <v>92011.239999999991</v>
      </c>
      <c r="F25" s="35">
        <f t="shared" si="3"/>
        <v>3952</v>
      </c>
      <c r="G25" s="34">
        <f t="shared" si="3"/>
        <v>167.10049999998677</v>
      </c>
      <c r="H25" s="35">
        <f t="shared" si="3"/>
        <v>0</v>
      </c>
      <c r="I25" s="36"/>
      <c r="J25" s="37">
        <f>SUM(J10:J23)</f>
        <v>2800800.3309999993</v>
      </c>
      <c r="K25" s="38"/>
      <c r="L25" s="38"/>
      <c r="M25" s="32"/>
    </row>
    <row r="26" spans="1:13">
      <c r="A26" s="6"/>
      <c r="B26" s="6"/>
      <c r="I26" s="7"/>
      <c r="J26" s="7"/>
      <c r="K26" s="6"/>
      <c r="L26" s="6"/>
    </row>
    <row r="27" spans="1:13">
      <c r="A27" s="6"/>
      <c r="B27" s="6"/>
      <c r="I27" s="7"/>
      <c r="J27" s="7"/>
      <c r="K27" s="6"/>
      <c r="L27" s="6"/>
    </row>
    <row r="28" spans="1:13">
      <c r="A28" s="6"/>
      <c r="B28" s="6"/>
      <c r="I28" s="7"/>
      <c r="J28" s="7"/>
      <c r="K28" s="6"/>
      <c r="L28" s="6"/>
    </row>
    <row r="29" spans="1:13">
      <c r="I29" s="7"/>
      <c r="J29" s="7"/>
      <c r="K29" s="6"/>
      <c r="L29" s="6"/>
    </row>
    <row r="30" spans="1:13">
      <c r="I30" s="7"/>
      <c r="J30" s="7"/>
      <c r="K30" s="6"/>
      <c r="L30" s="6"/>
    </row>
    <row r="31" spans="1:13">
      <c r="I31" s="7"/>
      <c r="J31" s="7"/>
      <c r="K31" s="6"/>
      <c r="L31" s="6"/>
    </row>
  </sheetData>
  <phoneticPr fontId="8" type="noConversion"/>
  <pageMargins left="0.74803149606299213" right="0.74803149606299213" top="0.98425196850393704" bottom="0.98425196850393704" header="0" footer="0"/>
  <pageSetup scale="80" orientation="landscape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4"/>
  <sheetViews>
    <sheetView workbookViewId="0">
      <selection activeCell="J5" sqref="J5"/>
    </sheetView>
  </sheetViews>
  <sheetFormatPr baseColWidth="10" defaultRowHeight="12.75"/>
  <cols>
    <col min="1" max="1" width="25.7109375" customWidth="1"/>
    <col min="2" max="2" width="12.85546875" style="1" customWidth="1"/>
    <col min="3" max="3" width="8.42578125" customWidth="1"/>
    <col min="5" max="5" width="12.5703125" customWidth="1"/>
  </cols>
  <sheetData>
    <row r="1" spans="1:5">
      <c r="A1" s="39" t="s">
        <v>517</v>
      </c>
      <c r="D1" t="s">
        <v>18</v>
      </c>
      <c r="E1" s="70">
        <v>40545</v>
      </c>
    </row>
    <row r="2" spans="1:5">
      <c r="A2" s="39"/>
      <c r="E2" s="71"/>
    </row>
    <row r="3" spans="1:5">
      <c r="A3" s="39"/>
      <c r="D3" s="72"/>
      <c r="E3" s="73"/>
    </row>
    <row r="4" spans="1:5">
      <c r="A4" s="39" t="s">
        <v>94</v>
      </c>
      <c r="D4" s="72"/>
      <c r="E4" s="2"/>
    </row>
    <row r="5" spans="1:5" ht="12" customHeight="1">
      <c r="A5" s="39" t="s">
        <v>4</v>
      </c>
      <c r="B5" s="74" t="s">
        <v>19</v>
      </c>
      <c r="C5" s="75" t="s">
        <v>20</v>
      </c>
      <c r="D5" s="76" t="s">
        <v>21</v>
      </c>
      <c r="E5" s="77" t="s">
        <v>95</v>
      </c>
    </row>
    <row r="6" spans="1:5" hidden="1">
      <c r="A6" s="78" t="s">
        <v>96</v>
      </c>
      <c r="B6" s="79"/>
      <c r="C6" s="80"/>
      <c r="D6" s="72">
        <v>37</v>
      </c>
      <c r="E6" s="2">
        <f t="shared" ref="E6:E64" si="0">D6*B6</f>
        <v>0</v>
      </c>
    </row>
    <row r="7" spans="1:5" hidden="1">
      <c r="A7" s="68" t="s">
        <v>97</v>
      </c>
      <c r="B7" s="79"/>
      <c r="C7" s="80"/>
      <c r="D7" s="72">
        <v>75</v>
      </c>
      <c r="E7" s="2">
        <f>D7*B7</f>
        <v>0</v>
      </c>
    </row>
    <row r="8" spans="1:5" hidden="1">
      <c r="A8" s="68" t="s">
        <v>98</v>
      </c>
      <c r="B8" s="79"/>
      <c r="C8" s="80"/>
      <c r="D8" s="72">
        <v>40</v>
      </c>
      <c r="E8" s="2">
        <f>D8*B8</f>
        <v>0</v>
      </c>
    </row>
    <row r="9" spans="1:5" hidden="1">
      <c r="A9" s="68" t="s">
        <v>518</v>
      </c>
      <c r="B9" s="79"/>
      <c r="C9" s="80"/>
      <c r="D9" s="72">
        <v>50</v>
      </c>
      <c r="E9" s="2">
        <f>D9*B9</f>
        <v>0</v>
      </c>
    </row>
    <row r="10" spans="1:5" hidden="1">
      <c r="A10" s="68" t="s">
        <v>100</v>
      </c>
      <c r="B10" s="79"/>
      <c r="C10" s="80"/>
      <c r="D10" s="72">
        <v>18</v>
      </c>
      <c r="E10" s="2">
        <f t="shared" si="0"/>
        <v>0</v>
      </c>
    </row>
    <row r="11" spans="1:5" hidden="1">
      <c r="A11" s="68" t="s">
        <v>519</v>
      </c>
      <c r="B11" s="79"/>
      <c r="C11" s="80"/>
      <c r="D11" s="72">
        <v>33</v>
      </c>
      <c r="E11" s="2">
        <f t="shared" si="0"/>
        <v>0</v>
      </c>
    </row>
    <row r="12" spans="1:5" hidden="1">
      <c r="A12" s="68" t="s">
        <v>520</v>
      </c>
      <c r="B12" s="79"/>
      <c r="C12" s="80"/>
      <c r="D12" s="72">
        <v>45</v>
      </c>
      <c r="E12" s="2">
        <f t="shared" si="0"/>
        <v>0</v>
      </c>
    </row>
    <row r="13" spans="1:5" hidden="1">
      <c r="A13" s="68" t="s">
        <v>102</v>
      </c>
      <c r="B13" s="79"/>
      <c r="C13" s="80"/>
      <c r="D13" s="72">
        <v>32.5</v>
      </c>
      <c r="E13" s="2">
        <f t="shared" si="0"/>
        <v>0</v>
      </c>
    </row>
    <row r="14" spans="1:5" hidden="1">
      <c r="A14" s="68" t="s">
        <v>103</v>
      </c>
      <c r="B14" s="79"/>
      <c r="C14" s="80"/>
      <c r="D14" s="72">
        <v>35</v>
      </c>
      <c r="E14" s="2">
        <f t="shared" si="0"/>
        <v>0</v>
      </c>
    </row>
    <row r="15" spans="1:5" hidden="1">
      <c r="A15" s="68" t="s">
        <v>104</v>
      </c>
      <c r="B15" s="79"/>
      <c r="C15" s="80"/>
      <c r="D15" s="72">
        <v>90</v>
      </c>
      <c r="E15" s="2">
        <f t="shared" si="0"/>
        <v>0</v>
      </c>
    </row>
    <row r="16" spans="1:5" hidden="1">
      <c r="A16" s="68" t="s">
        <v>521</v>
      </c>
      <c r="B16" s="79"/>
      <c r="C16" s="80"/>
      <c r="D16" s="72">
        <v>64</v>
      </c>
      <c r="E16" s="2">
        <f t="shared" si="0"/>
        <v>0</v>
      </c>
    </row>
    <row r="17" spans="1:5" hidden="1">
      <c r="A17" s="68" t="s">
        <v>521</v>
      </c>
      <c r="B17" s="79"/>
      <c r="C17" s="80"/>
      <c r="D17" s="72">
        <v>70</v>
      </c>
      <c r="E17" s="2">
        <f t="shared" si="0"/>
        <v>0</v>
      </c>
    </row>
    <row r="18" spans="1:5" hidden="1">
      <c r="A18" s="68" t="s">
        <v>22</v>
      </c>
      <c r="B18" s="79"/>
      <c r="C18" s="80"/>
      <c r="D18" s="72">
        <v>21</v>
      </c>
      <c r="E18" s="2">
        <f t="shared" si="0"/>
        <v>0</v>
      </c>
    </row>
    <row r="19" spans="1:5">
      <c r="A19" s="68" t="s">
        <v>22</v>
      </c>
      <c r="B19" s="79">
        <v>238.62</v>
      </c>
      <c r="C19" s="80"/>
      <c r="D19" s="72">
        <v>22</v>
      </c>
      <c r="E19" s="2">
        <f t="shared" si="0"/>
        <v>5249.64</v>
      </c>
    </row>
    <row r="20" spans="1:5">
      <c r="A20" s="68" t="s">
        <v>105</v>
      </c>
      <c r="B20" s="79">
        <v>134.19999999999999</v>
      </c>
      <c r="C20" s="80"/>
      <c r="D20" s="72">
        <v>51</v>
      </c>
      <c r="E20" s="2">
        <f t="shared" si="0"/>
        <v>6844.2</v>
      </c>
    </row>
    <row r="21" spans="1:5" hidden="1">
      <c r="A21" s="68" t="s">
        <v>105</v>
      </c>
      <c r="B21" s="79"/>
      <c r="C21" s="80"/>
      <c r="D21" s="72">
        <v>70</v>
      </c>
      <c r="E21" s="2">
        <f t="shared" si="0"/>
        <v>0</v>
      </c>
    </row>
    <row r="22" spans="1:5" hidden="1">
      <c r="A22" s="68" t="s">
        <v>23</v>
      </c>
      <c r="B22" s="79"/>
      <c r="C22" s="80"/>
      <c r="D22" s="72">
        <v>55</v>
      </c>
      <c r="E22" s="2">
        <f t="shared" si="0"/>
        <v>0</v>
      </c>
    </row>
    <row r="23" spans="1:5">
      <c r="A23" s="68" t="s">
        <v>92</v>
      </c>
      <c r="B23" s="79">
        <v>10.48</v>
      </c>
      <c r="C23" s="80"/>
      <c r="D23" s="72">
        <v>46</v>
      </c>
      <c r="E23" s="2">
        <f t="shared" si="0"/>
        <v>482.08000000000004</v>
      </c>
    </row>
    <row r="24" spans="1:5">
      <c r="A24" s="68" t="s">
        <v>92</v>
      </c>
      <c r="B24" s="79">
        <v>118.8</v>
      </c>
      <c r="C24" s="80"/>
      <c r="D24" s="72">
        <v>34</v>
      </c>
      <c r="E24" s="2">
        <f t="shared" si="0"/>
        <v>4039.2</v>
      </c>
    </row>
    <row r="25" spans="1:5" hidden="1">
      <c r="A25" s="68" t="s">
        <v>522</v>
      </c>
      <c r="B25" s="79"/>
      <c r="C25" s="80"/>
      <c r="D25" s="72">
        <v>40</v>
      </c>
      <c r="E25" s="2">
        <f t="shared" si="0"/>
        <v>0</v>
      </c>
    </row>
    <row r="26" spans="1:5" hidden="1">
      <c r="A26" s="68" t="s">
        <v>107</v>
      </c>
      <c r="B26" s="79"/>
      <c r="C26" s="80"/>
      <c r="D26" s="72">
        <v>54</v>
      </c>
      <c r="E26" s="2">
        <f t="shared" si="0"/>
        <v>0</v>
      </c>
    </row>
    <row r="27" spans="1:5">
      <c r="A27" s="68" t="s">
        <v>25</v>
      </c>
      <c r="B27" s="79">
        <v>345.5</v>
      </c>
      <c r="C27" s="80"/>
      <c r="D27" s="72">
        <v>14</v>
      </c>
      <c r="E27" s="2">
        <f t="shared" si="0"/>
        <v>4837</v>
      </c>
    </row>
    <row r="28" spans="1:5">
      <c r="A28" s="68" t="s">
        <v>108</v>
      </c>
      <c r="B28" s="79">
        <v>57.5</v>
      </c>
      <c r="C28" s="80"/>
      <c r="D28" s="72">
        <v>19</v>
      </c>
      <c r="E28" s="2">
        <f t="shared" si="0"/>
        <v>1092.5</v>
      </c>
    </row>
    <row r="29" spans="1:5">
      <c r="A29" s="68" t="s">
        <v>109</v>
      </c>
      <c r="B29" s="79">
        <v>4</v>
      </c>
      <c r="C29" s="80"/>
      <c r="D29" s="72">
        <v>17.5</v>
      </c>
      <c r="E29" s="2">
        <f t="shared" si="0"/>
        <v>70</v>
      </c>
    </row>
    <row r="30" spans="1:5">
      <c r="A30" s="68" t="s">
        <v>109</v>
      </c>
      <c r="B30" s="79">
        <v>17.420000000000002</v>
      </c>
      <c r="C30" s="80"/>
      <c r="D30" s="72">
        <v>24</v>
      </c>
      <c r="E30" s="2">
        <f t="shared" si="0"/>
        <v>418.08000000000004</v>
      </c>
    </row>
    <row r="31" spans="1:5">
      <c r="A31" s="68" t="s">
        <v>110</v>
      </c>
      <c r="B31" s="79">
        <v>63.3</v>
      </c>
      <c r="C31" s="80"/>
      <c r="D31" s="72">
        <v>28</v>
      </c>
      <c r="E31" s="2">
        <f t="shared" si="0"/>
        <v>1772.3999999999999</v>
      </c>
    </row>
    <row r="32" spans="1:5">
      <c r="A32" s="68" t="s">
        <v>111</v>
      </c>
      <c r="B32" s="79">
        <v>48.5</v>
      </c>
      <c r="C32" s="80"/>
      <c r="D32" s="72">
        <v>36</v>
      </c>
      <c r="E32" s="2">
        <f t="shared" si="0"/>
        <v>1746</v>
      </c>
    </row>
    <row r="33" spans="1:5">
      <c r="A33" s="68" t="s">
        <v>112</v>
      </c>
      <c r="B33" s="79">
        <f>19.3+5.82</f>
        <v>25.12</v>
      </c>
      <c r="C33" s="80"/>
      <c r="D33" s="72">
        <v>64</v>
      </c>
      <c r="E33" s="2">
        <f t="shared" si="0"/>
        <v>1607.68</v>
      </c>
    </row>
    <row r="34" spans="1:5">
      <c r="A34" s="68" t="s">
        <v>113</v>
      </c>
      <c r="B34" s="79">
        <v>36</v>
      </c>
      <c r="C34" s="80"/>
      <c r="D34" s="72">
        <v>40</v>
      </c>
      <c r="E34" s="2">
        <f t="shared" si="0"/>
        <v>1440</v>
      </c>
    </row>
    <row r="35" spans="1:5" hidden="1">
      <c r="A35" s="68" t="s">
        <v>114</v>
      </c>
      <c r="B35" s="79"/>
      <c r="C35" s="80"/>
      <c r="D35" s="72">
        <v>40</v>
      </c>
      <c r="E35" s="2">
        <f t="shared" si="0"/>
        <v>0</v>
      </c>
    </row>
    <row r="36" spans="1:5" hidden="1">
      <c r="A36" s="68" t="s">
        <v>115</v>
      </c>
      <c r="B36" s="79"/>
      <c r="C36" s="80"/>
      <c r="D36" s="72">
        <v>46</v>
      </c>
      <c r="E36" s="2">
        <f t="shared" si="0"/>
        <v>0</v>
      </c>
    </row>
    <row r="37" spans="1:5" hidden="1">
      <c r="A37" s="68" t="s">
        <v>116</v>
      </c>
      <c r="B37" s="79"/>
      <c r="C37" s="80"/>
      <c r="D37" s="72">
        <v>40</v>
      </c>
      <c r="E37" s="2">
        <f t="shared" si="0"/>
        <v>0</v>
      </c>
    </row>
    <row r="38" spans="1:5">
      <c r="A38" s="68" t="s">
        <v>117</v>
      </c>
      <c r="B38" s="79">
        <v>27.8</v>
      </c>
      <c r="C38" s="80"/>
      <c r="D38" s="72">
        <v>37</v>
      </c>
      <c r="E38" s="2">
        <f t="shared" si="0"/>
        <v>1028.6000000000001</v>
      </c>
    </row>
    <row r="39" spans="1:5">
      <c r="A39" s="68" t="s">
        <v>118</v>
      </c>
      <c r="B39" s="79">
        <v>16</v>
      </c>
      <c r="C39" s="80"/>
      <c r="D39" s="72">
        <v>12</v>
      </c>
      <c r="E39" s="2">
        <f t="shared" si="0"/>
        <v>192</v>
      </c>
    </row>
    <row r="40" spans="1:5" hidden="1">
      <c r="A40" s="68" t="s">
        <v>523</v>
      </c>
      <c r="B40" s="79"/>
      <c r="C40" s="80"/>
      <c r="D40" s="72">
        <v>72</v>
      </c>
      <c r="E40" s="2">
        <f t="shared" si="0"/>
        <v>0</v>
      </c>
    </row>
    <row r="41" spans="1:5">
      <c r="A41" s="68" t="s">
        <v>119</v>
      </c>
      <c r="B41" s="79">
        <v>22.5</v>
      </c>
      <c r="C41" s="80"/>
      <c r="D41" s="72">
        <v>60</v>
      </c>
      <c r="E41" s="2">
        <f t="shared" si="0"/>
        <v>1350</v>
      </c>
    </row>
    <row r="42" spans="1:5">
      <c r="A42" s="68" t="s">
        <v>121</v>
      </c>
      <c r="B42" s="79">
        <v>26.18</v>
      </c>
      <c r="C42" s="80"/>
      <c r="D42" s="72">
        <v>50</v>
      </c>
      <c r="E42" s="2">
        <f t="shared" si="0"/>
        <v>1309</v>
      </c>
    </row>
    <row r="43" spans="1:5">
      <c r="A43" s="68" t="s">
        <v>26</v>
      </c>
      <c r="B43" s="79">
        <v>109.5</v>
      </c>
      <c r="C43" s="80"/>
      <c r="D43" s="72">
        <v>20</v>
      </c>
      <c r="E43" s="2">
        <f t="shared" si="0"/>
        <v>2190</v>
      </c>
    </row>
    <row r="44" spans="1:5">
      <c r="A44" s="68" t="s">
        <v>408</v>
      </c>
      <c r="B44" s="79">
        <v>54.44</v>
      </c>
      <c r="C44" s="80">
        <v>2</v>
      </c>
      <c r="D44" s="72">
        <v>20.5</v>
      </c>
      <c r="E44" s="2">
        <f t="shared" si="0"/>
        <v>1116.02</v>
      </c>
    </row>
    <row r="45" spans="1:5">
      <c r="A45" s="68" t="s">
        <v>123</v>
      </c>
      <c r="B45" s="79">
        <v>13</v>
      </c>
      <c r="C45" s="80"/>
      <c r="D45" s="72">
        <v>30</v>
      </c>
      <c r="E45" s="2">
        <f t="shared" si="0"/>
        <v>390</v>
      </c>
    </row>
    <row r="46" spans="1:5" hidden="1">
      <c r="A46" s="68" t="s">
        <v>524</v>
      </c>
      <c r="B46" s="79"/>
      <c r="C46" s="80"/>
      <c r="D46" s="72">
        <v>24</v>
      </c>
      <c r="E46" s="2">
        <f t="shared" si="0"/>
        <v>0</v>
      </c>
    </row>
    <row r="47" spans="1:5" hidden="1">
      <c r="A47" s="68" t="s">
        <v>27</v>
      </c>
      <c r="B47" s="79"/>
      <c r="C47" s="80"/>
      <c r="D47" s="72">
        <v>22</v>
      </c>
      <c r="E47" s="2">
        <f t="shared" si="0"/>
        <v>0</v>
      </c>
    </row>
    <row r="48" spans="1:5">
      <c r="A48" s="68" t="s">
        <v>126</v>
      </c>
      <c r="B48" s="79">
        <v>2.8250000000000002</v>
      </c>
      <c r="C48" s="80"/>
      <c r="D48" s="72">
        <v>24</v>
      </c>
      <c r="E48" s="2">
        <f t="shared" si="0"/>
        <v>67.800000000000011</v>
      </c>
    </row>
    <row r="49" spans="1:5" hidden="1">
      <c r="A49" s="68" t="s">
        <v>127</v>
      </c>
      <c r="B49" s="79"/>
      <c r="C49" s="80"/>
      <c r="D49" s="72">
        <v>48</v>
      </c>
      <c r="E49" s="2">
        <f t="shared" si="0"/>
        <v>0</v>
      </c>
    </row>
    <row r="50" spans="1:5">
      <c r="A50" s="68" t="s">
        <v>128</v>
      </c>
      <c r="B50" s="79">
        <v>12</v>
      </c>
      <c r="C50" s="80"/>
      <c r="D50" s="72">
        <v>37</v>
      </c>
      <c r="E50" s="2">
        <f t="shared" si="0"/>
        <v>444</v>
      </c>
    </row>
    <row r="51" spans="1:5">
      <c r="A51" s="68" t="s">
        <v>129</v>
      </c>
      <c r="B51" s="79">
        <v>929</v>
      </c>
      <c r="C51" s="80"/>
      <c r="D51" s="72">
        <v>25.5</v>
      </c>
      <c r="E51" s="2">
        <f t="shared" si="0"/>
        <v>23689.5</v>
      </c>
    </row>
    <row r="52" spans="1:5" hidden="1">
      <c r="A52" s="68" t="s">
        <v>130</v>
      </c>
      <c r="B52" s="79"/>
      <c r="C52" s="80"/>
      <c r="D52" s="72">
        <v>38</v>
      </c>
      <c r="E52" s="2">
        <f t="shared" si="0"/>
        <v>0</v>
      </c>
    </row>
    <row r="53" spans="1:5">
      <c r="A53" s="68" t="s">
        <v>28</v>
      </c>
      <c r="B53" s="79">
        <f>197.5+342</f>
        <v>539.5</v>
      </c>
      <c r="C53" s="80"/>
      <c r="D53" s="72">
        <v>26.5</v>
      </c>
      <c r="E53" s="2">
        <f t="shared" si="0"/>
        <v>14296.75</v>
      </c>
    </row>
    <row r="54" spans="1:5">
      <c r="A54" s="68" t="s">
        <v>131</v>
      </c>
      <c r="B54" s="79">
        <v>125.72</v>
      </c>
      <c r="C54" s="80"/>
      <c r="D54" s="72">
        <v>38</v>
      </c>
      <c r="E54" s="2">
        <f t="shared" si="0"/>
        <v>4777.3599999999997</v>
      </c>
    </row>
    <row r="55" spans="1:5" hidden="1">
      <c r="A55" s="68" t="s">
        <v>132</v>
      </c>
      <c r="B55" s="79"/>
      <c r="C55" s="80"/>
      <c r="D55" s="72">
        <v>40</v>
      </c>
      <c r="E55" s="2">
        <f t="shared" si="0"/>
        <v>0</v>
      </c>
    </row>
    <row r="56" spans="1:5" hidden="1">
      <c r="A56" s="68" t="s">
        <v>133</v>
      </c>
      <c r="B56" s="79"/>
      <c r="C56" s="80"/>
      <c r="D56" s="72">
        <v>48</v>
      </c>
      <c r="E56" s="2">
        <f t="shared" si="0"/>
        <v>0</v>
      </c>
    </row>
    <row r="57" spans="1:5" hidden="1">
      <c r="A57" s="68" t="s">
        <v>134</v>
      </c>
      <c r="B57" s="79"/>
      <c r="C57" s="80"/>
      <c r="D57" s="72">
        <v>70</v>
      </c>
      <c r="E57" s="2">
        <f t="shared" si="0"/>
        <v>0</v>
      </c>
    </row>
    <row r="58" spans="1:5">
      <c r="A58" s="68" t="s">
        <v>135</v>
      </c>
      <c r="B58" s="79">
        <v>62.8</v>
      </c>
      <c r="C58" s="80"/>
      <c r="D58" s="72">
        <v>62</v>
      </c>
      <c r="E58" s="2">
        <f t="shared" si="0"/>
        <v>3893.6</v>
      </c>
    </row>
    <row r="59" spans="1:5" hidden="1">
      <c r="A59" s="68" t="s">
        <v>525</v>
      </c>
      <c r="B59" s="79"/>
      <c r="C59" s="80"/>
      <c r="D59" s="72">
        <v>47</v>
      </c>
      <c r="E59" s="2">
        <f t="shared" si="0"/>
        <v>0</v>
      </c>
    </row>
    <row r="60" spans="1:5" hidden="1">
      <c r="A60" s="68" t="s">
        <v>137</v>
      </c>
      <c r="B60" s="79"/>
      <c r="C60" s="80"/>
      <c r="D60" s="72">
        <v>40</v>
      </c>
      <c r="E60" s="2">
        <f t="shared" si="0"/>
        <v>0</v>
      </c>
    </row>
    <row r="61" spans="1:5">
      <c r="A61" s="68" t="s">
        <v>138</v>
      </c>
      <c r="B61" s="79">
        <v>11</v>
      </c>
      <c r="C61" s="80"/>
      <c r="D61" s="72">
        <v>40</v>
      </c>
      <c r="E61" s="2">
        <f t="shared" si="0"/>
        <v>440</v>
      </c>
    </row>
    <row r="62" spans="1:5" hidden="1">
      <c r="A62" s="68" t="s">
        <v>139</v>
      </c>
      <c r="B62" s="79"/>
      <c r="C62" s="80"/>
      <c r="D62" s="72">
        <v>4</v>
      </c>
      <c r="E62" s="2">
        <f t="shared" si="0"/>
        <v>0</v>
      </c>
    </row>
    <row r="63" spans="1:5" hidden="1">
      <c r="A63" s="68" t="s">
        <v>526</v>
      </c>
      <c r="B63" s="79"/>
      <c r="C63" s="80"/>
      <c r="D63" s="72">
        <v>54</v>
      </c>
      <c r="E63" s="2">
        <f t="shared" si="0"/>
        <v>0</v>
      </c>
    </row>
    <row r="64" spans="1:5">
      <c r="A64" s="68" t="s">
        <v>141</v>
      </c>
      <c r="B64" s="79">
        <v>42.96</v>
      </c>
      <c r="C64" s="80"/>
      <c r="D64" s="72">
        <v>60</v>
      </c>
      <c r="E64" s="2">
        <f t="shared" si="0"/>
        <v>2577.6</v>
      </c>
    </row>
    <row r="65" spans="1:5" hidden="1">
      <c r="A65" s="68" t="s">
        <v>142</v>
      </c>
      <c r="B65" s="79"/>
      <c r="C65" s="80"/>
      <c r="D65" s="72">
        <v>60</v>
      </c>
      <c r="E65" s="2">
        <f>D65*B65</f>
        <v>0</v>
      </c>
    </row>
    <row r="66" spans="1:5">
      <c r="A66" s="68" t="s">
        <v>143</v>
      </c>
      <c r="B66" s="79">
        <v>27.216000000000001</v>
      </c>
      <c r="C66" s="80">
        <v>5</v>
      </c>
      <c r="D66" s="72">
        <v>280</v>
      </c>
      <c r="E66" s="2">
        <f>D66*C66</f>
        <v>1400</v>
      </c>
    </row>
    <row r="67" spans="1:5">
      <c r="A67" s="68" t="s">
        <v>144</v>
      </c>
      <c r="B67" s="81"/>
      <c r="C67" s="82">
        <v>10</v>
      </c>
      <c r="D67" s="72">
        <v>28</v>
      </c>
      <c r="E67" s="2">
        <f>D67*C67</f>
        <v>280</v>
      </c>
    </row>
    <row r="68" spans="1:5" hidden="1">
      <c r="A68" s="68" t="s">
        <v>29</v>
      </c>
      <c r="B68" s="81"/>
      <c r="C68" s="82"/>
      <c r="D68" s="72">
        <v>48.5</v>
      </c>
      <c r="E68" s="2">
        <f>D68*B68</f>
        <v>0</v>
      </c>
    </row>
    <row r="69" spans="1:5" hidden="1">
      <c r="A69" s="68" t="s">
        <v>145</v>
      </c>
      <c r="B69" s="81"/>
      <c r="C69" s="82"/>
      <c r="D69" s="72">
        <v>14</v>
      </c>
      <c r="E69" s="2">
        <f>D69*B69</f>
        <v>0</v>
      </c>
    </row>
    <row r="70" spans="1:5">
      <c r="A70" s="68"/>
      <c r="B70" s="64"/>
      <c r="C70" s="6"/>
      <c r="D70" s="72"/>
      <c r="E70" s="2"/>
    </row>
    <row r="71" spans="1:5">
      <c r="A71" s="39" t="s">
        <v>146</v>
      </c>
      <c r="B71" s="64"/>
      <c r="C71" s="6"/>
      <c r="D71" s="72"/>
      <c r="E71" s="2"/>
    </row>
    <row r="72" spans="1:5">
      <c r="A72" s="68" t="s">
        <v>302</v>
      </c>
      <c r="B72" s="79">
        <v>28.01</v>
      </c>
      <c r="C72" s="79">
        <v>5</v>
      </c>
      <c r="D72" s="72">
        <v>35</v>
      </c>
      <c r="E72" s="2">
        <f>D72*B72</f>
        <v>980.35</v>
      </c>
    </row>
    <row r="73" spans="1:5" hidden="1">
      <c r="A73" s="68" t="s">
        <v>527</v>
      </c>
      <c r="B73" s="79"/>
      <c r="C73" s="79"/>
      <c r="D73" s="72">
        <v>28</v>
      </c>
      <c r="E73" s="2">
        <f>D73*B73</f>
        <v>0</v>
      </c>
    </row>
    <row r="74" spans="1:5" hidden="1">
      <c r="A74" s="68" t="s">
        <v>30</v>
      </c>
      <c r="B74" s="79"/>
      <c r="C74" s="79"/>
      <c r="D74" s="72">
        <v>48.5</v>
      </c>
      <c r="E74" s="2">
        <f>D74*B74</f>
        <v>0</v>
      </c>
    </row>
    <row r="75" spans="1:5">
      <c r="A75" s="68"/>
      <c r="B75" s="64"/>
      <c r="C75" s="6"/>
      <c r="D75" s="72"/>
      <c r="E75" s="2"/>
    </row>
    <row r="76" spans="1:5">
      <c r="A76" s="39" t="s">
        <v>149</v>
      </c>
      <c r="B76" s="64"/>
      <c r="C76" s="6"/>
      <c r="D76" s="72"/>
      <c r="E76" s="2"/>
    </row>
    <row r="77" spans="1:5" hidden="1">
      <c r="A77" s="68" t="s">
        <v>150</v>
      </c>
      <c r="B77" s="79"/>
      <c r="C77" s="80"/>
      <c r="D77" s="72">
        <v>56</v>
      </c>
      <c r="E77" s="2">
        <f t="shared" ref="E77:E100" si="1">D77*B77</f>
        <v>0</v>
      </c>
    </row>
    <row r="78" spans="1:5">
      <c r="A78" s="68" t="s">
        <v>151</v>
      </c>
      <c r="B78" s="79">
        <v>5</v>
      </c>
      <c r="C78" s="80"/>
      <c r="D78" s="72">
        <v>59</v>
      </c>
      <c r="E78" s="2">
        <f t="shared" si="1"/>
        <v>295</v>
      </c>
    </row>
    <row r="79" spans="1:5" hidden="1">
      <c r="A79" s="68" t="s">
        <v>152</v>
      </c>
      <c r="B79" s="79"/>
      <c r="C79" s="80"/>
      <c r="D79" s="72">
        <v>35</v>
      </c>
      <c r="E79" s="2">
        <f t="shared" si="1"/>
        <v>0</v>
      </c>
    </row>
    <row r="80" spans="1:5">
      <c r="A80" s="68" t="s">
        <v>31</v>
      </c>
      <c r="B80" s="79">
        <v>14</v>
      </c>
      <c r="C80" s="80"/>
      <c r="D80" s="72">
        <v>47</v>
      </c>
      <c r="E80" s="2">
        <f t="shared" si="1"/>
        <v>658</v>
      </c>
    </row>
    <row r="81" spans="1:5" hidden="1">
      <c r="A81" s="68" t="s">
        <v>153</v>
      </c>
      <c r="B81" s="79"/>
      <c r="C81" s="80"/>
      <c r="D81" s="72">
        <v>43</v>
      </c>
      <c r="E81" s="2">
        <f t="shared" si="1"/>
        <v>0</v>
      </c>
    </row>
    <row r="82" spans="1:5">
      <c r="A82" s="68" t="s">
        <v>154</v>
      </c>
      <c r="B82" s="79">
        <v>12</v>
      </c>
      <c r="C82" s="80"/>
      <c r="D82" s="72">
        <v>35</v>
      </c>
      <c r="E82" s="2">
        <f t="shared" si="1"/>
        <v>420</v>
      </c>
    </row>
    <row r="83" spans="1:5" hidden="1">
      <c r="A83" s="68" t="s">
        <v>155</v>
      </c>
      <c r="B83" s="79"/>
      <c r="C83" s="80"/>
      <c r="D83" s="72">
        <v>40</v>
      </c>
      <c r="E83" s="2">
        <f t="shared" si="1"/>
        <v>0</v>
      </c>
    </row>
    <row r="84" spans="1:5" ht="14.25" hidden="1" customHeight="1">
      <c r="A84" s="68" t="s">
        <v>156</v>
      </c>
      <c r="B84" s="79"/>
      <c r="C84" s="80"/>
      <c r="D84" s="72">
        <v>31</v>
      </c>
      <c r="E84" s="2">
        <f t="shared" si="1"/>
        <v>0</v>
      </c>
    </row>
    <row r="85" spans="1:5" hidden="1">
      <c r="A85" s="68" t="s">
        <v>157</v>
      </c>
      <c r="B85" s="79"/>
      <c r="C85" s="80"/>
      <c r="D85" s="72">
        <v>43</v>
      </c>
      <c r="E85" s="2">
        <f t="shared" si="1"/>
        <v>0</v>
      </c>
    </row>
    <row r="86" spans="1:5" hidden="1">
      <c r="A86" s="68" t="s">
        <v>158</v>
      </c>
      <c r="B86" s="79"/>
      <c r="C86" s="80"/>
      <c r="D86" s="72">
        <v>53</v>
      </c>
      <c r="E86" s="2">
        <f t="shared" si="1"/>
        <v>0</v>
      </c>
    </row>
    <row r="87" spans="1:5">
      <c r="A87" s="68" t="s">
        <v>159</v>
      </c>
      <c r="B87" s="79">
        <v>30</v>
      </c>
      <c r="C87" s="80"/>
      <c r="D87" s="72">
        <v>48</v>
      </c>
      <c r="E87" s="2">
        <f t="shared" si="1"/>
        <v>1440</v>
      </c>
    </row>
    <row r="88" spans="1:5" hidden="1">
      <c r="A88" s="68" t="s">
        <v>160</v>
      </c>
      <c r="B88" s="79"/>
      <c r="C88" s="80"/>
      <c r="D88" s="72">
        <v>18</v>
      </c>
      <c r="E88" s="2">
        <f t="shared" si="1"/>
        <v>0</v>
      </c>
    </row>
    <row r="89" spans="1:5" hidden="1">
      <c r="A89" s="68" t="s">
        <v>161</v>
      </c>
      <c r="B89" s="79"/>
      <c r="C89" s="80"/>
      <c r="D89" s="72">
        <v>36</v>
      </c>
      <c r="E89" s="2">
        <f t="shared" si="1"/>
        <v>0</v>
      </c>
    </row>
    <row r="90" spans="1:5" hidden="1">
      <c r="A90" s="68" t="s">
        <v>528</v>
      </c>
      <c r="B90" s="79"/>
      <c r="C90" s="80"/>
      <c r="D90" s="72">
        <v>32</v>
      </c>
      <c r="E90" s="2">
        <f t="shared" si="1"/>
        <v>0</v>
      </c>
    </row>
    <row r="91" spans="1:5">
      <c r="A91" s="68" t="s">
        <v>163</v>
      </c>
      <c r="B91" s="79">
        <v>6.6</v>
      </c>
      <c r="C91" s="80"/>
      <c r="D91" s="72">
        <v>23</v>
      </c>
      <c r="E91" s="2">
        <f t="shared" si="1"/>
        <v>151.79999999999998</v>
      </c>
    </row>
    <row r="92" spans="1:5" hidden="1">
      <c r="A92" s="68" t="s">
        <v>164</v>
      </c>
      <c r="B92" s="79"/>
      <c r="C92" s="80"/>
      <c r="D92" s="72"/>
      <c r="E92" s="2">
        <f t="shared" si="1"/>
        <v>0</v>
      </c>
    </row>
    <row r="93" spans="1:5">
      <c r="A93" s="68" t="s">
        <v>529</v>
      </c>
      <c r="B93" s="79">
        <v>3.8</v>
      </c>
      <c r="C93" s="80"/>
      <c r="D93" s="72">
        <v>26</v>
      </c>
      <c r="E93" s="2">
        <f t="shared" si="1"/>
        <v>98.8</v>
      </c>
    </row>
    <row r="94" spans="1:5">
      <c r="A94" s="68"/>
      <c r="B94" s="79"/>
      <c r="C94" s="80"/>
      <c r="D94" s="72">
        <v>32</v>
      </c>
      <c r="E94" s="2">
        <f t="shared" si="1"/>
        <v>0</v>
      </c>
    </row>
    <row r="95" spans="1:5" hidden="1">
      <c r="A95" s="68" t="s">
        <v>166</v>
      </c>
      <c r="B95" s="79"/>
      <c r="C95" s="80"/>
      <c r="D95" s="72">
        <v>29</v>
      </c>
      <c r="E95" s="2">
        <f t="shared" si="1"/>
        <v>0</v>
      </c>
    </row>
    <row r="96" spans="1:5" hidden="1">
      <c r="A96" s="68" t="s">
        <v>167</v>
      </c>
      <c r="B96" s="79"/>
      <c r="C96" s="80"/>
      <c r="D96" s="72">
        <v>19</v>
      </c>
      <c r="E96" s="2">
        <f t="shared" si="1"/>
        <v>0</v>
      </c>
    </row>
    <row r="97" spans="1:5" hidden="1">
      <c r="A97" s="68" t="s">
        <v>168</v>
      </c>
      <c r="B97" s="79"/>
      <c r="C97" s="80"/>
      <c r="D97" s="72">
        <v>38</v>
      </c>
      <c r="E97" s="2">
        <f t="shared" si="1"/>
        <v>0</v>
      </c>
    </row>
    <row r="98" spans="1:5" hidden="1">
      <c r="A98" s="68" t="s">
        <v>169</v>
      </c>
      <c r="B98" s="79"/>
      <c r="C98" s="80"/>
      <c r="D98" s="72">
        <v>29</v>
      </c>
      <c r="E98" s="2">
        <f t="shared" si="1"/>
        <v>0</v>
      </c>
    </row>
    <row r="99" spans="1:5" hidden="1">
      <c r="A99" s="68" t="s">
        <v>170</v>
      </c>
      <c r="B99" s="79"/>
      <c r="C99" s="80"/>
      <c r="D99" s="72">
        <v>22</v>
      </c>
      <c r="E99" s="2">
        <f t="shared" si="1"/>
        <v>0</v>
      </c>
    </row>
    <row r="100" spans="1:5" hidden="1">
      <c r="A100" s="68" t="s">
        <v>530</v>
      </c>
      <c r="B100" s="79"/>
      <c r="C100" s="80"/>
      <c r="D100" s="72">
        <v>62</v>
      </c>
      <c r="E100" s="2">
        <f t="shared" si="1"/>
        <v>0</v>
      </c>
    </row>
    <row r="101" spans="1:5">
      <c r="A101" s="68" t="s">
        <v>172</v>
      </c>
      <c r="B101" s="81"/>
      <c r="C101" s="82">
        <v>42</v>
      </c>
      <c r="D101" s="72">
        <v>45</v>
      </c>
      <c r="E101" s="2">
        <f>D101*C101</f>
        <v>1890</v>
      </c>
    </row>
    <row r="102" spans="1:5" hidden="1">
      <c r="A102" s="68"/>
      <c r="B102" s="64"/>
      <c r="C102" s="6"/>
      <c r="D102" s="72"/>
      <c r="E102" s="2"/>
    </row>
    <row r="103" spans="1:5" hidden="1">
      <c r="A103" s="68" t="s">
        <v>173</v>
      </c>
      <c r="B103" s="79"/>
      <c r="C103" s="80"/>
      <c r="D103" s="72">
        <v>80</v>
      </c>
      <c r="E103" s="2">
        <f t="shared" ref="E103:E126" si="2">D103*B103</f>
        <v>0</v>
      </c>
    </row>
    <row r="104" spans="1:5" hidden="1">
      <c r="A104" s="68" t="s">
        <v>31</v>
      </c>
      <c r="B104" s="79"/>
      <c r="C104" s="80"/>
      <c r="D104" s="72">
        <v>60</v>
      </c>
      <c r="E104" s="2">
        <f t="shared" si="2"/>
        <v>0</v>
      </c>
    </row>
    <row r="105" spans="1:5" hidden="1">
      <c r="A105" s="68" t="s">
        <v>154</v>
      </c>
      <c r="B105" s="79"/>
      <c r="C105" s="80"/>
      <c r="D105" s="72">
        <v>40</v>
      </c>
      <c r="E105" s="2">
        <f t="shared" si="2"/>
        <v>0</v>
      </c>
    </row>
    <row r="106" spans="1:5" hidden="1">
      <c r="A106" s="68" t="s">
        <v>155</v>
      </c>
      <c r="B106" s="79"/>
      <c r="C106" s="80"/>
      <c r="D106" s="72">
        <v>60</v>
      </c>
      <c r="E106" s="2">
        <f t="shared" si="2"/>
        <v>0</v>
      </c>
    </row>
    <row r="107" spans="1:5" hidden="1">
      <c r="A107" s="68" t="s">
        <v>174</v>
      </c>
      <c r="B107" s="79"/>
      <c r="C107" s="80"/>
      <c r="D107" s="72">
        <v>40</v>
      </c>
      <c r="E107" s="2">
        <f t="shared" si="2"/>
        <v>0</v>
      </c>
    </row>
    <row r="108" spans="1:5" hidden="1">
      <c r="A108" s="68" t="s">
        <v>175</v>
      </c>
      <c r="B108" s="79"/>
      <c r="C108" s="80"/>
      <c r="D108" s="72">
        <v>45</v>
      </c>
      <c r="E108" s="2">
        <f t="shared" si="2"/>
        <v>0</v>
      </c>
    </row>
    <row r="109" spans="1:5" hidden="1">
      <c r="A109" s="68" t="s">
        <v>176</v>
      </c>
      <c r="B109" s="79"/>
      <c r="C109" s="80"/>
      <c r="D109" s="72">
        <v>40</v>
      </c>
      <c r="E109" s="2">
        <f t="shared" si="2"/>
        <v>0</v>
      </c>
    </row>
    <row r="110" spans="1:5" hidden="1">
      <c r="A110" s="68" t="s">
        <v>177</v>
      </c>
      <c r="B110" s="79"/>
      <c r="C110" s="80"/>
      <c r="D110" s="72">
        <v>60</v>
      </c>
      <c r="E110" s="2">
        <f t="shared" si="2"/>
        <v>0</v>
      </c>
    </row>
    <row r="111" spans="1:5" hidden="1">
      <c r="A111" s="68" t="s">
        <v>178</v>
      </c>
      <c r="B111" s="79"/>
      <c r="C111" s="80"/>
      <c r="D111" s="72">
        <v>65</v>
      </c>
      <c r="E111" s="2">
        <f t="shared" si="2"/>
        <v>0</v>
      </c>
    </row>
    <row r="112" spans="1:5" ht="12.75" hidden="1" customHeight="1">
      <c r="A112" s="68" t="s">
        <v>160</v>
      </c>
      <c r="B112" s="79"/>
      <c r="C112" s="80"/>
      <c r="D112" s="72">
        <v>28</v>
      </c>
      <c r="E112" s="2">
        <f t="shared" si="2"/>
        <v>0</v>
      </c>
    </row>
    <row r="113" spans="1:5" hidden="1">
      <c r="A113" s="68" t="s">
        <v>179</v>
      </c>
      <c r="B113" s="79"/>
      <c r="C113" s="80"/>
      <c r="D113" s="72">
        <v>45</v>
      </c>
      <c r="E113" s="2">
        <f t="shared" si="2"/>
        <v>0</v>
      </c>
    </row>
    <row r="114" spans="1:5" hidden="1">
      <c r="A114" s="68" t="s">
        <v>163</v>
      </c>
      <c r="B114" s="79"/>
      <c r="C114" s="80"/>
      <c r="D114" s="72">
        <v>40</v>
      </c>
      <c r="E114" s="2">
        <f t="shared" si="2"/>
        <v>0</v>
      </c>
    </row>
    <row r="115" spans="1:5" hidden="1">
      <c r="A115" s="68" t="s">
        <v>180</v>
      </c>
      <c r="B115" s="79"/>
      <c r="C115" s="80"/>
      <c r="D115" s="72">
        <v>85</v>
      </c>
      <c r="E115" s="2">
        <f t="shared" si="2"/>
        <v>0</v>
      </c>
    </row>
    <row r="116" spans="1:5" hidden="1">
      <c r="A116" s="68" t="s">
        <v>181</v>
      </c>
      <c r="B116" s="79"/>
      <c r="C116" s="80"/>
      <c r="D116" s="72">
        <v>55</v>
      </c>
      <c r="E116" s="2">
        <f t="shared" si="2"/>
        <v>0</v>
      </c>
    </row>
    <row r="117" spans="1:5" hidden="1">
      <c r="A117" s="68" t="s">
        <v>162</v>
      </c>
      <c r="B117" s="79"/>
      <c r="C117" s="80"/>
      <c r="D117" s="72">
        <v>30</v>
      </c>
      <c r="E117" s="2">
        <f t="shared" si="2"/>
        <v>0</v>
      </c>
    </row>
    <row r="118" spans="1:5" hidden="1">
      <c r="A118" s="68" t="s">
        <v>165</v>
      </c>
      <c r="B118" s="79"/>
      <c r="C118" s="80"/>
      <c r="D118" s="72">
        <v>25</v>
      </c>
      <c r="E118" s="2">
        <f t="shared" si="2"/>
        <v>0</v>
      </c>
    </row>
    <row r="119" spans="1:5" hidden="1">
      <c r="A119" s="68" t="s">
        <v>166</v>
      </c>
      <c r="B119" s="79"/>
      <c r="C119" s="80"/>
      <c r="D119" s="72">
        <v>36</v>
      </c>
      <c r="E119" s="2">
        <f t="shared" si="2"/>
        <v>0</v>
      </c>
    </row>
    <row r="120" spans="1:5" hidden="1">
      <c r="A120" s="68" t="s">
        <v>182</v>
      </c>
      <c r="B120" s="79"/>
      <c r="C120" s="80"/>
      <c r="D120" s="72">
        <v>25</v>
      </c>
      <c r="E120" s="2">
        <f t="shared" si="2"/>
        <v>0</v>
      </c>
    </row>
    <row r="121" spans="1:5" hidden="1">
      <c r="A121" s="68" t="s">
        <v>168</v>
      </c>
      <c r="B121" s="79"/>
      <c r="C121" s="80"/>
      <c r="D121" s="72">
        <v>40</v>
      </c>
      <c r="E121" s="2">
        <f t="shared" si="2"/>
        <v>0</v>
      </c>
    </row>
    <row r="122" spans="1:5" hidden="1">
      <c r="A122" s="68" t="s">
        <v>183</v>
      </c>
      <c r="B122" s="79"/>
      <c r="C122" s="80"/>
      <c r="D122" s="72">
        <v>36</v>
      </c>
      <c r="E122" s="2">
        <f t="shared" si="2"/>
        <v>0</v>
      </c>
    </row>
    <row r="123" spans="1:5" hidden="1">
      <c r="A123" s="68" t="s">
        <v>184</v>
      </c>
      <c r="B123" s="79"/>
      <c r="C123" s="80"/>
      <c r="D123" s="72">
        <v>48</v>
      </c>
      <c r="E123" s="2">
        <f t="shared" si="2"/>
        <v>0</v>
      </c>
    </row>
    <row r="124" spans="1:5" hidden="1">
      <c r="A124" s="68" t="s">
        <v>185</v>
      </c>
      <c r="B124" s="79"/>
      <c r="C124" s="80"/>
      <c r="D124" s="72">
        <v>34</v>
      </c>
      <c r="E124" s="2">
        <f t="shared" si="2"/>
        <v>0</v>
      </c>
    </row>
    <row r="125" spans="1:5" hidden="1">
      <c r="A125" s="68" t="s">
        <v>148</v>
      </c>
      <c r="B125" s="79"/>
      <c r="C125" s="80"/>
      <c r="D125" s="72">
        <v>38</v>
      </c>
      <c r="E125" s="2">
        <f t="shared" si="2"/>
        <v>0</v>
      </c>
    </row>
    <row r="126" spans="1:5" hidden="1">
      <c r="A126" s="68" t="s">
        <v>186</v>
      </c>
      <c r="B126" s="81"/>
      <c r="C126" s="82"/>
      <c r="D126" s="72">
        <v>80</v>
      </c>
      <c r="E126" s="2">
        <f t="shared" si="2"/>
        <v>0</v>
      </c>
    </row>
    <row r="127" spans="1:5">
      <c r="A127" s="68"/>
      <c r="B127" s="64"/>
      <c r="C127" s="6"/>
      <c r="D127" s="72"/>
      <c r="E127" s="2"/>
    </row>
    <row r="128" spans="1:5">
      <c r="A128" s="68" t="s">
        <v>187</v>
      </c>
      <c r="B128" s="79"/>
      <c r="C128" s="80"/>
      <c r="D128" s="72">
        <v>18</v>
      </c>
      <c r="E128" s="2">
        <f>D128*C128</f>
        <v>0</v>
      </c>
    </row>
    <row r="129" spans="1:5">
      <c r="A129" s="68" t="s">
        <v>188</v>
      </c>
      <c r="B129" s="79"/>
      <c r="C129" s="80">
        <v>6</v>
      </c>
      <c r="D129" s="72">
        <v>10</v>
      </c>
      <c r="E129" s="2">
        <f t="shared" ref="E129:E134" si="3">D129*C129</f>
        <v>60</v>
      </c>
    </row>
    <row r="130" spans="1:5" hidden="1">
      <c r="A130" s="68" t="s">
        <v>189</v>
      </c>
      <c r="B130" s="79"/>
      <c r="C130" s="80"/>
      <c r="D130" s="72">
        <v>15</v>
      </c>
      <c r="E130" s="2">
        <f t="shared" si="3"/>
        <v>0</v>
      </c>
    </row>
    <row r="131" spans="1:5">
      <c r="A131" s="68" t="s">
        <v>190</v>
      </c>
      <c r="B131" s="79"/>
      <c r="C131" s="80">
        <v>39</v>
      </c>
      <c r="D131" s="72">
        <v>12</v>
      </c>
      <c r="E131" s="2">
        <f t="shared" si="3"/>
        <v>468</v>
      </c>
    </row>
    <row r="132" spans="1:5">
      <c r="A132" s="68" t="s">
        <v>191</v>
      </c>
      <c r="B132" s="79"/>
      <c r="C132" s="80">
        <v>23</v>
      </c>
      <c r="D132" s="72">
        <v>18</v>
      </c>
      <c r="E132" s="2">
        <f t="shared" si="3"/>
        <v>414</v>
      </c>
    </row>
    <row r="133" spans="1:5">
      <c r="A133" s="68" t="s">
        <v>192</v>
      </c>
      <c r="B133" s="79"/>
      <c r="C133" s="80">
        <v>47</v>
      </c>
      <c r="D133" s="72">
        <v>10</v>
      </c>
      <c r="E133" s="2">
        <f t="shared" si="3"/>
        <v>470</v>
      </c>
    </row>
    <row r="134" spans="1:5">
      <c r="A134" s="68" t="s">
        <v>193</v>
      </c>
      <c r="B134" s="81"/>
      <c r="C134" s="82">
        <v>31</v>
      </c>
      <c r="D134" s="72">
        <v>8</v>
      </c>
      <c r="E134" s="2">
        <f t="shared" si="3"/>
        <v>248</v>
      </c>
    </row>
    <row r="135" spans="1:5" hidden="1">
      <c r="A135" s="68" t="s">
        <v>194</v>
      </c>
      <c r="B135" s="81"/>
      <c r="C135" s="82"/>
      <c r="D135" s="72">
        <v>15</v>
      </c>
      <c r="E135" s="2">
        <f>D135*C135</f>
        <v>0</v>
      </c>
    </row>
    <row r="136" spans="1:5" hidden="1">
      <c r="A136" s="68" t="s">
        <v>531</v>
      </c>
      <c r="B136" s="81"/>
      <c r="C136" s="82"/>
      <c r="D136" s="72">
        <v>20</v>
      </c>
      <c r="E136" s="2">
        <f>D136*C136</f>
        <v>0</v>
      </c>
    </row>
    <row r="137" spans="1:5" hidden="1">
      <c r="A137" s="68" t="s">
        <v>532</v>
      </c>
      <c r="B137" s="81"/>
      <c r="C137" s="82"/>
      <c r="D137" s="72">
        <v>16</v>
      </c>
      <c r="E137" s="2">
        <f>D137*C137</f>
        <v>0</v>
      </c>
    </row>
    <row r="138" spans="1:5">
      <c r="A138" s="68" t="s">
        <v>195</v>
      </c>
      <c r="B138" s="81"/>
      <c r="C138" s="82">
        <v>26</v>
      </c>
      <c r="D138" s="72">
        <v>15</v>
      </c>
      <c r="E138" s="2">
        <f>D138*C138</f>
        <v>390</v>
      </c>
    </row>
    <row r="139" spans="1:5" hidden="1">
      <c r="A139" s="68" t="s">
        <v>196</v>
      </c>
      <c r="B139" s="81"/>
      <c r="C139" s="82"/>
      <c r="D139" s="72">
        <v>30</v>
      </c>
      <c r="E139" s="2">
        <f>D139*C139</f>
        <v>0</v>
      </c>
    </row>
    <row r="140" spans="1:5">
      <c r="A140" s="68"/>
      <c r="B140" s="64"/>
      <c r="C140" s="6"/>
      <c r="D140" s="72"/>
      <c r="E140" s="2"/>
    </row>
    <row r="141" spans="1:5">
      <c r="A141" t="s">
        <v>533</v>
      </c>
      <c r="B141" s="79"/>
      <c r="C141" s="80"/>
      <c r="D141" s="72"/>
      <c r="E141" s="2">
        <v>53134.81</v>
      </c>
    </row>
    <row r="142" spans="1:5">
      <c r="A142" s="68"/>
      <c r="B142" s="64"/>
      <c r="C142" s="6"/>
      <c r="D142" s="72"/>
      <c r="E142" s="2"/>
    </row>
    <row r="143" spans="1:5">
      <c r="B143" s="64"/>
      <c r="C143" s="6"/>
      <c r="D143" s="72"/>
      <c r="E143" s="2"/>
    </row>
    <row r="144" spans="1:5">
      <c r="A144" s="83" t="s">
        <v>8</v>
      </c>
      <c r="B144" s="40">
        <f>SUM(B6:B126)</f>
        <v>3221.2910000000002</v>
      </c>
      <c r="C144" s="39"/>
      <c r="D144" s="63"/>
      <c r="E144" s="84">
        <f>SUM(E6:E143)</f>
        <v>150159.77000000002</v>
      </c>
    </row>
  </sheetData>
  <phoneticPr fontId="8" type="noConversion"/>
  <pageMargins left="0.75" right="0.75" top="0.31" bottom="0.46" header="0" footer="0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3:J143"/>
  <sheetViews>
    <sheetView topLeftCell="A6" workbookViewId="0">
      <selection activeCell="G27" sqref="G27"/>
    </sheetView>
  </sheetViews>
  <sheetFormatPr baseColWidth="10" defaultRowHeight="12.75"/>
  <cols>
    <col min="1" max="1" width="25.7109375" customWidth="1"/>
    <col min="2" max="2" width="12.85546875" style="1" customWidth="1"/>
    <col min="3" max="3" width="8.42578125" customWidth="1"/>
    <col min="5" max="5" width="12.5703125" customWidth="1"/>
  </cols>
  <sheetData>
    <row r="3" spans="1:10">
      <c r="B3" s="39" t="s">
        <v>93</v>
      </c>
    </row>
    <row r="5" spans="1:10">
      <c r="A5" s="39"/>
      <c r="D5" t="s">
        <v>18</v>
      </c>
      <c r="E5" s="70">
        <v>40546</v>
      </c>
    </row>
    <row r="6" spans="1:10">
      <c r="A6" s="39"/>
      <c r="E6" s="71"/>
    </row>
    <row r="7" spans="1:10">
      <c r="A7" s="39"/>
      <c r="E7" s="71"/>
    </row>
    <row r="8" spans="1:10">
      <c r="A8" s="39" t="s">
        <v>94</v>
      </c>
      <c r="D8" s="72"/>
      <c r="E8" s="2"/>
    </row>
    <row r="9" spans="1:10" ht="12" customHeight="1">
      <c r="A9" s="39" t="s">
        <v>4</v>
      </c>
      <c r="B9" s="74" t="s">
        <v>19</v>
      </c>
      <c r="C9" s="75" t="s">
        <v>20</v>
      </c>
      <c r="D9" s="76" t="s">
        <v>21</v>
      </c>
      <c r="E9" s="77" t="s">
        <v>95</v>
      </c>
    </row>
    <row r="10" spans="1:10" hidden="1">
      <c r="A10" s="78" t="s">
        <v>96</v>
      </c>
      <c r="B10" s="79"/>
      <c r="C10" s="80"/>
      <c r="D10" s="72">
        <v>37</v>
      </c>
      <c r="E10" s="2">
        <f t="shared" ref="E10:E65" si="0">D10*B10</f>
        <v>0</v>
      </c>
    </row>
    <row r="11" spans="1:10" hidden="1">
      <c r="A11" s="68" t="s">
        <v>97</v>
      </c>
      <c r="B11" s="79"/>
      <c r="C11" s="80"/>
      <c r="D11" s="72">
        <v>75</v>
      </c>
      <c r="E11" s="2">
        <f>D11*B11</f>
        <v>0</v>
      </c>
    </row>
    <row r="12" spans="1:10">
      <c r="A12" s="68" t="s">
        <v>98</v>
      </c>
      <c r="B12" s="79">
        <f>13.32+10</f>
        <v>23.32</v>
      </c>
      <c r="C12" s="80"/>
      <c r="D12" s="72">
        <v>46</v>
      </c>
      <c r="E12" s="2">
        <f>D12*B12</f>
        <v>1072.72</v>
      </c>
    </row>
    <row r="13" spans="1:10">
      <c r="A13" s="68" t="s">
        <v>99</v>
      </c>
      <c r="B13" s="79">
        <v>20.12</v>
      </c>
      <c r="C13" s="80"/>
      <c r="D13" s="72">
        <v>48</v>
      </c>
      <c r="E13" s="2">
        <f>D13*B13</f>
        <v>965.76</v>
      </c>
    </row>
    <row r="14" spans="1:10" hidden="1">
      <c r="A14" s="68" t="s">
        <v>100</v>
      </c>
      <c r="B14" s="79"/>
      <c r="C14" s="80"/>
      <c r="D14" s="72">
        <v>18</v>
      </c>
      <c r="E14" s="2">
        <f t="shared" si="0"/>
        <v>0</v>
      </c>
      <c r="H14" s="129"/>
      <c r="J14" s="72"/>
    </row>
    <row r="15" spans="1:10" hidden="1">
      <c r="A15" s="68" t="s">
        <v>101</v>
      </c>
      <c r="B15" s="79"/>
      <c r="C15" s="80"/>
      <c r="D15" s="72">
        <v>42</v>
      </c>
      <c r="E15" s="2">
        <f t="shared" si="0"/>
        <v>0</v>
      </c>
      <c r="H15" s="129"/>
      <c r="J15" s="72"/>
    </row>
    <row r="16" spans="1:10" hidden="1">
      <c r="A16" s="68" t="s">
        <v>102</v>
      </c>
      <c r="B16" s="79"/>
      <c r="C16" s="80"/>
      <c r="D16" s="72">
        <v>27.5</v>
      </c>
      <c r="E16" s="2">
        <f t="shared" si="0"/>
        <v>0</v>
      </c>
      <c r="H16" s="129"/>
      <c r="J16" s="72"/>
    </row>
    <row r="17" spans="1:10">
      <c r="A17" s="68" t="s">
        <v>103</v>
      </c>
      <c r="B17" s="79">
        <v>59.5</v>
      </c>
      <c r="C17" s="80"/>
      <c r="D17" s="72">
        <v>39</v>
      </c>
      <c r="E17" s="2">
        <f t="shared" si="0"/>
        <v>2320.5</v>
      </c>
      <c r="H17" s="129"/>
      <c r="J17" s="72"/>
    </row>
    <row r="18" spans="1:10" hidden="1">
      <c r="A18" s="68" t="s">
        <v>104</v>
      </c>
      <c r="B18" s="79"/>
      <c r="C18" s="80"/>
      <c r="D18" s="72">
        <v>90</v>
      </c>
      <c r="E18" s="2">
        <f t="shared" si="0"/>
        <v>0</v>
      </c>
      <c r="H18" s="129"/>
      <c r="J18" s="72"/>
    </row>
    <row r="19" spans="1:10">
      <c r="A19" s="68" t="s">
        <v>51</v>
      </c>
      <c r="B19" s="79">
        <f>16+3.26</f>
        <v>19.259999999999998</v>
      </c>
      <c r="C19" s="80"/>
      <c r="D19" s="72">
        <v>68</v>
      </c>
      <c r="E19" s="2">
        <f t="shared" si="0"/>
        <v>1309.6799999999998</v>
      </c>
      <c r="H19" s="129"/>
      <c r="J19" s="72"/>
    </row>
    <row r="20" spans="1:10" hidden="1">
      <c r="A20" s="68" t="s">
        <v>22</v>
      </c>
      <c r="B20" s="79"/>
      <c r="C20" s="80"/>
      <c r="D20" s="72">
        <v>19</v>
      </c>
      <c r="E20" s="2">
        <f t="shared" si="0"/>
        <v>0</v>
      </c>
      <c r="H20" s="129"/>
      <c r="J20" s="72"/>
    </row>
    <row r="21" spans="1:10">
      <c r="A21" s="68" t="s">
        <v>22</v>
      </c>
      <c r="B21" s="79">
        <v>84.5</v>
      </c>
      <c r="C21" s="80"/>
      <c r="D21" s="72">
        <v>22</v>
      </c>
      <c r="E21" s="2">
        <f t="shared" si="0"/>
        <v>1859</v>
      </c>
      <c r="H21" s="129"/>
      <c r="J21" s="72"/>
    </row>
    <row r="22" spans="1:10">
      <c r="A22" s="68" t="s">
        <v>105</v>
      </c>
      <c r="B22" s="79">
        <v>145</v>
      </c>
      <c r="C22" s="80"/>
      <c r="D22" s="72">
        <v>51</v>
      </c>
      <c r="E22" s="2">
        <f t="shared" si="0"/>
        <v>7395</v>
      </c>
      <c r="H22" s="129"/>
      <c r="J22" s="72"/>
    </row>
    <row r="23" spans="1:10" hidden="1">
      <c r="A23" s="68" t="s">
        <v>105</v>
      </c>
      <c r="B23" s="79"/>
      <c r="C23" s="80"/>
      <c r="D23" s="72">
        <v>68</v>
      </c>
      <c r="E23" s="2">
        <f t="shared" si="0"/>
        <v>0</v>
      </c>
      <c r="H23" s="129"/>
      <c r="J23" s="72"/>
    </row>
    <row r="24" spans="1:10" hidden="1">
      <c r="A24" s="68" t="s">
        <v>23</v>
      </c>
      <c r="B24" s="79"/>
      <c r="C24" s="80"/>
      <c r="D24" s="72">
        <v>55</v>
      </c>
      <c r="E24" s="2">
        <f t="shared" si="0"/>
        <v>0</v>
      </c>
      <c r="I24" s="39"/>
      <c r="J24" s="63"/>
    </row>
    <row r="25" spans="1:10" hidden="1">
      <c r="A25" s="68" t="s">
        <v>24</v>
      </c>
      <c r="B25" s="79"/>
      <c r="C25" s="80"/>
      <c r="D25" s="72">
        <v>37.5</v>
      </c>
      <c r="E25" s="2">
        <f t="shared" si="0"/>
        <v>0</v>
      </c>
      <c r="I25" s="39"/>
      <c r="J25" s="63"/>
    </row>
    <row r="26" spans="1:10" hidden="1">
      <c r="A26" s="68" t="s">
        <v>106</v>
      </c>
      <c r="B26" s="79"/>
      <c r="C26" s="80"/>
      <c r="D26" s="72">
        <v>27.5</v>
      </c>
      <c r="E26" s="2">
        <f t="shared" si="0"/>
        <v>0</v>
      </c>
      <c r="I26" s="39"/>
      <c r="J26" s="63"/>
    </row>
    <row r="27" spans="1:10">
      <c r="A27" s="68" t="s">
        <v>107</v>
      </c>
      <c r="B27" s="79">
        <v>0.64</v>
      </c>
      <c r="C27" s="80"/>
      <c r="D27" s="72">
        <v>50</v>
      </c>
      <c r="E27" s="2">
        <f t="shared" si="0"/>
        <v>32</v>
      </c>
      <c r="I27" s="39"/>
      <c r="J27" s="63"/>
    </row>
    <row r="28" spans="1:10">
      <c r="A28" s="68" t="s">
        <v>25</v>
      </c>
      <c r="B28" s="79">
        <f>85.5+69</f>
        <v>154.5</v>
      </c>
      <c r="C28" s="80"/>
      <c r="D28" s="72">
        <v>14</v>
      </c>
      <c r="E28" s="2">
        <f t="shared" si="0"/>
        <v>2163</v>
      </c>
    </row>
    <row r="29" spans="1:10" hidden="1">
      <c r="A29" s="68" t="s">
        <v>108</v>
      </c>
      <c r="B29" s="79"/>
      <c r="C29" s="80"/>
      <c r="D29" s="72">
        <v>16</v>
      </c>
      <c r="E29" s="2">
        <f t="shared" si="0"/>
        <v>0</v>
      </c>
    </row>
    <row r="30" spans="1:10">
      <c r="A30" s="68" t="s">
        <v>109</v>
      </c>
      <c r="B30" s="79">
        <f>40.8+27.22+27.22+136.1</f>
        <v>231.33999999999997</v>
      </c>
      <c r="C30" s="80"/>
      <c r="D30" s="72">
        <v>17.5</v>
      </c>
      <c r="E30" s="2">
        <f t="shared" si="0"/>
        <v>4048.4499999999994</v>
      </c>
    </row>
    <row r="31" spans="1:10" hidden="1">
      <c r="A31" s="68" t="s">
        <v>109</v>
      </c>
      <c r="B31" s="79"/>
      <c r="C31" s="80"/>
      <c r="D31" s="72">
        <v>24</v>
      </c>
      <c r="E31" s="2">
        <f t="shared" si="0"/>
        <v>0</v>
      </c>
    </row>
    <row r="32" spans="1:10">
      <c r="A32" s="68" t="s">
        <v>110</v>
      </c>
      <c r="B32" s="79">
        <v>54.66</v>
      </c>
      <c r="C32" s="80"/>
      <c r="D32" s="72">
        <v>25</v>
      </c>
      <c r="E32" s="2">
        <f t="shared" si="0"/>
        <v>1366.5</v>
      </c>
    </row>
    <row r="33" spans="1:5" hidden="1">
      <c r="A33" s="68" t="s">
        <v>111</v>
      </c>
      <c r="B33" s="79"/>
      <c r="C33" s="80"/>
      <c r="D33" s="72">
        <v>36</v>
      </c>
      <c r="E33" s="2">
        <f t="shared" si="0"/>
        <v>0</v>
      </c>
    </row>
    <row r="34" spans="1:5" hidden="1">
      <c r="A34" s="68" t="s">
        <v>112</v>
      </c>
      <c r="B34" s="79"/>
      <c r="C34" s="80"/>
      <c r="D34" s="72">
        <v>72</v>
      </c>
      <c r="E34" s="2">
        <f t="shared" si="0"/>
        <v>0</v>
      </c>
    </row>
    <row r="35" spans="1:5">
      <c r="A35" s="68" t="s">
        <v>113</v>
      </c>
      <c r="B35" s="79">
        <v>13.78</v>
      </c>
      <c r="C35" s="80"/>
      <c r="D35" s="72">
        <v>40</v>
      </c>
      <c r="E35" s="2">
        <f t="shared" si="0"/>
        <v>551.19999999999993</v>
      </c>
    </row>
    <row r="36" spans="1:5">
      <c r="A36" s="68" t="s">
        <v>114</v>
      </c>
      <c r="B36" s="79">
        <v>5.66</v>
      </c>
      <c r="C36" s="80"/>
      <c r="D36" s="72">
        <v>38</v>
      </c>
      <c r="E36" s="2">
        <f t="shared" si="0"/>
        <v>215.08</v>
      </c>
    </row>
    <row r="37" spans="1:5" hidden="1">
      <c r="A37" s="68" t="s">
        <v>115</v>
      </c>
      <c r="B37" s="79"/>
      <c r="C37" s="80"/>
      <c r="D37" s="72">
        <v>46</v>
      </c>
      <c r="E37" s="2">
        <f t="shared" si="0"/>
        <v>0</v>
      </c>
    </row>
    <row r="38" spans="1:5">
      <c r="A38" s="68" t="s">
        <v>116</v>
      </c>
      <c r="B38" s="79">
        <f>39.1+0.58</f>
        <v>39.68</v>
      </c>
      <c r="C38" s="80"/>
      <c r="D38" s="72">
        <v>36</v>
      </c>
      <c r="E38" s="2">
        <f t="shared" si="0"/>
        <v>1428.48</v>
      </c>
    </row>
    <row r="39" spans="1:5" hidden="1">
      <c r="A39" s="68" t="s">
        <v>117</v>
      </c>
      <c r="B39" s="79"/>
      <c r="C39" s="80"/>
      <c r="D39" s="72">
        <v>34</v>
      </c>
      <c r="E39" s="2">
        <f t="shared" si="0"/>
        <v>0</v>
      </c>
    </row>
    <row r="40" spans="1:5">
      <c r="A40" s="68" t="s">
        <v>118</v>
      </c>
      <c r="B40" s="79">
        <f>6.58+1.34</f>
        <v>7.92</v>
      </c>
      <c r="C40" s="80"/>
      <c r="D40" s="72">
        <v>16</v>
      </c>
      <c r="E40" s="2">
        <f t="shared" si="0"/>
        <v>126.72</v>
      </c>
    </row>
    <row r="41" spans="1:5">
      <c r="A41" s="68" t="s">
        <v>119</v>
      </c>
      <c r="B41" s="79">
        <v>2.68</v>
      </c>
      <c r="C41" s="80"/>
      <c r="D41" s="72">
        <v>60</v>
      </c>
      <c r="E41" s="2">
        <f t="shared" si="0"/>
        <v>160.80000000000001</v>
      </c>
    </row>
    <row r="42" spans="1:5">
      <c r="A42" s="68" t="s">
        <v>120</v>
      </c>
      <c r="B42" s="79">
        <v>9.5399999999999991</v>
      </c>
      <c r="C42" s="80"/>
      <c r="D42" s="72">
        <v>50</v>
      </c>
      <c r="E42" s="2">
        <f t="shared" si="0"/>
        <v>476.99999999999994</v>
      </c>
    </row>
    <row r="43" spans="1:5" hidden="1">
      <c r="A43" s="68" t="s">
        <v>121</v>
      </c>
      <c r="B43" s="79"/>
      <c r="C43" s="80"/>
      <c r="D43" s="72">
        <v>50</v>
      </c>
      <c r="E43" s="2">
        <f t="shared" si="0"/>
        <v>0</v>
      </c>
    </row>
    <row r="44" spans="1:5" hidden="1">
      <c r="A44" s="68" t="s">
        <v>26</v>
      </c>
      <c r="B44" s="79"/>
      <c r="C44" s="80"/>
      <c r="D44" s="72">
        <v>18</v>
      </c>
      <c r="E44" s="2">
        <f t="shared" si="0"/>
        <v>0</v>
      </c>
    </row>
    <row r="45" spans="1:5">
      <c r="A45" s="68" t="s">
        <v>122</v>
      </c>
      <c r="B45" s="79">
        <v>3.6</v>
      </c>
      <c r="C45" s="80"/>
      <c r="D45" s="72">
        <v>70</v>
      </c>
      <c r="E45" s="2">
        <f t="shared" si="0"/>
        <v>252</v>
      </c>
    </row>
    <row r="46" spans="1:5">
      <c r="A46" s="68" t="s">
        <v>123</v>
      </c>
      <c r="B46" s="79">
        <f>25.34+136.1</f>
        <v>161.44</v>
      </c>
      <c r="C46" s="80"/>
      <c r="D46" s="72">
        <v>20.5</v>
      </c>
      <c r="E46" s="2">
        <f t="shared" si="0"/>
        <v>3309.52</v>
      </c>
    </row>
    <row r="47" spans="1:5">
      <c r="A47" s="68" t="s">
        <v>124</v>
      </c>
      <c r="B47" s="79">
        <f>0.72+2.36</f>
        <v>3.08</v>
      </c>
      <c r="C47" s="80"/>
      <c r="D47" s="72">
        <v>48</v>
      </c>
      <c r="E47" s="2">
        <f t="shared" si="0"/>
        <v>147.84</v>
      </c>
    </row>
    <row r="48" spans="1:5">
      <c r="A48" s="68" t="s">
        <v>125</v>
      </c>
      <c r="B48" s="79">
        <v>1.4</v>
      </c>
      <c r="C48" s="80"/>
      <c r="D48" s="72">
        <v>60</v>
      </c>
      <c r="E48" s="2">
        <f t="shared" si="0"/>
        <v>84</v>
      </c>
    </row>
    <row r="49" spans="1:5">
      <c r="A49" s="68" t="s">
        <v>126</v>
      </c>
      <c r="B49" s="79">
        <v>7.8</v>
      </c>
      <c r="C49" s="80"/>
      <c r="D49" s="72">
        <v>22</v>
      </c>
      <c r="E49" s="2">
        <f t="shared" si="0"/>
        <v>171.6</v>
      </c>
    </row>
    <row r="50" spans="1:5">
      <c r="A50" s="68" t="s">
        <v>127</v>
      </c>
      <c r="B50" s="79">
        <v>26</v>
      </c>
      <c r="C50" s="80"/>
      <c r="D50" s="72">
        <v>44</v>
      </c>
      <c r="E50" s="2">
        <f t="shared" si="0"/>
        <v>1144</v>
      </c>
    </row>
    <row r="51" spans="1:5" hidden="1">
      <c r="A51" s="68" t="s">
        <v>128</v>
      </c>
      <c r="B51" s="79"/>
      <c r="C51" s="80"/>
      <c r="D51" s="72">
        <v>33</v>
      </c>
      <c r="E51" s="2">
        <f t="shared" si="0"/>
        <v>0</v>
      </c>
    </row>
    <row r="52" spans="1:5" hidden="1">
      <c r="A52" s="68" t="s">
        <v>129</v>
      </c>
      <c r="B52" s="79"/>
      <c r="C52" s="80"/>
      <c r="D52" s="72">
        <v>28.5</v>
      </c>
      <c r="E52" s="2">
        <f t="shared" si="0"/>
        <v>0</v>
      </c>
    </row>
    <row r="53" spans="1:5" hidden="1">
      <c r="A53" s="68" t="s">
        <v>130</v>
      </c>
      <c r="B53" s="79"/>
      <c r="C53" s="80"/>
      <c r="D53" s="72">
        <v>38</v>
      </c>
      <c r="E53" s="2">
        <f t="shared" si="0"/>
        <v>0</v>
      </c>
    </row>
    <row r="54" spans="1:5">
      <c r="A54" s="68" t="s">
        <v>28</v>
      </c>
      <c r="B54" s="79">
        <v>472.46</v>
      </c>
      <c r="C54" s="80"/>
      <c r="D54" s="72">
        <v>28</v>
      </c>
      <c r="E54" s="2">
        <f t="shared" si="0"/>
        <v>13228.88</v>
      </c>
    </row>
    <row r="55" spans="1:5">
      <c r="A55" s="68" t="s">
        <v>131</v>
      </c>
      <c r="B55" s="79">
        <v>99</v>
      </c>
      <c r="C55" s="80"/>
      <c r="D55" s="72">
        <v>37</v>
      </c>
      <c r="E55" s="2">
        <f t="shared" si="0"/>
        <v>3663</v>
      </c>
    </row>
    <row r="56" spans="1:5">
      <c r="A56" s="68" t="s">
        <v>132</v>
      </c>
      <c r="B56" s="79">
        <v>5.14</v>
      </c>
      <c r="C56" s="80"/>
      <c r="D56" s="72">
        <v>39</v>
      </c>
      <c r="E56" s="2">
        <f t="shared" si="0"/>
        <v>200.45999999999998</v>
      </c>
    </row>
    <row r="57" spans="1:5" hidden="1">
      <c r="A57" s="68" t="s">
        <v>133</v>
      </c>
      <c r="B57" s="79"/>
      <c r="C57" s="80"/>
      <c r="D57" s="72">
        <v>48</v>
      </c>
      <c r="E57" s="2">
        <f t="shared" si="0"/>
        <v>0</v>
      </c>
    </row>
    <row r="58" spans="1:5" hidden="1">
      <c r="A58" s="68" t="s">
        <v>134</v>
      </c>
      <c r="B58" s="79"/>
      <c r="C58" s="80"/>
      <c r="D58" s="72">
        <v>70</v>
      </c>
      <c r="E58" s="2">
        <f t="shared" si="0"/>
        <v>0</v>
      </c>
    </row>
    <row r="59" spans="1:5" hidden="1">
      <c r="A59" s="68" t="s">
        <v>135</v>
      </c>
      <c r="B59" s="79"/>
      <c r="C59" s="80"/>
      <c r="D59" s="72">
        <v>62</v>
      </c>
      <c r="E59" s="2">
        <f t="shared" si="0"/>
        <v>0</v>
      </c>
    </row>
    <row r="60" spans="1:5">
      <c r="A60" s="68" t="s">
        <v>136</v>
      </c>
      <c r="B60" s="79">
        <v>3.02</v>
      </c>
      <c r="C60" s="80"/>
      <c r="D60" s="72">
        <v>15</v>
      </c>
      <c r="E60" s="2">
        <f t="shared" si="0"/>
        <v>45.3</v>
      </c>
    </row>
    <row r="61" spans="1:5" hidden="1">
      <c r="A61" s="68" t="s">
        <v>137</v>
      </c>
      <c r="B61" s="79"/>
      <c r="C61" s="80"/>
      <c r="D61" s="72">
        <v>40</v>
      </c>
      <c r="E61" s="2">
        <f t="shared" si="0"/>
        <v>0</v>
      </c>
    </row>
    <row r="62" spans="1:5">
      <c r="A62" s="68" t="s">
        <v>138</v>
      </c>
      <c r="B62" s="79">
        <v>8.56</v>
      </c>
      <c r="C62" s="80"/>
      <c r="D62" s="72">
        <v>42</v>
      </c>
      <c r="E62" s="2">
        <f t="shared" si="0"/>
        <v>359.52000000000004</v>
      </c>
    </row>
    <row r="63" spans="1:5" hidden="1">
      <c r="A63" s="68" t="s">
        <v>139</v>
      </c>
      <c r="B63" s="79"/>
      <c r="C63" s="80"/>
      <c r="D63" s="72">
        <v>4</v>
      </c>
      <c r="E63" s="2">
        <f t="shared" si="0"/>
        <v>0</v>
      </c>
    </row>
    <row r="64" spans="1:5" hidden="1">
      <c r="A64" s="68" t="s">
        <v>140</v>
      </c>
      <c r="B64" s="79"/>
      <c r="C64" s="80"/>
      <c r="D64" s="72">
        <v>68</v>
      </c>
      <c r="E64" s="2">
        <f t="shared" si="0"/>
        <v>0</v>
      </c>
    </row>
    <row r="65" spans="1:5" hidden="1">
      <c r="A65" s="68" t="s">
        <v>141</v>
      </c>
      <c r="B65" s="79"/>
      <c r="C65" s="80"/>
      <c r="D65" s="72">
        <v>55</v>
      </c>
      <c r="E65" s="2">
        <f t="shared" si="0"/>
        <v>0</v>
      </c>
    </row>
    <row r="66" spans="1:5" hidden="1">
      <c r="A66" s="68" t="s">
        <v>142</v>
      </c>
      <c r="B66" s="79"/>
      <c r="C66" s="80"/>
      <c r="D66" s="72">
        <v>50</v>
      </c>
      <c r="E66" s="2">
        <f>D66*B66</f>
        <v>0</v>
      </c>
    </row>
    <row r="67" spans="1:5">
      <c r="A67" s="68" t="s">
        <v>143</v>
      </c>
      <c r="B67" s="79">
        <f>5.4432*C67</f>
        <v>48.988799999999998</v>
      </c>
      <c r="C67" s="80">
        <v>9</v>
      </c>
      <c r="D67" s="72">
        <v>280</v>
      </c>
      <c r="E67" s="2">
        <f>D67*C67</f>
        <v>2520</v>
      </c>
    </row>
    <row r="68" spans="1:5">
      <c r="A68" s="68" t="s">
        <v>144</v>
      </c>
      <c r="B68" s="81"/>
      <c r="C68" s="82">
        <v>3</v>
      </c>
      <c r="D68" s="72">
        <v>29</v>
      </c>
      <c r="E68" s="2">
        <f>D68*C68</f>
        <v>87</v>
      </c>
    </row>
    <row r="69" spans="1:5" hidden="1">
      <c r="A69" s="68" t="s">
        <v>29</v>
      </c>
      <c r="B69" s="81"/>
      <c r="C69" s="82"/>
      <c r="D69" s="72">
        <v>35</v>
      </c>
      <c r="E69" s="2">
        <f>D69*B69</f>
        <v>0</v>
      </c>
    </row>
    <row r="70" spans="1:5" hidden="1">
      <c r="A70" s="68" t="s">
        <v>145</v>
      </c>
      <c r="B70" s="81"/>
      <c r="C70" s="82"/>
      <c r="D70" s="72">
        <v>14</v>
      </c>
      <c r="E70" s="2">
        <f>D70*B70</f>
        <v>0</v>
      </c>
    </row>
    <row r="71" spans="1:5">
      <c r="A71" s="68"/>
      <c r="B71" s="64"/>
      <c r="C71" s="6"/>
      <c r="D71" s="72"/>
      <c r="E71" s="2"/>
    </row>
    <row r="72" spans="1:5">
      <c r="A72" s="39" t="s">
        <v>146</v>
      </c>
      <c r="B72" s="64"/>
      <c r="C72" s="6"/>
      <c r="D72" s="72"/>
      <c r="E72" s="2"/>
    </row>
    <row r="73" spans="1:5">
      <c r="A73" s="68" t="s">
        <v>147</v>
      </c>
      <c r="B73" s="79">
        <v>10.18</v>
      </c>
      <c r="C73" s="79"/>
      <c r="D73" s="72">
        <v>48</v>
      </c>
      <c r="E73" s="2">
        <f>D73*B73</f>
        <v>488.64</v>
      </c>
    </row>
    <row r="74" spans="1:5">
      <c r="A74" s="68" t="s">
        <v>148</v>
      </c>
      <c r="B74" s="79">
        <v>2.1</v>
      </c>
      <c r="C74" s="79"/>
      <c r="D74" s="72">
        <v>40</v>
      </c>
      <c r="E74" s="2">
        <f>D74*B74</f>
        <v>84</v>
      </c>
    </row>
    <row r="75" spans="1:5">
      <c r="A75" s="68" t="s">
        <v>30</v>
      </c>
      <c r="B75" s="79">
        <v>6.8</v>
      </c>
      <c r="C75" s="79"/>
      <c r="D75" s="72">
        <v>52</v>
      </c>
      <c r="E75" s="2">
        <f>D75*B75</f>
        <v>353.59999999999997</v>
      </c>
    </row>
    <row r="76" spans="1:5">
      <c r="A76" s="68"/>
      <c r="B76" s="64"/>
      <c r="C76" s="6"/>
      <c r="D76" s="72"/>
      <c r="E76" s="2"/>
    </row>
    <row r="77" spans="1:5">
      <c r="A77" s="39" t="s">
        <v>149</v>
      </c>
      <c r="B77" s="64"/>
      <c r="C77" s="6"/>
      <c r="D77" s="72"/>
      <c r="E77" s="2"/>
    </row>
    <row r="78" spans="1:5" hidden="1">
      <c r="A78" s="68" t="s">
        <v>150</v>
      </c>
      <c r="B78" s="79"/>
      <c r="C78" s="80"/>
      <c r="D78" s="72">
        <v>50</v>
      </c>
      <c r="E78" s="2">
        <f t="shared" ref="E78:E101" si="1">D78*B78</f>
        <v>0</v>
      </c>
    </row>
    <row r="79" spans="1:5" hidden="1">
      <c r="A79" s="68" t="s">
        <v>151</v>
      </c>
      <c r="B79" s="79"/>
      <c r="C79" s="80"/>
      <c r="D79" s="72">
        <v>59</v>
      </c>
      <c r="E79" s="2">
        <f t="shared" si="1"/>
        <v>0</v>
      </c>
    </row>
    <row r="80" spans="1:5" hidden="1">
      <c r="A80" s="68" t="s">
        <v>152</v>
      </c>
      <c r="B80" s="79"/>
      <c r="C80" s="80"/>
      <c r="D80" s="72">
        <v>34</v>
      </c>
      <c r="E80" s="2">
        <f t="shared" si="1"/>
        <v>0</v>
      </c>
    </row>
    <row r="81" spans="1:5" ht="14.25" customHeight="1">
      <c r="A81" s="68" t="s">
        <v>31</v>
      </c>
      <c r="B81" s="79">
        <v>10.74</v>
      </c>
      <c r="C81" s="80"/>
      <c r="D81" s="72">
        <v>56</v>
      </c>
      <c r="E81" s="2">
        <f t="shared" si="1"/>
        <v>601.44000000000005</v>
      </c>
    </row>
    <row r="82" spans="1:5" ht="14.25" hidden="1" customHeight="1">
      <c r="A82" s="68" t="s">
        <v>153</v>
      </c>
      <c r="B82" s="79"/>
      <c r="C82" s="80"/>
      <c r="D82" s="72">
        <v>43</v>
      </c>
      <c r="E82" s="2">
        <f t="shared" si="1"/>
        <v>0</v>
      </c>
    </row>
    <row r="83" spans="1:5" ht="14.25" customHeight="1">
      <c r="A83" s="68" t="s">
        <v>154</v>
      </c>
      <c r="B83" s="79">
        <v>1.8</v>
      </c>
      <c r="C83" s="80"/>
      <c r="D83" s="72">
        <v>40</v>
      </c>
      <c r="E83" s="2">
        <f t="shared" si="1"/>
        <v>72</v>
      </c>
    </row>
    <row r="84" spans="1:5" ht="14.25" hidden="1" customHeight="1">
      <c r="A84" s="68" t="s">
        <v>155</v>
      </c>
      <c r="B84" s="79"/>
      <c r="C84" s="80"/>
      <c r="D84" s="72">
        <v>40</v>
      </c>
      <c r="E84" s="2">
        <f t="shared" si="1"/>
        <v>0</v>
      </c>
    </row>
    <row r="85" spans="1:5" ht="14.25" hidden="1" customHeight="1">
      <c r="A85" s="68" t="s">
        <v>156</v>
      </c>
      <c r="B85" s="79"/>
      <c r="C85" s="80"/>
      <c r="D85" s="72">
        <v>31</v>
      </c>
      <c r="E85" s="2">
        <f t="shared" si="1"/>
        <v>0</v>
      </c>
    </row>
    <row r="86" spans="1:5" ht="14.25" hidden="1" customHeight="1">
      <c r="A86" s="68" t="s">
        <v>157</v>
      </c>
      <c r="B86" s="79"/>
      <c r="C86" s="80"/>
      <c r="D86" s="72">
        <v>43</v>
      </c>
      <c r="E86" s="2">
        <f t="shared" si="1"/>
        <v>0</v>
      </c>
    </row>
    <row r="87" spans="1:5" hidden="1">
      <c r="A87" s="68" t="s">
        <v>158</v>
      </c>
      <c r="B87" s="79"/>
      <c r="C87" s="80"/>
      <c r="D87" s="72">
        <v>53</v>
      </c>
      <c r="E87" s="2">
        <f t="shared" si="1"/>
        <v>0</v>
      </c>
    </row>
    <row r="88" spans="1:5">
      <c r="A88" s="68" t="s">
        <v>159</v>
      </c>
      <c r="B88" s="79">
        <f>10.88+2.34</f>
        <v>13.22</v>
      </c>
      <c r="C88" s="80"/>
      <c r="D88" s="72">
        <v>38</v>
      </c>
      <c r="E88" s="2">
        <f t="shared" si="1"/>
        <v>502.36</v>
      </c>
    </row>
    <row r="89" spans="1:5" hidden="1">
      <c r="A89" s="68" t="s">
        <v>160</v>
      </c>
      <c r="B89" s="79"/>
      <c r="C89" s="80"/>
      <c r="D89" s="72">
        <v>18</v>
      </c>
      <c r="E89" s="2">
        <f t="shared" si="1"/>
        <v>0</v>
      </c>
    </row>
    <row r="90" spans="1:5">
      <c r="A90" s="68" t="s">
        <v>161</v>
      </c>
      <c r="B90" s="79">
        <v>0.5</v>
      </c>
      <c r="C90" s="80"/>
      <c r="D90" s="72">
        <v>38</v>
      </c>
      <c r="E90" s="2">
        <f t="shared" si="1"/>
        <v>19</v>
      </c>
    </row>
    <row r="91" spans="1:5">
      <c r="A91" s="68" t="s">
        <v>162</v>
      </c>
      <c r="B91" s="79">
        <v>0.2</v>
      </c>
      <c r="C91" s="80"/>
      <c r="D91" s="72">
        <v>26</v>
      </c>
      <c r="E91" s="2">
        <f t="shared" si="1"/>
        <v>5.2</v>
      </c>
    </row>
    <row r="92" spans="1:5" hidden="1">
      <c r="A92" s="68" t="s">
        <v>163</v>
      </c>
      <c r="B92" s="79"/>
      <c r="C92" s="80"/>
      <c r="D92" s="72">
        <v>23</v>
      </c>
      <c r="E92" s="2">
        <f t="shared" si="1"/>
        <v>0</v>
      </c>
    </row>
    <row r="93" spans="1:5" hidden="1">
      <c r="A93" s="68" t="s">
        <v>164</v>
      </c>
      <c r="B93" s="79"/>
      <c r="C93" s="80"/>
      <c r="D93" s="72"/>
      <c r="E93" s="2">
        <f t="shared" si="1"/>
        <v>0</v>
      </c>
    </row>
    <row r="94" spans="1:5" hidden="1">
      <c r="A94" s="68" t="s">
        <v>165</v>
      </c>
      <c r="B94" s="79"/>
      <c r="C94" s="80"/>
      <c r="D94" s="72">
        <v>23</v>
      </c>
      <c r="E94" s="2">
        <f t="shared" si="1"/>
        <v>0</v>
      </c>
    </row>
    <row r="95" spans="1:5" hidden="1">
      <c r="A95" s="68"/>
      <c r="B95" s="79"/>
      <c r="C95" s="80"/>
      <c r="D95" s="72">
        <v>32</v>
      </c>
      <c r="E95" s="2">
        <f t="shared" si="1"/>
        <v>0</v>
      </c>
    </row>
    <row r="96" spans="1:5" hidden="1">
      <c r="A96" s="68" t="s">
        <v>166</v>
      </c>
      <c r="B96" s="79"/>
      <c r="C96" s="80"/>
      <c r="D96" s="72">
        <v>29</v>
      </c>
      <c r="E96" s="2">
        <f t="shared" si="1"/>
        <v>0</v>
      </c>
    </row>
    <row r="97" spans="1:5" hidden="1">
      <c r="A97" s="68" t="s">
        <v>167</v>
      </c>
      <c r="B97" s="79"/>
      <c r="C97" s="80"/>
      <c r="D97" s="72">
        <v>19</v>
      </c>
      <c r="E97" s="2">
        <f t="shared" si="1"/>
        <v>0</v>
      </c>
    </row>
    <row r="98" spans="1:5" hidden="1">
      <c r="A98" s="68" t="s">
        <v>168</v>
      </c>
      <c r="B98" s="79"/>
      <c r="C98" s="80"/>
      <c r="D98" s="72">
        <v>34</v>
      </c>
      <c r="E98" s="2">
        <f t="shared" si="1"/>
        <v>0</v>
      </c>
    </row>
    <row r="99" spans="1:5" hidden="1">
      <c r="A99" s="68" t="s">
        <v>169</v>
      </c>
      <c r="B99" s="79"/>
      <c r="C99" s="80"/>
      <c r="D99" s="72">
        <v>25</v>
      </c>
      <c r="E99" s="2">
        <f t="shared" si="1"/>
        <v>0</v>
      </c>
    </row>
    <row r="100" spans="1:5" hidden="1">
      <c r="A100" s="68" t="s">
        <v>170</v>
      </c>
      <c r="B100" s="79"/>
      <c r="C100" s="80"/>
      <c r="D100" s="72">
        <v>22</v>
      </c>
      <c r="E100" s="2">
        <f t="shared" si="1"/>
        <v>0</v>
      </c>
    </row>
    <row r="101" spans="1:5">
      <c r="A101" s="68" t="s">
        <v>171</v>
      </c>
      <c r="B101" s="79">
        <v>3.24</v>
      </c>
      <c r="C101" s="80"/>
      <c r="D101" s="72">
        <v>80</v>
      </c>
      <c r="E101" s="2">
        <f t="shared" si="1"/>
        <v>259.20000000000005</v>
      </c>
    </row>
    <row r="102" spans="1:5">
      <c r="A102" s="68" t="s">
        <v>172</v>
      </c>
      <c r="B102" s="81"/>
      <c r="C102" s="82">
        <v>20</v>
      </c>
      <c r="D102" s="72">
        <v>45</v>
      </c>
      <c r="E102" s="2">
        <f>D102*C102</f>
        <v>900</v>
      </c>
    </row>
    <row r="103" spans="1:5">
      <c r="A103" s="68"/>
      <c r="B103" s="64"/>
      <c r="C103" s="6"/>
      <c r="D103" s="72"/>
      <c r="E103" s="2"/>
    </row>
    <row r="104" spans="1:5" hidden="1">
      <c r="A104" s="68" t="s">
        <v>173</v>
      </c>
      <c r="B104" s="79"/>
      <c r="C104" s="80"/>
      <c r="D104" s="72">
        <v>80</v>
      </c>
      <c r="E104" s="2">
        <f t="shared" ref="E104:E127" si="2">D104*B104</f>
        <v>0</v>
      </c>
    </row>
    <row r="105" spans="1:5" hidden="1">
      <c r="A105" s="68" t="s">
        <v>31</v>
      </c>
      <c r="B105" s="79"/>
      <c r="C105" s="80"/>
      <c r="D105" s="72">
        <v>60</v>
      </c>
      <c r="E105" s="2">
        <f t="shared" si="2"/>
        <v>0</v>
      </c>
    </row>
    <row r="106" spans="1:5" hidden="1">
      <c r="A106" s="68" t="s">
        <v>154</v>
      </c>
      <c r="B106" s="79"/>
      <c r="C106" s="80"/>
      <c r="D106" s="72">
        <v>40</v>
      </c>
      <c r="E106" s="2">
        <f t="shared" si="2"/>
        <v>0</v>
      </c>
    </row>
    <row r="107" spans="1:5" hidden="1">
      <c r="A107" s="68" t="s">
        <v>155</v>
      </c>
      <c r="B107" s="79"/>
      <c r="C107" s="80"/>
      <c r="D107" s="72">
        <v>60</v>
      </c>
      <c r="E107" s="2">
        <f t="shared" si="2"/>
        <v>0</v>
      </c>
    </row>
    <row r="108" spans="1:5" hidden="1">
      <c r="A108" s="68" t="s">
        <v>174</v>
      </c>
      <c r="B108" s="79"/>
      <c r="C108" s="80"/>
      <c r="D108" s="72">
        <v>40</v>
      </c>
      <c r="E108" s="2">
        <f t="shared" si="2"/>
        <v>0</v>
      </c>
    </row>
    <row r="109" spans="1:5" hidden="1">
      <c r="A109" s="68" t="s">
        <v>175</v>
      </c>
      <c r="B109" s="79"/>
      <c r="C109" s="80"/>
      <c r="D109" s="72">
        <v>45</v>
      </c>
      <c r="E109" s="2">
        <f t="shared" si="2"/>
        <v>0</v>
      </c>
    </row>
    <row r="110" spans="1:5" hidden="1">
      <c r="A110" s="68" t="s">
        <v>176</v>
      </c>
      <c r="B110" s="79"/>
      <c r="C110" s="80"/>
      <c r="D110" s="72">
        <v>40</v>
      </c>
      <c r="E110" s="2">
        <f t="shared" si="2"/>
        <v>0</v>
      </c>
    </row>
    <row r="111" spans="1:5" hidden="1">
      <c r="A111" s="68" t="s">
        <v>177</v>
      </c>
      <c r="B111" s="79"/>
      <c r="C111" s="80"/>
      <c r="D111" s="72">
        <v>60</v>
      </c>
      <c r="E111" s="2">
        <f t="shared" si="2"/>
        <v>0</v>
      </c>
    </row>
    <row r="112" spans="1:5" hidden="1">
      <c r="A112" s="68" t="s">
        <v>178</v>
      </c>
      <c r="B112" s="79"/>
      <c r="C112" s="80"/>
      <c r="D112" s="72">
        <v>65</v>
      </c>
      <c r="E112" s="2">
        <f t="shared" si="2"/>
        <v>0</v>
      </c>
    </row>
    <row r="113" spans="1:5" ht="12.75" hidden="1" customHeight="1">
      <c r="A113" s="68" t="s">
        <v>160</v>
      </c>
      <c r="B113" s="79"/>
      <c r="C113" s="80"/>
      <c r="D113" s="72">
        <v>28</v>
      </c>
      <c r="E113" s="2">
        <f t="shared" si="2"/>
        <v>0</v>
      </c>
    </row>
    <row r="114" spans="1:5" hidden="1">
      <c r="A114" s="68" t="s">
        <v>179</v>
      </c>
      <c r="B114" s="79"/>
      <c r="C114" s="80"/>
      <c r="D114" s="72">
        <v>40</v>
      </c>
      <c r="E114" s="2">
        <f t="shared" si="2"/>
        <v>0</v>
      </c>
    </row>
    <row r="115" spans="1:5" hidden="1">
      <c r="A115" s="68" t="s">
        <v>163</v>
      </c>
      <c r="B115" s="79"/>
      <c r="C115" s="80"/>
      <c r="D115" s="72">
        <v>40</v>
      </c>
      <c r="E115" s="2">
        <f t="shared" si="2"/>
        <v>0</v>
      </c>
    </row>
    <row r="116" spans="1:5" hidden="1">
      <c r="A116" s="68" t="s">
        <v>180</v>
      </c>
      <c r="B116" s="79"/>
      <c r="C116" s="80"/>
      <c r="D116" s="72">
        <v>85</v>
      </c>
      <c r="E116" s="2">
        <f t="shared" si="2"/>
        <v>0</v>
      </c>
    </row>
    <row r="117" spans="1:5" hidden="1">
      <c r="A117" s="68" t="s">
        <v>181</v>
      </c>
      <c r="B117" s="79"/>
      <c r="C117" s="80"/>
      <c r="D117" s="72">
        <v>55</v>
      </c>
      <c r="E117" s="2">
        <f t="shared" si="2"/>
        <v>0</v>
      </c>
    </row>
    <row r="118" spans="1:5" hidden="1">
      <c r="A118" s="68" t="s">
        <v>162</v>
      </c>
      <c r="B118" s="79"/>
      <c r="C118" s="80"/>
      <c r="D118" s="72">
        <v>30</v>
      </c>
      <c r="E118" s="2">
        <f t="shared" si="2"/>
        <v>0</v>
      </c>
    </row>
    <row r="119" spans="1:5" hidden="1">
      <c r="A119" s="68" t="s">
        <v>165</v>
      </c>
      <c r="B119" s="79"/>
      <c r="C119" s="80"/>
      <c r="D119" s="72">
        <v>25</v>
      </c>
      <c r="E119" s="2">
        <f t="shared" si="2"/>
        <v>0</v>
      </c>
    </row>
    <row r="120" spans="1:5" hidden="1">
      <c r="A120" s="68" t="s">
        <v>166</v>
      </c>
      <c r="B120" s="79"/>
      <c r="C120" s="80"/>
      <c r="D120" s="72">
        <v>36</v>
      </c>
      <c r="E120" s="2">
        <f t="shared" si="2"/>
        <v>0</v>
      </c>
    </row>
    <row r="121" spans="1:5" hidden="1">
      <c r="A121" s="68" t="s">
        <v>182</v>
      </c>
      <c r="B121" s="79"/>
      <c r="C121" s="80"/>
      <c r="D121" s="72">
        <v>25</v>
      </c>
      <c r="E121" s="2">
        <f t="shared" si="2"/>
        <v>0</v>
      </c>
    </row>
    <row r="122" spans="1:5" hidden="1">
      <c r="A122" s="68" t="s">
        <v>168</v>
      </c>
      <c r="B122" s="79"/>
      <c r="C122" s="80"/>
      <c r="D122" s="72">
        <v>38</v>
      </c>
      <c r="E122" s="2">
        <f t="shared" si="2"/>
        <v>0</v>
      </c>
    </row>
    <row r="123" spans="1:5" hidden="1">
      <c r="A123" s="68" t="s">
        <v>183</v>
      </c>
      <c r="B123" s="79"/>
      <c r="C123" s="80"/>
      <c r="D123" s="72">
        <v>29</v>
      </c>
      <c r="E123" s="2">
        <f t="shared" si="2"/>
        <v>0</v>
      </c>
    </row>
    <row r="124" spans="1:5" hidden="1">
      <c r="A124" s="68" t="s">
        <v>184</v>
      </c>
      <c r="B124" s="79"/>
      <c r="C124" s="80"/>
      <c r="D124" s="72">
        <v>48</v>
      </c>
      <c r="E124" s="2">
        <f t="shared" si="2"/>
        <v>0</v>
      </c>
    </row>
    <row r="125" spans="1:5" hidden="1">
      <c r="A125" s="68" t="s">
        <v>185</v>
      </c>
      <c r="B125" s="79"/>
      <c r="C125" s="80"/>
      <c r="D125" s="72">
        <v>34</v>
      </c>
      <c r="E125" s="2">
        <f t="shared" si="2"/>
        <v>0</v>
      </c>
    </row>
    <row r="126" spans="1:5" hidden="1">
      <c r="A126" s="68" t="s">
        <v>148</v>
      </c>
      <c r="B126" s="79"/>
      <c r="C126" s="80"/>
      <c r="D126" s="72">
        <v>38</v>
      </c>
      <c r="E126" s="2">
        <f t="shared" si="2"/>
        <v>0</v>
      </c>
    </row>
    <row r="127" spans="1:5" hidden="1">
      <c r="A127" s="68" t="s">
        <v>186</v>
      </c>
      <c r="B127" s="81"/>
      <c r="C127" s="82"/>
      <c r="D127" s="72">
        <v>80</v>
      </c>
      <c r="E127" s="2">
        <f t="shared" si="2"/>
        <v>0</v>
      </c>
    </row>
    <row r="128" spans="1:5" hidden="1">
      <c r="A128" s="68"/>
      <c r="B128" s="64"/>
      <c r="C128" s="6"/>
      <c r="D128" s="72"/>
      <c r="E128" s="2"/>
    </row>
    <row r="129" spans="1:5" hidden="1">
      <c r="A129" s="68" t="s">
        <v>187</v>
      </c>
      <c r="B129" s="79"/>
      <c r="C129" s="80"/>
      <c r="D129" s="72">
        <v>18</v>
      </c>
      <c r="E129" s="2">
        <f>D129*C129</f>
        <v>0</v>
      </c>
    </row>
    <row r="130" spans="1:5" hidden="1">
      <c r="A130" s="68" t="s">
        <v>188</v>
      </c>
      <c r="B130" s="79"/>
      <c r="C130" s="80"/>
      <c r="D130" s="72">
        <v>10</v>
      </c>
      <c r="E130" s="2">
        <f t="shared" ref="E130:E135" si="3">D130*C130</f>
        <v>0</v>
      </c>
    </row>
    <row r="131" spans="1:5" hidden="1">
      <c r="A131" s="68" t="s">
        <v>189</v>
      </c>
      <c r="B131" s="79"/>
      <c r="C131" s="80"/>
      <c r="D131" s="72">
        <v>15</v>
      </c>
      <c r="E131" s="2">
        <f t="shared" si="3"/>
        <v>0</v>
      </c>
    </row>
    <row r="132" spans="1:5" hidden="1">
      <c r="A132" s="68" t="s">
        <v>190</v>
      </c>
      <c r="B132" s="79"/>
      <c r="C132" s="80"/>
      <c r="D132" s="72">
        <v>13</v>
      </c>
      <c r="E132" s="2">
        <f t="shared" si="3"/>
        <v>0</v>
      </c>
    </row>
    <row r="133" spans="1:5" hidden="1">
      <c r="A133" s="68" t="s">
        <v>191</v>
      </c>
      <c r="B133" s="79"/>
      <c r="C133" s="80"/>
      <c r="D133" s="72">
        <v>18</v>
      </c>
      <c r="E133" s="2">
        <f t="shared" si="3"/>
        <v>0</v>
      </c>
    </row>
    <row r="134" spans="1:5" hidden="1">
      <c r="A134" s="68" t="s">
        <v>192</v>
      </c>
      <c r="B134" s="79"/>
      <c r="C134" s="80"/>
      <c r="D134" s="72">
        <v>10</v>
      </c>
      <c r="E134" s="2">
        <f t="shared" si="3"/>
        <v>0</v>
      </c>
    </row>
    <row r="135" spans="1:5" hidden="1">
      <c r="A135" s="68" t="s">
        <v>193</v>
      </c>
      <c r="B135" s="81"/>
      <c r="C135" s="82"/>
      <c r="D135" s="72">
        <v>8</v>
      </c>
      <c r="E135" s="2">
        <f t="shared" si="3"/>
        <v>0</v>
      </c>
    </row>
    <row r="136" spans="1:5" hidden="1">
      <c r="A136" s="68" t="s">
        <v>194</v>
      </c>
      <c r="B136" s="81"/>
      <c r="C136" s="82"/>
      <c r="D136" s="72">
        <v>11</v>
      </c>
      <c r="E136" s="2">
        <f>D136*C136</f>
        <v>0</v>
      </c>
    </row>
    <row r="137" spans="1:5" hidden="1">
      <c r="A137" s="68" t="s">
        <v>195</v>
      </c>
      <c r="B137" s="81"/>
      <c r="C137" s="82"/>
      <c r="D137" s="72">
        <v>11</v>
      </c>
      <c r="E137" s="2">
        <f>D137*C137</f>
        <v>0</v>
      </c>
    </row>
    <row r="138" spans="1:5" hidden="1">
      <c r="A138" s="68" t="s">
        <v>196</v>
      </c>
      <c r="B138" s="81"/>
      <c r="C138" s="82"/>
      <c r="D138" s="72">
        <v>30</v>
      </c>
      <c r="E138" s="2">
        <f>D138*C138</f>
        <v>0</v>
      </c>
    </row>
    <row r="139" spans="1:5" hidden="1">
      <c r="A139" s="68"/>
      <c r="B139" s="64"/>
      <c r="C139" s="6"/>
      <c r="D139" s="72"/>
      <c r="E139" s="2"/>
    </row>
    <row r="140" spans="1:5" hidden="1">
      <c r="A140" s="68" t="s">
        <v>197</v>
      </c>
      <c r="B140" s="79"/>
      <c r="C140" s="80"/>
      <c r="D140" s="72">
        <v>23</v>
      </c>
      <c r="E140" s="2">
        <f>D140*B140</f>
        <v>0</v>
      </c>
    </row>
    <row r="141" spans="1:5">
      <c r="A141" s="68"/>
      <c r="B141" s="64"/>
      <c r="C141" s="6"/>
      <c r="D141" s="72"/>
      <c r="E141" s="2"/>
    </row>
    <row r="142" spans="1:5">
      <c r="B142" s="64"/>
      <c r="C142" s="6"/>
      <c r="D142" s="72"/>
      <c r="E142" s="2"/>
    </row>
    <row r="143" spans="1:5">
      <c r="A143" s="83" t="s">
        <v>8</v>
      </c>
      <c r="B143" s="40">
        <f>SUM(B10:B127)</f>
        <v>1761.3687999999997</v>
      </c>
      <c r="C143" s="39"/>
      <c r="D143" s="63"/>
      <c r="E143" s="84">
        <f>SUM(E10:E142)</f>
        <v>53990.45</v>
      </c>
    </row>
  </sheetData>
  <phoneticPr fontId="8" type="noConversion"/>
  <pageMargins left="0.75" right="0.75" top="0.31" bottom="1" header="0" footer="0"/>
  <pageSetup paperSize="9" orientation="portrait" vertic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E73"/>
  <sheetViews>
    <sheetView topLeftCell="A35" workbookViewId="0">
      <selection activeCell="C7" sqref="C7"/>
    </sheetView>
  </sheetViews>
  <sheetFormatPr baseColWidth="10" defaultRowHeight="12.75"/>
  <cols>
    <col min="1" max="1" width="26.85546875" customWidth="1"/>
    <col min="2" max="2" width="11.85546875" customWidth="1"/>
    <col min="4" max="4" width="12.42578125" style="72" customWidth="1"/>
    <col min="5" max="5" width="17.42578125" style="72" customWidth="1"/>
  </cols>
  <sheetData>
    <row r="2" spans="1:5">
      <c r="B2" s="39" t="s">
        <v>32</v>
      </c>
    </row>
    <row r="4" spans="1:5">
      <c r="D4" s="72" t="s">
        <v>18</v>
      </c>
      <c r="E4" s="70">
        <v>40546</v>
      </c>
    </row>
    <row r="5" spans="1:5">
      <c r="B5" s="1"/>
    </row>
    <row r="6" spans="1:5">
      <c r="A6" s="39"/>
      <c r="B6" s="1"/>
      <c r="E6" s="71"/>
    </row>
    <row r="7" spans="1:5" ht="13.5" thickBot="1">
      <c r="A7" s="39"/>
      <c r="B7" s="1"/>
      <c r="E7" s="85"/>
    </row>
    <row r="8" spans="1:5" ht="13.5" thickTop="1">
      <c r="A8" s="86" t="s">
        <v>4</v>
      </c>
      <c r="B8" s="87"/>
      <c r="C8" s="88"/>
      <c r="D8" s="89"/>
      <c r="E8" s="90"/>
    </row>
    <row r="9" spans="1:5">
      <c r="A9" s="91" t="s">
        <v>33</v>
      </c>
      <c r="B9" s="92" t="s">
        <v>19</v>
      </c>
      <c r="C9" s="93" t="s">
        <v>20</v>
      </c>
      <c r="D9" s="94" t="s">
        <v>21</v>
      </c>
      <c r="E9" s="95" t="s">
        <v>34</v>
      </c>
    </row>
    <row r="10" spans="1:5">
      <c r="A10" s="96" t="s">
        <v>35</v>
      </c>
      <c r="B10" s="97">
        <v>5.4</v>
      </c>
      <c r="C10" s="98"/>
      <c r="D10" s="99">
        <v>20</v>
      </c>
      <c r="E10" s="100">
        <f t="shared" ref="E10:E38" si="0">D10*B10</f>
        <v>108</v>
      </c>
    </row>
    <row r="11" spans="1:5" hidden="1">
      <c r="A11" s="96" t="s">
        <v>79</v>
      </c>
      <c r="B11" s="97"/>
      <c r="C11" s="98"/>
      <c r="D11" s="99">
        <v>28</v>
      </c>
      <c r="E11" s="101">
        <f t="shared" si="0"/>
        <v>0</v>
      </c>
    </row>
    <row r="12" spans="1:5">
      <c r="A12" s="96" t="s">
        <v>80</v>
      </c>
      <c r="B12" s="97">
        <v>181</v>
      </c>
      <c r="C12" s="98"/>
      <c r="D12" s="99">
        <v>33</v>
      </c>
      <c r="E12" s="101">
        <f t="shared" si="0"/>
        <v>5973</v>
      </c>
    </row>
    <row r="13" spans="1:5" hidden="1">
      <c r="A13" s="96" t="s">
        <v>81</v>
      </c>
      <c r="B13" s="97"/>
      <c r="C13" s="98"/>
      <c r="D13" s="99">
        <v>39</v>
      </c>
      <c r="E13" s="101">
        <f t="shared" si="0"/>
        <v>0</v>
      </c>
    </row>
    <row r="14" spans="1:5" hidden="1">
      <c r="A14" s="96" t="s">
        <v>50</v>
      </c>
      <c r="B14" s="97"/>
      <c r="C14" s="98"/>
      <c r="D14" s="99">
        <v>53</v>
      </c>
      <c r="E14" s="101">
        <f t="shared" si="0"/>
        <v>0</v>
      </c>
    </row>
    <row r="15" spans="1:5" hidden="1">
      <c r="A15" s="96" t="s">
        <v>82</v>
      </c>
      <c r="B15" s="97"/>
      <c r="C15" s="98"/>
      <c r="D15" s="99">
        <v>37.5</v>
      </c>
      <c r="E15" s="101">
        <f t="shared" si="0"/>
        <v>0</v>
      </c>
    </row>
    <row r="16" spans="1:5">
      <c r="A16" s="96" t="s">
        <v>23</v>
      </c>
      <c r="B16" s="97">
        <v>10</v>
      </c>
      <c r="C16" s="98"/>
      <c r="D16" s="99">
        <v>43</v>
      </c>
      <c r="E16" s="101">
        <f t="shared" si="0"/>
        <v>430</v>
      </c>
    </row>
    <row r="17" spans="1:5" hidden="1">
      <c r="A17" s="96" t="s">
        <v>31</v>
      </c>
      <c r="B17" s="97"/>
      <c r="C17" s="98"/>
      <c r="D17" s="99">
        <v>45</v>
      </c>
      <c r="E17" s="101">
        <f t="shared" si="0"/>
        <v>0</v>
      </c>
    </row>
    <row r="18" spans="1:5">
      <c r="A18" s="96" t="s">
        <v>22</v>
      </c>
      <c r="B18" s="97">
        <f>742.59+298.4</f>
        <v>1040.99</v>
      </c>
      <c r="C18" s="98"/>
      <c r="D18" s="99">
        <v>21</v>
      </c>
      <c r="E18" s="101">
        <f t="shared" si="0"/>
        <v>21860.79</v>
      </c>
    </row>
    <row r="19" spans="1:5" hidden="1">
      <c r="A19" s="96" t="s">
        <v>83</v>
      </c>
      <c r="B19" s="102"/>
      <c r="C19" s="102"/>
      <c r="D19" s="66">
        <v>27.5</v>
      </c>
      <c r="E19" s="101">
        <f t="shared" si="0"/>
        <v>0</v>
      </c>
    </row>
    <row r="20" spans="1:5">
      <c r="A20" s="96" t="s">
        <v>36</v>
      </c>
      <c r="B20" s="102">
        <f>808.62+798.64+831.75+731.07+801.36+764.17+837.19+949.4+929+930.8+924.9+936.7+842.18+918.1+924+928+935.3+913.1</f>
        <v>15704.28</v>
      </c>
      <c r="C20" s="102">
        <v>18</v>
      </c>
      <c r="D20" s="66">
        <v>26.5</v>
      </c>
      <c r="E20" s="101">
        <f t="shared" si="0"/>
        <v>416163.42000000004</v>
      </c>
    </row>
    <row r="21" spans="1:5">
      <c r="A21" s="96" t="s">
        <v>25</v>
      </c>
      <c r="B21" s="97">
        <f>807.8+566.4</f>
        <v>1374.1999999999998</v>
      </c>
      <c r="C21" s="98"/>
      <c r="D21" s="103">
        <v>17</v>
      </c>
      <c r="E21" s="101">
        <f t="shared" si="0"/>
        <v>23361.399999999998</v>
      </c>
    </row>
    <row r="22" spans="1:5" hidden="1">
      <c r="A22" s="96" t="s">
        <v>84</v>
      </c>
      <c r="B22" s="97"/>
      <c r="C22" s="98"/>
      <c r="D22" s="103">
        <v>14</v>
      </c>
      <c r="E22" s="101">
        <f t="shared" si="0"/>
        <v>0</v>
      </c>
    </row>
    <row r="23" spans="1:5" hidden="1">
      <c r="A23" s="96" t="s">
        <v>85</v>
      </c>
      <c r="B23" s="97"/>
      <c r="C23" s="98"/>
      <c r="D23" s="103">
        <v>28</v>
      </c>
      <c r="E23" s="101">
        <f t="shared" si="0"/>
        <v>0</v>
      </c>
    </row>
    <row r="24" spans="1:5">
      <c r="A24" s="96" t="s">
        <v>37</v>
      </c>
      <c r="B24" s="97">
        <f>114+135.5</f>
        <v>249.5</v>
      </c>
      <c r="C24" s="98"/>
      <c r="D24" s="103">
        <v>38</v>
      </c>
      <c r="E24" s="101">
        <f t="shared" si="0"/>
        <v>9481</v>
      </c>
    </row>
    <row r="25" spans="1:5" hidden="1">
      <c r="A25" s="96" t="s">
        <v>86</v>
      </c>
      <c r="B25" s="97"/>
      <c r="C25" s="98"/>
      <c r="D25" s="103">
        <v>32</v>
      </c>
      <c r="E25" s="101">
        <f t="shared" si="0"/>
        <v>0</v>
      </c>
    </row>
    <row r="26" spans="1:5">
      <c r="A26" s="96" t="s">
        <v>87</v>
      </c>
      <c r="B26" s="97">
        <v>12.6</v>
      </c>
      <c r="C26" s="98"/>
      <c r="D26" s="103">
        <v>32</v>
      </c>
      <c r="E26" s="101">
        <f t="shared" si="0"/>
        <v>403.2</v>
      </c>
    </row>
    <row r="27" spans="1:5">
      <c r="A27" s="96" t="s">
        <v>38</v>
      </c>
      <c r="B27" s="97">
        <f>147.8+7.6+9.2</f>
        <v>164.6</v>
      </c>
      <c r="C27" s="98"/>
      <c r="D27" s="103">
        <v>17</v>
      </c>
      <c r="E27" s="101">
        <f t="shared" si="0"/>
        <v>2798.2</v>
      </c>
    </row>
    <row r="28" spans="1:5">
      <c r="A28" s="96" t="s">
        <v>39</v>
      </c>
      <c r="B28" s="104">
        <v>389.4</v>
      </c>
      <c r="C28" s="102"/>
      <c r="D28" s="105">
        <v>36</v>
      </c>
      <c r="E28" s="106">
        <f t="shared" si="0"/>
        <v>14018.4</v>
      </c>
    </row>
    <row r="29" spans="1:5">
      <c r="A29" s="96" t="s">
        <v>40</v>
      </c>
      <c r="B29" s="104">
        <v>650.20000000000005</v>
      </c>
      <c r="C29" s="102"/>
      <c r="D29" s="105">
        <v>38</v>
      </c>
      <c r="E29" s="106">
        <f t="shared" si="0"/>
        <v>24707.600000000002</v>
      </c>
    </row>
    <row r="30" spans="1:5">
      <c r="A30" s="96" t="s">
        <v>41</v>
      </c>
      <c r="B30" s="104">
        <v>116.4</v>
      </c>
      <c r="C30" s="102"/>
      <c r="D30" s="105">
        <v>37</v>
      </c>
      <c r="E30" s="106">
        <f t="shared" si="0"/>
        <v>4306.8</v>
      </c>
    </row>
    <row r="31" spans="1:5" hidden="1">
      <c r="A31" s="96" t="s">
        <v>42</v>
      </c>
      <c r="B31" s="104"/>
      <c r="C31" s="102"/>
      <c r="D31" s="105">
        <v>35</v>
      </c>
      <c r="E31" s="106">
        <f t="shared" si="0"/>
        <v>0</v>
      </c>
    </row>
    <row r="32" spans="1:5" hidden="1">
      <c r="A32" s="96" t="s">
        <v>43</v>
      </c>
      <c r="B32" s="104"/>
      <c r="C32" s="102"/>
      <c r="D32" s="105">
        <v>18</v>
      </c>
      <c r="E32" s="106">
        <f t="shared" si="0"/>
        <v>0</v>
      </c>
    </row>
    <row r="33" spans="1:5">
      <c r="A33" s="96" t="s">
        <v>26</v>
      </c>
      <c r="B33" s="104">
        <v>210</v>
      </c>
      <c r="C33" s="102"/>
      <c r="D33" s="105">
        <v>15</v>
      </c>
      <c r="E33" s="106">
        <f t="shared" si="0"/>
        <v>3150</v>
      </c>
    </row>
    <row r="34" spans="1:5" hidden="1">
      <c r="A34" s="96" t="s">
        <v>27</v>
      </c>
      <c r="B34" s="97"/>
      <c r="C34" s="98"/>
      <c r="D34" s="103">
        <v>25</v>
      </c>
      <c r="E34" s="101">
        <f t="shared" si="0"/>
        <v>0</v>
      </c>
    </row>
    <row r="35" spans="1:5">
      <c r="A35" s="96" t="s">
        <v>28</v>
      </c>
      <c r="B35" s="104">
        <v>450</v>
      </c>
      <c r="C35" s="102"/>
      <c r="D35" s="105">
        <v>27.5</v>
      </c>
      <c r="E35" s="106">
        <f t="shared" si="0"/>
        <v>12375</v>
      </c>
    </row>
    <row r="36" spans="1:5" hidden="1">
      <c r="A36" s="96" t="s">
        <v>44</v>
      </c>
      <c r="B36" s="104"/>
      <c r="C36" s="102"/>
      <c r="D36" s="105">
        <v>42</v>
      </c>
      <c r="E36" s="106">
        <f t="shared" si="0"/>
        <v>0</v>
      </c>
    </row>
    <row r="37" spans="1:5">
      <c r="A37" s="96" t="s">
        <v>88</v>
      </c>
      <c r="B37" s="104">
        <v>63.84</v>
      </c>
      <c r="C37" s="102"/>
      <c r="D37" s="105">
        <v>66</v>
      </c>
      <c r="E37" s="106">
        <f t="shared" si="0"/>
        <v>4213.4400000000005</v>
      </c>
    </row>
    <row r="38" spans="1:5">
      <c r="A38" s="96" t="s">
        <v>89</v>
      </c>
      <c r="B38" s="104">
        <v>68.94</v>
      </c>
      <c r="C38" s="102"/>
      <c r="D38" s="105">
        <v>35</v>
      </c>
      <c r="E38" s="106">
        <f t="shared" si="0"/>
        <v>2412.9</v>
      </c>
    </row>
    <row r="39" spans="1:5">
      <c r="A39" s="96" t="s">
        <v>90</v>
      </c>
      <c r="B39" s="104"/>
      <c r="C39" s="102">
        <v>4</v>
      </c>
      <c r="D39" s="105">
        <v>80</v>
      </c>
      <c r="E39" s="106">
        <f>D39*C39</f>
        <v>320</v>
      </c>
    </row>
    <row r="40" spans="1:5">
      <c r="A40" s="107"/>
      <c r="B40" s="6"/>
      <c r="C40" s="6"/>
      <c r="D40" s="66"/>
      <c r="E40" s="101"/>
    </row>
    <row r="41" spans="1:5">
      <c r="A41" s="107"/>
      <c r="B41" s="6"/>
      <c r="C41" s="6"/>
      <c r="D41" s="108" t="s">
        <v>45</v>
      </c>
      <c r="E41" s="109">
        <f>SUM(E10:E40)</f>
        <v>546083.15</v>
      </c>
    </row>
    <row r="42" spans="1:5" ht="13.5" thickBot="1">
      <c r="A42" s="110"/>
      <c r="B42" s="111"/>
      <c r="C42" s="111"/>
      <c r="D42" s="112"/>
      <c r="E42" s="113"/>
    </row>
    <row r="43" spans="1:5" ht="13.5" thickTop="1">
      <c r="A43" s="114"/>
      <c r="B43" s="88"/>
      <c r="C43" s="88"/>
      <c r="D43" s="89"/>
      <c r="E43" s="90"/>
    </row>
    <row r="44" spans="1:5">
      <c r="A44" s="91" t="s">
        <v>4</v>
      </c>
      <c r="B44" s="64"/>
      <c r="C44" s="6"/>
      <c r="D44" s="66"/>
      <c r="E44" s="101"/>
    </row>
    <row r="45" spans="1:5">
      <c r="A45" s="91" t="s">
        <v>46</v>
      </c>
      <c r="B45" s="92" t="s">
        <v>19</v>
      </c>
      <c r="C45" s="115" t="s">
        <v>47</v>
      </c>
      <c r="D45" s="94" t="s">
        <v>21</v>
      </c>
      <c r="E45" s="95" t="s">
        <v>34</v>
      </c>
    </row>
    <row r="46" spans="1:5">
      <c r="A46" s="107" t="s">
        <v>48</v>
      </c>
      <c r="B46" s="6">
        <f>10*C46</f>
        <v>390</v>
      </c>
      <c r="C46" s="6">
        <v>39</v>
      </c>
      <c r="D46" s="66">
        <v>37</v>
      </c>
      <c r="E46" s="101">
        <f t="shared" ref="E46:E64" si="1">D46*B46</f>
        <v>14430</v>
      </c>
    </row>
    <row r="47" spans="1:5" hidden="1">
      <c r="A47" s="107" t="s">
        <v>49</v>
      </c>
      <c r="B47" s="6"/>
      <c r="C47" s="6"/>
      <c r="D47" s="66">
        <v>14</v>
      </c>
      <c r="E47" s="101">
        <f t="shared" si="1"/>
        <v>0</v>
      </c>
    </row>
    <row r="48" spans="1:5" hidden="1">
      <c r="A48" s="107" t="s">
        <v>50</v>
      </c>
      <c r="B48" s="6"/>
      <c r="C48" s="116"/>
      <c r="D48" s="66">
        <v>46</v>
      </c>
      <c r="E48" s="101">
        <f t="shared" si="1"/>
        <v>0</v>
      </c>
    </row>
    <row r="49" spans="1:5" hidden="1">
      <c r="A49" s="96" t="s">
        <v>51</v>
      </c>
      <c r="B49" s="102"/>
      <c r="C49" s="102"/>
      <c r="D49" s="105">
        <v>64</v>
      </c>
      <c r="E49" s="101">
        <f t="shared" si="1"/>
        <v>0</v>
      </c>
    </row>
    <row r="50" spans="1:5">
      <c r="A50" s="96" t="s">
        <v>91</v>
      </c>
      <c r="B50" s="102">
        <f>30.4+31.1</f>
        <v>61.5</v>
      </c>
      <c r="C50" s="102">
        <v>2</v>
      </c>
      <c r="D50" s="105">
        <v>52</v>
      </c>
      <c r="E50" s="101">
        <f t="shared" si="1"/>
        <v>3198</v>
      </c>
    </row>
    <row r="51" spans="1:5" hidden="1">
      <c r="A51" s="107" t="s">
        <v>24</v>
      </c>
      <c r="B51" s="6">
        <f>13.61*C51</f>
        <v>0</v>
      </c>
      <c r="C51" s="116"/>
      <c r="D51" s="66">
        <v>34</v>
      </c>
      <c r="E51" s="101">
        <f t="shared" si="1"/>
        <v>0</v>
      </c>
    </row>
    <row r="52" spans="1:5" hidden="1">
      <c r="A52" s="107" t="s">
        <v>52</v>
      </c>
      <c r="B52" s="6">
        <f>13*C52</f>
        <v>0</v>
      </c>
      <c r="C52" s="116"/>
      <c r="D52" s="66">
        <v>27</v>
      </c>
      <c r="E52" s="101">
        <f t="shared" si="1"/>
        <v>0</v>
      </c>
    </row>
    <row r="53" spans="1:5" hidden="1">
      <c r="A53" s="107" t="s">
        <v>53</v>
      </c>
      <c r="B53" s="6">
        <f>13.61*C53</f>
        <v>0</v>
      </c>
      <c r="C53" s="116"/>
      <c r="D53" s="66">
        <v>35</v>
      </c>
      <c r="E53" s="101">
        <f t="shared" si="1"/>
        <v>0</v>
      </c>
    </row>
    <row r="54" spans="1:5">
      <c r="A54" s="107" t="s">
        <v>92</v>
      </c>
      <c r="B54" s="6">
        <f>22.5+20.1+20.3+21+21.3+21.4+21.1+21.4+22.2+21.1+19.1+23.3+17.8+21.7+22.5+20.9+21.6+20.1+19+20+19.1+21.5+21.4</f>
        <v>480.4</v>
      </c>
      <c r="C54" s="116">
        <v>23</v>
      </c>
      <c r="D54" s="66">
        <v>33</v>
      </c>
      <c r="E54" s="101">
        <f t="shared" si="1"/>
        <v>15853.199999999999</v>
      </c>
    </row>
    <row r="55" spans="1:5" hidden="1">
      <c r="A55" s="107" t="s">
        <v>54</v>
      </c>
      <c r="B55" s="6">
        <f>27.22*C55</f>
        <v>0</v>
      </c>
      <c r="C55" s="116"/>
      <c r="D55" s="66">
        <v>16.5</v>
      </c>
      <c r="E55" s="101">
        <f t="shared" si="1"/>
        <v>0</v>
      </c>
    </row>
    <row r="56" spans="1:5" hidden="1">
      <c r="A56" s="107" t="s">
        <v>55</v>
      </c>
      <c r="B56" s="6"/>
      <c r="C56" s="116"/>
      <c r="D56" s="66">
        <v>14</v>
      </c>
      <c r="E56" s="101">
        <f t="shared" si="1"/>
        <v>0</v>
      </c>
    </row>
    <row r="57" spans="1:5" hidden="1">
      <c r="A57" s="107" t="s">
        <v>56</v>
      </c>
      <c r="B57" s="6"/>
      <c r="C57" s="116"/>
      <c r="D57" s="66">
        <v>64</v>
      </c>
      <c r="E57" s="101">
        <f t="shared" si="1"/>
        <v>0</v>
      </c>
    </row>
    <row r="58" spans="1:5" hidden="1">
      <c r="A58" s="107" t="s">
        <v>57</v>
      </c>
      <c r="B58" s="6"/>
      <c r="C58" s="116"/>
      <c r="D58" s="66">
        <v>64</v>
      </c>
      <c r="E58" s="101">
        <f t="shared" si="1"/>
        <v>0</v>
      </c>
    </row>
    <row r="59" spans="1:5">
      <c r="A59" s="107" t="s">
        <v>30</v>
      </c>
      <c r="B59" s="6">
        <f>20*C59</f>
        <v>20</v>
      </c>
      <c r="C59" s="116">
        <v>1</v>
      </c>
      <c r="D59" s="66">
        <v>48</v>
      </c>
      <c r="E59" s="101">
        <f t="shared" si="1"/>
        <v>960</v>
      </c>
    </row>
    <row r="60" spans="1:5" ht="12.75" hidden="1" customHeight="1">
      <c r="A60" s="107" t="s">
        <v>58</v>
      </c>
      <c r="B60" s="6">
        <f>13.61*C60</f>
        <v>0</v>
      </c>
      <c r="C60" s="116"/>
      <c r="D60" s="66">
        <v>40</v>
      </c>
      <c r="E60" s="101">
        <f t="shared" si="1"/>
        <v>0</v>
      </c>
    </row>
    <row r="61" spans="1:5">
      <c r="A61" s="107" t="s">
        <v>59</v>
      </c>
      <c r="B61" s="6">
        <f>27.22*C61</f>
        <v>1034.3599999999999</v>
      </c>
      <c r="C61" s="117">
        <v>38</v>
      </c>
      <c r="D61" s="66">
        <v>21</v>
      </c>
      <c r="E61" s="101">
        <f t="shared" si="1"/>
        <v>21721.559999999998</v>
      </c>
    </row>
    <row r="62" spans="1:5" hidden="1">
      <c r="A62" s="107" t="s">
        <v>60</v>
      </c>
      <c r="B62" s="6">
        <f>22.68*C62</f>
        <v>0</v>
      </c>
      <c r="C62" s="118"/>
      <c r="D62" s="66">
        <v>19</v>
      </c>
      <c r="E62" s="101">
        <f t="shared" si="1"/>
        <v>0</v>
      </c>
    </row>
    <row r="63" spans="1:5" hidden="1">
      <c r="A63" s="107" t="s">
        <v>61</v>
      </c>
      <c r="B63" s="6">
        <f>15*C63</f>
        <v>0</v>
      </c>
      <c r="C63" s="118"/>
      <c r="D63" s="66">
        <v>18</v>
      </c>
      <c r="E63" s="101">
        <f t="shared" si="1"/>
        <v>0</v>
      </c>
    </row>
    <row r="64" spans="1:5">
      <c r="A64" s="107" t="s">
        <v>29</v>
      </c>
      <c r="B64" s="6">
        <f>13.61*C64</f>
        <v>626.05999999999995</v>
      </c>
      <c r="C64" s="116">
        <v>46</v>
      </c>
      <c r="D64" s="66">
        <v>33</v>
      </c>
      <c r="E64" s="101">
        <f t="shared" si="1"/>
        <v>20659.98</v>
      </c>
    </row>
    <row r="65" spans="1:5">
      <c r="A65" s="107" t="s">
        <v>62</v>
      </c>
      <c r="B65" s="6">
        <f>5.4432*C65</f>
        <v>228.61439999999999</v>
      </c>
      <c r="C65" s="116">
        <v>42</v>
      </c>
      <c r="D65" s="66">
        <v>280</v>
      </c>
      <c r="E65" s="101">
        <f>D65*C65</f>
        <v>11760</v>
      </c>
    </row>
    <row r="66" spans="1:5">
      <c r="A66" s="107" t="s">
        <v>63</v>
      </c>
      <c r="B66" s="6"/>
      <c r="C66" s="116">
        <v>50</v>
      </c>
      <c r="D66" s="66">
        <v>40</v>
      </c>
      <c r="E66" s="101">
        <f>D66*C66</f>
        <v>2000</v>
      </c>
    </row>
    <row r="67" spans="1:5" ht="14.25" customHeight="1">
      <c r="A67" s="107"/>
      <c r="B67" s="6"/>
      <c r="C67" s="6"/>
      <c r="D67" s="66"/>
      <c r="E67" s="101"/>
    </row>
    <row r="68" spans="1:5" ht="14.25" customHeight="1">
      <c r="A68" s="107"/>
      <c r="B68" s="6"/>
      <c r="C68" s="6"/>
      <c r="D68" s="108" t="s">
        <v>64</v>
      </c>
      <c r="E68" s="109">
        <f>SUM(E46:E67)</f>
        <v>90582.739999999991</v>
      </c>
    </row>
    <row r="69" spans="1:5" ht="13.5" thickBot="1">
      <c r="A69" s="110"/>
      <c r="B69" s="111"/>
      <c r="C69" s="111"/>
      <c r="D69" s="112"/>
      <c r="E69" s="113"/>
    </row>
    <row r="70" spans="1:5" ht="13.5" thickTop="1">
      <c r="A70" s="114"/>
      <c r="B70" s="88"/>
      <c r="C70" s="88"/>
      <c r="D70" s="89"/>
      <c r="E70" s="90"/>
    </row>
    <row r="71" spans="1:5">
      <c r="A71" s="107"/>
      <c r="B71" s="6"/>
      <c r="C71" s="61"/>
      <c r="D71" s="108" t="s">
        <v>65</v>
      </c>
      <c r="E71" s="109">
        <f>E68+E41</f>
        <v>636665.89</v>
      </c>
    </row>
    <row r="72" spans="1:5" ht="13.5" thickBot="1">
      <c r="A72" s="110"/>
      <c r="B72" s="111"/>
      <c r="C72" s="111"/>
      <c r="D72" s="112"/>
      <c r="E72" s="113"/>
    </row>
    <row r="73" spans="1:5" ht="13.5" thickTop="1"/>
  </sheetData>
  <phoneticPr fontId="8" type="noConversion"/>
  <pageMargins left="0.75" right="0.75" top="1" bottom="1" header="0" footer="0"/>
  <pageSetup paperSize="9"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E106"/>
  <sheetViews>
    <sheetView tabSelected="1" workbookViewId="0">
      <selection activeCell="I24" sqref="I24"/>
    </sheetView>
  </sheetViews>
  <sheetFormatPr baseColWidth="10" defaultRowHeight="12.75"/>
  <cols>
    <col min="1" max="1" width="25.140625" customWidth="1"/>
    <col min="2" max="2" width="11.85546875" customWidth="1"/>
    <col min="4" max="4" width="12.42578125" style="72" customWidth="1"/>
    <col min="5" max="5" width="17.42578125" style="72" customWidth="1"/>
  </cols>
  <sheetData>
    <row r="2" spans="1:5">
      <c r="B2" s="39" t="s">
        <v>534</v>
      </c>
    </row>
    <row r="4" spans="1:5">
      <c r="D4" s="72" t="s">
        <v>18</v>
      </c>
      <c r="E4" s="70">
        <v>40548</v>
      </c>
    </row>
    <row r="5" spans="1:5">
      <c r="B5" s="1"/>
    </row>
    <row r="6" spans="1:5">
      <c r="A6" s="39"/>
      <c r="B6" s="1"/>
      <c r="E6" s="71"/>
    </row>
    <row r="7" spans="1:5" ht="13.5" thickBot="1">
      <c r="A7" s="39"/>
      <c r="B7" s="1"/>
      <c r="E7" s="85"/>
    </row>
    <row r="8" spans="1:5" ht="13.5" thickTop="1">
      <c r="A8" s="86" t="s">
        <v>4</v>
      </c>
      <c r="B8" s="87"/>
      <c r="C8" s="88"/>
      <c r="D8" s="89"/>
      <c r="E8" s="90"/>
    </row>
    <row r="9" spans="1:5">
      <c r="A9" s="91" t="s">
        <v>535</v>
      </c>
      <c r="B9" s="92" t="s">
        <v>19</v>
      </c>
      <c r="C9" s="93" t="s">
        <v>20</v>
      </c>
      <c r="D9" s="94" t="s">
        <v>21</v>
      </c>
      <c r="E9" s="95" t="s">
        <v>34</v>
      </c>
    </row>
    <row r="10" spans="1:5">
      <c r="A10" s="96" t="s">
        <v>238</v>
      </c>
      <c r="B10" s="97">
        <v>14295.34</v>
      </c>
      <c r="C10" s="98">
        <v>166.5</v>
      </c>
      <c r="D10" s="103">
        <v>29.4</v>
      </c>
      <c r="E10" s="101">
        <f>D10*B10</f>
        <v>420282.99599999998</v>
      </c>
    </row>
    <row r="11" spans="1:5">
      <c r="A11" s="96" t="s">
        <v>536</v>
      </c>
      <c r="B11" s="97">
        <f>681.73+903.6</f>
        <v>1585.33</v>
      </c>
      <c r="C11" s="98">
        <v>2</v>
      </c>
      <c r="D11" s="103">
        <v>26</v>
      </c>
      <c r="E11" s="101">
        <f>D11*B11</f>
        <v>41218.58</v>
      </c>
    </row>
    <row r="12" spans="1:5" hidden="1">
      <c r="A12" s="96" t="s">
        <v>537</v>
      </c>
      <c r="B12" s="97"/>
      <c r="C12" s="98"/>
      <c r="D12" s="103">
        <v>27.5</v>
      </c>
      <c r="E12" s="101">
        <f>D12*B12</f>
        <v>0</v>
      </c>
    </row>
    <row r="13" spans="1:5">
      <c r="A13" s="96"/>
      <c r="B13" s="97"/>
      <c r="C13" s="98"/>
      <c r="D13" s="94" t="s">
        <v>538</v>
      </c>
      <c r="E13" s="109">
        <f>SUM(E10:E12)</f>
        <v>461501.576</v>
      </c>
    </row>
    <row r="14" spans="1:5">
      <c r="A14" s="91"/>
      <c r="B14" s="119"/>
      <c r="C14" s="120"/>
      <c r="D14" s="103"/>
      <c r="E14" s="121"/>
    </row>
    <row r="15" spans="1:5">
      <c r="A15" s="91" t="s">
        <v>539</v>
      </c>
      <c r="B15" s="92"/>
      <c r="C15" s="115"/>
      <c r="D15" s="103"/>
      <c r="E15" s="121"/>
    </row>
    <row r="16" spans="1:5" hidden="1">
      <c r="A16" s="96" t="s">
        <v>540</v>
      </c>
      <c r="B16" s="97"/>
      <c r="C16" s="122"/>
      <c r="D16" s="99">
        <v>46</v>
      </c>
      <c r="E16" s="123">
        <f>D16*B16</f>
        <v>0</v>
      </c>
    </row>
    <row r="17" spans="1:5" hidden="1">
      <c r="A17" s="96" t="s">
        <v>98</v>
      </c>
      <c r="B17" s="97"/>
      <c r="C17" s="122"/>
      <c r="D17" s="99">
        <v>30</v>
      </c>
      <c r="E17" s="101">
        <f>D17*B17</f>
        <v>0</v>
      </c>
    </row>
    <row r="18" spans="1:5">
      <c r="A18" s="107" t="s">
        <v>23</v>
      </c>
      <c r="B18" s="6">
        <f>316</f>
        <v>316</v>
      </c>
      <c r="C18" s="6"/>
      <c r="D18" s="66">
        <v>42</v>
      </c>
      <c r="E18" s="101">
        <f>D18*B18</f>
        <v>13272</v>
      </c>
    </row>
    <row r="19" spans="1:5" hidden="1">
      <c r="A19" s="96" t="s">
        <v>541</v>
      </c>
      <c r="B19" s="6"/>
      <c r="C19" s="6"/>
      <c r="D19" s="66">
        <v>11</v>
      </c>
      <c r="E19" s="101">
        <f t="shared" ref="E19:E51" si="0">D19*B19</f>
        <v>0</v>
      </c>
    </row>
    <row r="20" spans="1:5">
      <c r="A20" s="96" t="s">
        <v>101</v>
      </c>
      <c r="B20" s="6">
        <f>734+143.5+107.5+71.5+54.28</f>
        <v>1110.78</v>
      </c>
      <c r="C20" s="6"/>
      <c r="D20" s="66">
        <v>39</v>
      </c>
      <c r="E20" s="101">
        <f t="shared" si="0"/>
        <v>43320.42</v>
      </c>
    </row>
    <row r="21" spans="1:5">
      <c r="A21" s="96" t="s">
        <v>542</v>
      </c>
      <c r="B21" s="117">
        <v>288</v>
      </c>
      <c r="C21" s="6"/>
      <c r="D21" s="66">
        <v>36</v>
      </c>
      <c r="E21" s="101">
        <f t="shared" si="0"/>
        <v>10368</v>
      </c>
    </row>
    <row r="22" spans="1:5">
      <c r="A22" s="96" t="s">
        <v>543</v>
      </c>
      <c r="B22" s="117">
        <f>943.9+891.3</f>
        <v>1835.1999999999998</v>
      </c>
      <c r="C22" s="6">
        <v>2</v>
      </c>
      <c r="D22" s="66">
        <v>31.5</v>
      </c>
      <c r="E22" s="101">
        <f t="shared" si="0"/>
        <v>57808.799999999996</v>
      </c>
    </row>
    <row r="23" spans="1:5" hidden="1">
      <c r="A23" s="96" t="s">
        <v>50</v>
      </c>
      <c r="B23" s="117"/>
      <c r="C23" s="6"/>
      <c r="D23" s="66">
        <v>57</v>
      </c>
      <c r="E23" s="101">
        <f t="shared" si="0"/>
        <v>0</v>
      </c>
    </row>
    <row r="24" spans="1:5">
      <c r="A24" s="96" t="s">
        <v>82</v>
      </c>
      <c r="B24" s="117">
        <v>29</v>
      </c>
      <c r="C24" s="6">
        <v>0.5</v>
      </c>
      <c r="D24" s="66">
        <v>39</v>
      </c>
      <c r="E24" s="101">
        <f t="shared" si="0"/>
        <v>1131</v>
      </c>
    </row>
    <row r="25" spans="1:5">
      <c r="A25" s="96" t="s">
        <v>544</v>
      </c>
      <c r="B25" s="117">
        <f>73.5+664+22.86+771-99+130.5</f>
        <v>1562.8600000000001</v>
      </c>
      <c r="C25" s="6"/>
      <c r="D25" s="66">
        <v>20</v>
      </c>
      <c r="E25" s="101">
        <f t="shared" si="0"/>
        <v>31257.200000000004</v>
      </c>
    </row>
    <row r="26" spans="1:5">
      <c r="A26" s="96" t="s">
        <v>545</v>
      </c>
      <c r="B26" s="117">
        <f>331+132+67.5+120.5+768+62.5+43</f>
        <v>1524.5</v>
      </c>
      <c r="C26" s="6"/>
      <c r="D26" s="66">
        <v>16</v>
      </c>
      <c r="E26" s="101">
        <f>D26*B26</f>
        <v>24392</v>
      </c>
    </row>
    <row r="27" spans="1:5">
      <c r="A27" s="96" t="s">
        <v>25</v>
      </c>
      <c r="B27" s="117">
        <f>533.5+733+554.5+826.5+311+812+126+799.5-250+476.5+644.5-244+235.5</f>
        <v>5558.5</v>
      </c>
      <c r="C27" s="6"/>
      <c r="D27" s="66">
        <v>12</v>
      </c>
      <c r="E27" s="101">
        <f t="shared" si="0"/>
        <v>66702</v>
      </c>
    </row>
    <row r="28" spans="1:5">
      <c r="A28" s="96" t="s">
        <v>108</v>
      </c>
      <c r="B28" s="117">
        <f>338.5+599+548.5+373.5+273.5+69.9+55+67.1+64.1+108.7+84+44.4+87.1+97.9+75.2+99.4+43.9+57.4+62.9</f>
        <v>3150</v>
      </c>
      <c r="C28" s="117"/>
      <c r="D28" s="66">
        <v>17</v>
      </c>
      <c r="E28" s="101">
        <f t="shared" si="0"/>
        <v>53550</v>
      </c>
    </row>
    <row r="29" spans="1:5">
      <c r="A29" s="96" t="s">
        <v>546</v>
      </c>
      <c r="B29" s="6">
        <v>51.5</v>
      </c>
      <c r="C29" s="6"/>
      <c r="D29" s="66">
        <v>22</v>
      </c>
      <c r="E29" s="101">
        <f t="shared" si="0"/>
        <v>1133</v>
      </c>
    </row>
    <row r="30" spans="1:5" hidden="1">
      <c r="A30" s="96" t="s">
        <v>547</v>
      </c>
      <c r="B30" s="117"/>
      <c r="C30" s="6"/>
      <c r="D30" s="66">
        <v>25</v>
      </c>
      <c r="E30" s="101">
        <f t="shared" si="0"/>
        <v>0</v>
      </c>
    </row>
    <row r="31" spans="1:5">
      <c r="A31" s="96" t="s">
        <v>548</v>
      </c>
      <c r="B31" s="117">
        <f>801.5+389+862.5+319+92.5+70+81.5+271+221.5+32</f>
        <v>3140.5</v>
      </c>
      <c r="C31" s="6"/>
      <c r="D31" s="66">
        <v>34</v>
      </c>
      <c r="E31" s="101">
        <f t="shared" si="0"/>
        <v>106777</v>
      </c>
    </row>
    <row r="32" spans="1:5" hidden="1">
      <c r="A32" s="96" t="s">
        <v>549</v>
      </c>
      <c r="B32" s="117"/>
      <c r="C32" s="6"/>
      <c r="D32" s="66">
        <v>31</v>
      </c>
      <c r="E32" s="101">
        <f t="shared" si="0"/>
        <v>0</v>
      </c>
    </row>
    <row r="33" spans="1:5">
      <c r="A33" s="96" t="s">
        <v>550</v>
      </c>
      <c r="B33" s="6">
        <f>697+318+558+201.5+479+712+403+528+346.5+350.5+626+422.5+108+279+36.5</f>
        <v>6065.5</v>
      </c>
      <c r="C33" s="6"/>
      <c r="D33" s="66">
        <v>32</v>
      </c>
      <c r="E33" s="101">
        <f t="shared" si="0"/>
        <v>194096</v>
      </c>
    </row>
    <row r="34" spans="1:5" hidden="1">
      <c r="A34" s="96" t="s">
        <v>551</v>
      </c>
      <c r="B34" s="6"/>
      <c r="C34" s="6"/>
      <c r="D34" s="66">
        <v>18</v>
      </c>
      <c r="E34" s="101">
        <f t="shared" si="0"/>
        <v>0</v>
      </c>
    </row>
    <row r="35" spans="1:5">
      <c r="A35" s="96" t="s">
        <v>552</v>
      </c>
      <c r="B35" s="117">
        <f>125.5+78.5+11.5+4+2+28.18</f>
        <v>249.68</v>
      </c>
      <c r="C35" s="117"/>
      <c r="D35" s="66">
        <v>50</v>
      </c>
      <c r="E35" s="101">
        <f t="shared" si="0"/>
        <v>12484</v>
      </c>
    </row>
    <row r="36" spans="1:5">
      <c r="A36" s="96" t="s">
        <v>118</v>
      </c>
      <c r="B36" s="117">
        <f>1014+492.5+1074.5+162+115+43</f>
        <v>2901</v>
      </c>
      <c r="C36" s="6"/>
      <c r="D36" s="66">
        <v>13</v>
      </c>
      <c r="E36" s="101">
        <f t="shared" si="0"/>
        <v>37713</v>
      </c>
    </row>
    <row r="37" spans="1:5">
      <c r="A37" s="96" t="s">
        <v>553</v>
      </c>
      <c r="B37" s="117">
        <f>137+174.5+163.5+384.5+126</f>
        <v>985.5</v>
      </c>
      <c r="C37" s="117"/>
      <c r="D37" s="66">
        <v>36</v>
      </c>
      <c r="E37" s="101">
        <f t="shared" si="0"/>
        <v>35478</v>
      </c>
    </row>
    <row r="38" spans="1:5">
      <c r="A38" s="96" t="s">
        <v>554</v>
      </c>
      <c r="B38" s="117">
        <f>270+199+115</f>
        <v>584</v>
      </c>
      <c r="C38" s="117"/>
      <c r="D38" s="66">
        <v>34</v>
      </c>
      <c r="E38" s="101">
        <f t="shared" si="0"/>
        <v>19856</v>
      </c>
    </row>
    <row r="39" spans="1:5">
      <c r="A39" s="96" t="s">
        <v>555</v>
      </c>
      <c r="B39" s="117">
        <f>72.5+533</f>
        <v>605.5</v>
      </c>
      <c r="C39" s="117"/>
      <c r="D39" s="66">
        <v>36</v>
      </c>
      <c r="E39" s="101">
        <f t="shared" si="0"/>
        <v>21798</v>
      </c>
    </row>
    <row r="40" spans="1:5" hidden="1">
      <c r="A40" s="96" t="s">
        <v>556</v>
      </c>
      <c r="B40" s="117"/>
      <c r="C40" s="117"/>
      <c r="D40" s="66">
        <v>35</v>
      </c>
      <c r="E40" s="101">
        <f t="shared" si="0"/>
        <v>0</v>
      </c>
    </row>
    <row r="41" spans="1:5">
      <c r="A41" s="96" t="s">
        <v>40</v>
      </c>
      <c r="B41" s="117">
        <f>179+78</f>
        <v>257</v>
      </c>
      <c r="C41" s="117"/>
      <c r="D41" s="66">
        <v>37</v>
      </c>
      <c r="E41" s="101">
        <f t="shared" si="0"/>
        <v>9509</v>
      </c>
    </row>
    <row r="42" spans="1:5">
      <c r="A42" s="96" t="s">
        <v>27</v>
      </c>
      <c r="B42" s="117">
        <f>450.5+37.5+73+37</f>
        <v>598</v>
      </c>
      <c r="C42" s="6"/>
      <c r="D42" s="66">
        <v>22</v>
      </c>
      <c r="E42" s="101">
        <f t="shared" si="0"/>
        <v>13156</v>
      </c>
    </row>
    <row r="43" spans="1:5">
      <c r="A43" s="96" t="s">
        <v>557</v>
      </c>
      <c r="B43" s="117">
        <f>284+677+459.5+175+35+7.5</f>
        <v>1638</v>
      </c>
      <c r="C43" s="117"/>
      <c r="D43" s="66">
        <v>16</v>
      </c>
      <c r="E43" s="101">
        <f t="shared" si="0"/>
        <v>26208</v>
      </c>
    </row>
    <row r="44" spans="1:5">
      <c r="A44" s="96" t="s">
        <v>44</v>
      </c>
      <c r="B44" s="117">
        <f>390+20.5+234</f>
        <v>644.5</v>
      </c>
      <c r="C44" s="117"/>
      <c r="D44" s="66">
        <v>44</v>
      </c>
      <c r="E44" s="101">
        <f t="shared" si="0"/>
        <v>28358</v>
      </c>
    </row>
    <row r="45" spans="1:5" hidden="1">
      <c r="A45" s="96" t="s">
        <v>558</v>
      </c>
      <c r="B45" s="117"/>
      <c r="C45" s="117"/>
      <c r="D45" s="66">
        <v>32</v>
      </c>
      <c r="E45" s="101">
        <f t="shared" si="0"/>
        <v>0</v>
      </c>
    </row>
    <row r="46" spans="1:5" hidden="1">
      <c r="A46" s="96" t="s">
        <v>28</v>
      </c>
      <c r="B46" s="117"/>
      <c r="C46" s="117"/>
      <c r="D46" s="66">
        <v>28.5</v>
      </c>
      <c r="E46" s="101">
        <f t="shared" si="0"/>
        <v>0</v>
      </c>
    </row>
    <row r="47" spans="1:5" hidden="1">
      <c r="A47" s="96" t="s">
        <v>559</v>
      </c>
      <c r="B47" s="117"/>
      <c r="C47" s="117"/>
      <c r="D47" s="66">
        <v>45</v>
      </c>
      <c r="E47" s="101">
        <f t="shared" si="0"/>
        <v>0</v>
      </c>
    </row>
    <row r="48" spans="1:5" hidden="1">
      <c r="A48" s="96" t="s">
        <v>560</v>
      </c>
      <c r="B48" s="117"/>
      <c r="C48" s="117"/>
      <c r="D48" s="66">
        <v>28</v>
      </c>
      <c r="E48" s="101">
        <f t="shared" si="0"/>
        <v>0</v>
      </c>
    </row>
    <row r="49" spans="1:5" hidden="1">
      <c r="A49" s="96" t="s">
        <v>561</v>
      </c>
      <c r="B49" s="117"/>
      <c r="C49" s="117"/>
      <c r="D49" s="66">
        <v>2</v>
      </c>
      <c r="E49" s="101">
        <f t="shared" si="0"/>
        <v>0</v>
      </c>
    </row>
    <row r="50" spans="1:5" hidden="1">
      <c r="A50" s="96" t="s">
        <v>88</v>
      </c>
      <c r="B50" s="117"/>
      <c r="C50" s="117"/>
      <c r="D50" s="66">
        <v>61</v>
      </c>
      <c r="E50" s="101">
        <f t="shared" si="0"/>
        <v>0</v>
      </c>
    </row>
    <row r="51" spans="1:5">
      <c r="A51" s="96" t="s">
        <v>145</v>
      </c>
      <c r="B51" s="117">
        <f>331.5+486.5+37-100+18.5</f>
        <v>773.5</v>
      </c>
      <c r="C51" s="6"/>
      <c r="D51" s="66">
        <v>10</v>
      </c>
      <c r="E51" s="101">
        <f t="shared" si="0"/>
        <v>7735</v>
      </c>
    </row>
    <row r="52" spans="1:5">
      <c r="A52" s="107"/>
      <c r="B52" s="6"/>
      <c r="C52" s="6"/>
      <c r="D52" s="124" t="s">
        <v>538</v>
      </c>
      <c r="E52" s="109">
        <f>SUM(E18:E51)</f>
        <v>816102.42</v>
      </c>
    </row>
    <row r="53" spans="1:5">
      <c r="A53" s="107"/>
      <c r="B53" s="6"/>
      <c r="C53" s="6"/>
      <c r="D53" s="66"/>
      <c r="E53" s="101"/>
    </row>
    <row r="54" spans="1:5">
      <c r="A54" s="107"/>
      <c r="B54" s="6"/>
      <c r="C54" s="6"/>
      <c r="D54" s="108" t="s">
        <v>45</v>
      </c>
      <c r="E54" s="109">
        <f>E52+E13</f>
        <v>1277603.996</v>
      </c>
    </row>
    <row r="55" spans="1:5" ht="13.5" thickBot="1">
      <c r="A55" s="110"/>
      <c r="B55" s="111"/>
      <c r="C55" s="111"/>
      <c r="D55" s="112"/>
      <c r="E55" s="113"/>
    </row>
    <row r="56" spans="1:5" ht="13.5" thickTop="1">
      <c r="A56" s="114"/>
      <c r="B56" s="88"/>
      <c r="C56" s="88"/>
      <c r="D56" s="89"/>
      <c r="E56" s="90"/>
    </row>
    <row r="57" spans="1:5">
      <c r="A57" s="91" t="s">
        <v>4</v>
      </c>
      <c r="B57" s="64"/>
      <c r="C57" s="6"/>
      <c r="D57" s="66"/>
      <c r="E57" s="101"/>
    </row>
    <row r="58" spans="1:5">
      <c r="A58" s="91" t="s">
        <v>562</v>
      </c>
      <c r="B58" s="92" t="s">
        <v>19</v>
      </c>
      <c r="C58" s="115" t="s">
        <v>20</v>
      </c>
      <c r="D58" s="94" t="s">
        <v>21</v>
      </c>
      <c r="E58" s="95" t="s">
        <v>34</v>
      </c>
    </row>
    <row r="59" spans="1:5">
      <c r="A59" s="107" t="s">
        <v>563</v>
      </c>
      <c r="B59" s="6">
        <f>163+262</f>
        <v>425</v>
      </c>
      <c r="C59" s="6">
        <v>3</v>
      </c>
      <c r="D59" s="66">
        <v>35</v>
      </c>
      <c r="E59" s="101">
        <f>D59*B59</f>
        <v>14875</v>
      </c>
    </row>
    <row r="60" spans="1:5" hidden="1">
      <c r="A60" s="107" t="s">
        <v>563</v>
      </c>
      <c r="B60" s="6"/>
      <c r="C60" s="6"/>
      <c r="D60" s="66">
        <v>35.5</v>
      </c>
      <c r="E60" s="101">
        <f>D60*B60</f>
        <v>0</v>
      </c>
    </row>
    <row r="61" spans="1:5" hidden="1">
      <c r="A61" s="107" t="s">
        <v>564</v>
      </c>
      <c r="B61" s="6"/>
      <c r="C61" s="6"/>
      <c r="D61" s="66">
        <v>36</v>
      </c>
      <c r="E61" s="101">
        <f>D61*B61</f>
        <v>0</v>
      </c>
    </row>
    <row r="62" spans="1:5" hidden="1">
      <c r="A62" s="107" t="s">
        <v>565</v>
      </c>
      <c r="B62" s="6"/>
      <c r="C62" s="117"/>
      <c r="D62" s="66">
        <v>34</v>
      </c>
      <c r="E62" s="101">
        <f>D62*B62</f>
        <v>0</v>
      </c>
    </row>
    <row r="63" spans="1:5">
      <c r="A63" s="107"/>
      <c r="B63" s="6"/>
      <c r="C63" s="6"/>
      <c r="D63" s="124" t="s">
        <v>538</v>
      </c>
      <c r="E63" s="109">
        <f>SUM(E59:E62)</f>
        <v>14875</v>
      </c>
    </row>
    <row r="64" spans="1:5" hidden="1">
      <c r="A64" s="107"/>
      <c r="B64" s="6"/>
      <c r="C64" s="6"/>
      <c r="D64" s="66"/>
      <c r="E64" s="101"/>
    </row>
    <row r="65" spans="1:5" hidden="1">
      <c r="A65" s="91" t="s">
        <v>566</v>
      </c>
      <c r="B65" s="6"/>
      <c r="C65" s="6"/>
      <c r="D65" s="66"/>
      <c r="E65" s="101"/>
    </row>
    <row r="66" spans="1:5" hidden="1">
      <c r="A66" s="107" t="s">
        <v>567</v>
      </c>
      <c r="B66" s="6"/>
      <c r="C66" s="6"/>
      <c r="D66" s="66">
        <v>34</v>
      </c>
      <c r="E66" s="101">
        <f>D66*B66</f>
        <v>0</v>
      </c>
    </row>
    <row r="67" spans="1:5" hidden="1">
      <c r="A67" s="107"/>
      <c r="B67" s="6"/>
      <c r="C67" s="6"/>
      <c r="D67" s="124" t="s">
        <v>538</v>
      </c>
      <c r="E67" s="109">
        <f>SUM(E66)</f>
        <v>0</v>
      </c>
    </row>
    <row r="68" spans="1:5">
      <c r="A68" s="107"/>
      <c r="B68" s="6"/>
      <c r="C68" s="6"/>
      <c r="D68" s="66"/>
      <c r="E68" s="101"/>
    </row>
    <row r="69" spans="1:5">
      <c r="A69" s="107"/>
      <c r="B69" s="6"/>
      <c r="C69" s="6"/>
      <c r="D69" s="108" t="s">
        <v>568</v>
      </c>
      <c r="E69" s="109">
        <f>E67+E63</f>
        <v>14875</v>
      </c>
    </row>
    <row r="70" spans="1:5" ht="13.5" thickBot="1">
      <c r="A70" s="110"/>
      <c r="B70" s="111"/>
      <c r="C70" s="111"/>
      <c r="D70" s="112"/>
      <c r="E70" s="113"/>
    </row>
    <row r="71" spans="1:5" ht="13.5" thickTop="1">
      <c r="A71" s="114"/>
      <c r="B71" s="88"/>
      <c r="C71" s="88"/>
      <c r="D71" s="89"/>
      <c r="E71" s="90"/>
    </row>
    <row r="72" spans="1:5">
      <c r="A72" s="91" t="s">
        <v>4</v>
      </c>
      <c r="B72" s="64"/>
      <c r="C72" s="6"/>
      <c r="D72" s="66"/>
      <c r="E72" s="101"/>
    </row>
    <row r="73" spans="1:5">
      <c r="A73" s="91" t="s">
        <v>46</v>
      </c>
      <c r="B73" s="92" t="s">
        <v>19</v>
      </c>
      <c r="C73" s="115" t="s">
        <v>47</v>
      </c>
      <c r="D73" s="94" t="s">
        <v>21</v>
      </c>
      <c r="E73" s="95" t="s">
        <v>34</v>
      </c>
    </row>
    <row r="74" spans="1:5">
      <c r="A74" s="107" t="s">
        <v>48</v>
      </c>
      <c r="B74" s="6">
        <f>10*C74</f>
        <v>200</v>
      </c>
      <c r="C74" s="6">
        <v>20</v>
      </c>
      <c r="D74" s="66">
        <v>37</v>
      </c>
      <c r="E74" s="101">
        <f t="shared" ref="E74:E88" si="1">D74*B74</f>
        <v>7400</v>
      </c>
    </row>
    <row r="75" spans="1:5" hidden="1">
      <c r="A75" s="107" t="s">
        <v>49</v>
      </c>
      <c r="B75" s="6"/>
      <c r="C75" s="6"/>
      <c r="D75" s="66">
        <v>14</v>
      </c>
      <c r="E75" s="101">
        <f t="shared" si="1"/>
        <v>0</v>
      </c>
    </row>
    <row r="76" spans="1:5">
      <c r="A76" s="107" t="s">
        <v>91</v>
      </c>
      <c r="B76" s="6">
        <v>597.4</v>
      </c>
      <c r="C76" s="6">
        <v>23</v>
      </c>
      <c r="D76" s="66">
        <v>51</v>
      </c>
      <c r="E76" s="101">
        <f t="shared" si="1"/>
        <v>30467.399999999998</v>
      </c>
    </row>
    <row r="77" spans="1:5" hidden="1">
      <c r="A77" s="107" t="s">
        <v>24</v>
      </c>
      <c r="B77" s="6"/>
      <c r="C77" s="6"/>
      <c r="D77" s="66">
        <v>34</v>
      </c>
      <c r="E77" s="101">
        <f t="shared" si="1"/>
        <v>0</v>
      </c>
    </row>
    <row r="78" spans="1:5">
      <c r="A78" s="107" t="s">
        <v>92</v>
      </c>
      <c r="B78" s="6">
        <v>746.3</v>
      </c>
      <c r="C78" s="117">
        <v>39</v>
      </c>
      <c r="D78" s="66">
        <v>34</v>
      </c>
      <c r="E78" s="101">
        <f t="shared" si="1"/>
        <v>25374.199999999997</v>
      </c>
    </row>
    <row r="79" spans="1:5">
      <c r="A79" s="107" t="s">
        <v>106</v>
      </c>
      <c r="B79" s="6">
        <f>13.61*C79</f>
        <v>13.61</v>
      </c>
      <c r="C79" s="117">
        <v>1</v>
      </c>
      <c r="D79" s="66">
        <v>33.5</v>
      </c>
      <c r="E79" s="101">
        <f t="shared" si="1"/>
        <v>455.935</v>
      </c>
    </row>
    <row r="80" spans="1:5" hidden="1">
      <c r="A80" s="107" t="s">
        <v>52</v>
      </c>
      <c r="B80" s="6"/>
      <c r="C80" s="117"/>
      <c r="D80" s="66">
        <v>26</v>
      </c>
      <c r="E80" s="101">
        <f t="shared" si="1"/>
        <v>0</v>
      </c>
    </row>
    <row r="81" spans="1:5">
      <c r="A81" s="107" t="s">
        <v>569</v>
      </c>
      <c r="B81" s="6">
        <f>27.22*C81</f>
        <v>435.52</v>
      </c>
      <c r="C81" s="117">
        <v>16</v>
      </c>
      <c r="D81" s="66">
        <v>18</v>
      </c>
      <c r="E81" s="101">
        <f t="shared" si="1"/>
        <v>7839.36</v>
      </c>
    </row>
    <row r="82" spans="1:5" hidden="1">
      <c r="A82" s="107" t="s">
        <v>570</v>
      </c>
      <c r="B82" s="6"/>
      <c r="C82" s="6"/>
      <c r="D82" s="66">
        <v>13</v>
      </c>
      <c r="E82" s="101">
        <f t="shared" si="1"/>
        <v>0</v>
      </c>
    </row>
    <row r="83" spans="1:5" hidden="1">
      <c r="A83" s="107" t="s">
        <v>571</v>
      </c>
      <c r="B83" s="6"/>
      <c r="C83" s="117"/>
      <c r="D83" s="66">
        <v>64</v>
      </c>
      <c r="E83" s="101">
        <f t="shared" si="1"/>
        <v>0</v>
      </c>
    </row>
    <row r="84" spans="1:5">
      <c r="A84" s="107" t="s">
        <v>572</v>
      </c>
      <c r="B84" s="6">
        <f>982.32+196.58</f>
        <v>1178.9000000000001</v>
      </c>
      <c r="C84" s="117">
        <v>57</v>
      </c>
      <c r="D84" s="66">
        <v>64</v>
      </c>
      <c r="E84" s="101">
        <f t="shared" si="1"/>
        <v>75449.600000000006</v>
      </c>
    </row>
    <row r="85" spans="1:5">
      <c r="A85" s="107" t="s">
        <v>30</v>
      </c>
      <c r="B85" s="6">
        <f>20*C85</f>
        <v>20</v>
      </c>
      <c r="C85" s="117">
        <v>1</v>
      </c>
      <c r="D85" s="66">
        <v>48</v>
      </c>
      <c r="E85" s="101">
        <f t="shared" si="1"/>
        <v>960</v>
      </c>
    </row>
    <row r="86" spans="1:5">
      <c r="A86" s="107" t="s">
        <v>58</v>
      </c>
      <c r="B86" s="6">
        <f>13.61*C86</f>
        <v>666.89</v>
      </c>
      <c r="C86" s="117">
        <v>49</v>
      </c>
      <c r="D86" s="66">
        <v>40</v>
      </c>
      <c r="E86" s="101">
        <f t="shared" si="1"/>
        <v>26675.599999999999</v>
      </c>
    </row>
    <row r="87" spans="1:5">
      <c r="A87" s="107" t="s">
        <v>59</v>
      </c>
      <c r="B87" s="6">
        <f>27.22*C87</f>
        <v>898.26</v>
      </c>
      <c r="C87" s="117">
        <v>33</v>
      </c>
      <c r="D87" s="66">
        <v>21</v>
      </c>
      <c r="E87" s="101">
        <f t="shared" si="1"/>
        <v>18863.46</v>
      </c>
    </row>
    <row r="88" spans="1:5" hidden="1">
      <c r="A88" s="107" t="s">
        <v>60</v>
      </c>
      <c r="B88" s="6"/>
      <c r="C88" s="117"/>
      <c r="D88" s="66">
        <v>19</v>
      </c>
      <c r="E88" s="101">
        <f t="shared" si="1"/>
        <v>0</v>
      </c>
    </row>
    <row r="89" spans="1:5">
      <c r="A89" s="107" t="s">
        <v>29</v>
      </c>
      <c r="B89" s="6">
        <f>13.61*C89</f>
        <v>313.02999999999997</v>
      </c>
      <c r="C89" s="117">
        <v>23</v>
      </c>
      <c r="D89" s="66">
        <v>35</v>
      </c>
      <c r="E89" s="101">
        <f>D89*B89</f>
        <v>10956.05</v>
      </c>
    </row>
    <row r="90" spans="1:5">
      <c r="A90" s="107" t="s">
        <v>62</v>
      </c>
      <c r="B90" s="6">
        <f>5.44*C90</f>
        <v>772.48</v>
      </c>
      <c r="C90" s="117">
        <v>142</v>
      </c>
      <c r="D90" s="66">
        <v>280</v>
      </c>
      <c r="E90" s="101">
        <f>D90*C90</f>
        <v>39760</v>
      </c>
    </row>
    <row r="91" spans="1:5">
      <c r="A91" s="107"/>
      <c r="B91" s="6"/>
      <c r="C91" s="6"/>
      <c r="D91" s="66"/>
      <c r="E91" s="101"/>
    </row>
    <row r="92" spans="1:5">
      <c r="A92" s="107"/>
      <c r="B92" s="6"/>
      <c r="C92" s="6"/>
      <c r="D92" s="108" t="s">
        <v>64</v>
      </c>
      <c r="E92" s="109">
        <f>SUM(E74:E91)</f>
        <v>244201.60499999998</v>
      </c>
    </row>
    <row r="93" spans="1:5" ht="13.5" thickBot="1">
      <c r="A93" s="110"/>
      <c r="B93" s="111"/>
      <c r="C93" s="111"/>
      <c r="D93" s="112"/>
      <c r="E93" s="113"/>
    </row>
    <row r="94" spans="1:5" ht="12.75" customHeight="1" thickTop="1">
      <c r="A94" s="107"/>
      <c r="B94" s="6"/>
      <c r="C94" s="6"/>
      <c r="D94" s="66"/>
      <c r="E94" s="101"/>
    </row>
    <row r="95" spans="1:5">
      <c r="A95" s="91" t="s">
        <v>573</v>
      </c>
      <c r="B95" s="92" t="s">
        <v>19</v>
      </c>
      <c r="C95" s="115" t="s">
        <v>47</v>
      </c>
      <c r="D95" s="94" t="s">
        <v>21</v>
      </c>
      <c r="E95" s="95" t="s">
        <v>34</v>
      </c>
    </row>
    <row r="96" spans="1:5">
      <c r="A96" s="107" t="s">
        <v>26</v>
      </c>
      <c r="B96" s="6">
        <v>10</v>
      </c>
      <c r="C96" s="6"/>
      <c r="D96" s="66">
        <v>13</v>
      </c>
      <c r="E96" s="101">
        <f>D96*B96</f>
        <v>130</v>
      </c>
    </row>
    <row r="97" spans="1:5">
      <c r="A97" s="107" t="s">
        <v>147</v>
      </c>
      <c r="B97" s="6">
        <v>153.5</v>
      </c>
      <c r="C97" s="6">
        <v>19</v>
      </c>
      <c r="D97" s="66">
        <v>38</v>
      </c>
      <c r="E97" s="101">
        <f>D97*B97</f>
        <v>5833</v>
      </c>
    </row>
    <row r="98" spans="1:5">
      <c r="A98" s="107" t="s">
        <v>574</v>
      </c>
      <c r="B98" s="6">
        <f>355.85+593.61+651+630.85</f>
        <v>2231.31</v>
      </c>
      <c r="C98" s="6">
        <v>113</v>
      </c>
      <c r="D98" s="66">
        <v>33</v>
      </c>
      <c r="E98" s="101">
        <f>D98*B98</f>
        <v>73633.23</v>
      </c>
    </row>
    <row r="99" spans="1:5">
      <c r="A99" s="107" t="s">
        <v>31</v>
      </c>
      <c r="B99" s="6"/>
      <c r="C99" s="6"/>
      <c r="D99" s="66">
        <v>44</v>
      </c>
      <c r="E99" s="101">
        <f>D99*B99</f>
        <v>0</v>
      </c>
    </row>
    <row r="100" spans="1:5">
      <c r="A100" s="107"/>
      <c r="B100" s="6"/>
      <c r="C100" s="6"/>
      <c r="D100" s="66"/>
      <c r="E100" s="101"/>
    </row>
    <row r="101" spans="1:5">
      <c r="A101" s="107"/>
      <c r="B101" s="6"/>
      <c r="C101" s="6"/>
      <c r="D101" s="108" t="s">
        <v>575</v>
      </c>
      <c r="E101" s="109">
        <f>SUM(E96:E100)</f>
        <v>79596.23</v>
      </c>
    </row>
    <row r="102" spans="1:5" ht="13.5" thickBot="1">
      <c r="A102" s="107"/>
      <c r="B102" s="6"/>
      <c r="C102" s="6"/>
      <c r="D102" s="66"/>
      <c r="E102" s="101"/>
    </row>
    <row r="103" spans="1:5" ht="13.5" thickTop="1">
      <c r="A103" s="114"/>
      <c r="B103" s="88"/>
      <c r="C103" s="88"/>
      <c r="D103" s="89"/>
      <c r="E103" s="90"/>
    </row>
    <row r="104" spans="1:5">
      <c r="A104" s="107"/>
      <c r="B104" s="6"/>
      <c r="C104" s="61"/>
      <c r="D104" s="108" t="s">
        <v>576</v>
      </c>
      <c r="E104" s="109">
        <f>E92+E69+E54+E101</f>
        <v>1616276.831</v>
      </c>
    </row>
    <row r="105" spans="1:5" ht="13.5" thickBot="1">
      <c r="A105" s="110"/>
      <c r="B105" s="111"/>
      <c r="C105" s="111"/>
      <c r="D105" s="112"/>
      <c r="E105" s="113"/>
    </row>
    <row r="106" spans="1:5" ht="13.5" thickTop="1"/>
  </sheetData>
  <phoneticPr fontId="8" type="noConversion"/>
  <pageMargins left="1.31" right="0.47" top="0.4" bottom="0.43" header="0" footer="0"/>
  <pageSetup scale="7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Deuda 31 dic</vt:lpstr>
      <vt:lpstr>compras dic 10</vt:lpstr>
      <vt:lpstr>Alm gral</vt:lpstr>
      <vt:lpstr>comp alm gral</vt:lpstr>
      <vt:lpstr>11 sur</vt:lpstr>
      <vt:lpstr>herradura</vt:lpstr>
      <vt:lpstr>congelados</vt:lpstr>
      <vt:lpstr>obrador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cic</cp:lastModifiedBy>
  <cp:lastPrinted>2011-01-10T20:48:25Z</cp:lastPrinted>
  <dcterms:created xsi:type="dcterms:W3CDTF">2010-10-05T16:12:50Z</dcterms:created>
  <dcterms:modified xsi:type="dcterms:W3CDTF">2011-01-10T20:49:18Z</dcterms:modified>
</cp:coreProperties>
</file>