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135" windowHeight="8130" firstSheet="9" activeTab="12"/>
  </bookViews>
  <sheets>
    <sheet name="CENTRAL 2014" sheetId="1" r:id="rId1"/>
    <sheet name="OBRADOR 2014" sheetId="2" r:id="rId2"/>
    <sheet name="CENTRAL 2015" sheetId="3" r:id="rId3"/>
    <sheet name="OBRADOR 2015" sheetId="4" r:id="rId4"/>
    <sheet name="Remodelacion Obrador-Central" sheetId="14" r:id="rId5"/>
    <sheet name="COMERCIO 2015" sheetId="5" r:id="rId6"/>
    <sheet name="11 SUR 2015" sheetId="11" r:id="rId7"/>
    <sheet name="PATIN Y MONTACARGA" sheetId="6" r:id="rId8"/>
    <sheet name="Gastos Elias y Pepe" sheetId="9" r:id="rId9"/>
    <sheet name="Hoja1" sheetId="7" r:id="rId10"/>
    <sheet name="Hoja2" sheetId="8" r:id="rId11"/>
    <sheet name="GASTOS VIAJES A TEHUACAN " sheetId="10" r:id="rId12"/>
    <sheet name="Hoja3" sheetId="12" r:id="rId13"/>
    <sheet name="Hoja4" sheetId="13" r:id="rId14"/>
    <sheet name="Hoja5" sheetId="15" r:id="rId15"/>
  </sheets>
  <calcPr calcId="144525"/>
</workbook>
</file>

<file path=xl/calcChain.xml><?xml version="1.0" encoding="utf-8"?>
<calcChain xmlns="http://schemas.openxmlformats.org/spreadsheetml/2006/main">
  <c r="G427" i="3" l="1"/>
  <c r="G426" i="3"/>
  <c r="G425" i="3"/>
  <c r="G424" i="3"/>
  <c r="B190" i="11"/>
  <c r="B189" i="11"/>
  <c r="B188" i="11" l="1"/>
  <c r="B187" i="11"/>
  <c r="F423" i="5" l="1"/>
  <c r="F422" i="5"/>
  <c r="F420" i="5"/>
  <c r="F427" i="5"/>
  <c r="F424" i="5"/>
  <c r="G428" i="3" l="1"/>
  <c r="H424" i="4"/>
  <c r="C424" i="4"/>
  <c r="B424" i="4"/>
  <c r="H423" i="4"/>
  <c r="G420" i="4"/>
  <c r="H420" i="4"/>
  <c r="C420" i="4"/>
  <c r="H419" i="4"/>
  <c r="C417" i="4" l="1"/>
  <c r="G416" i="4"/>
  <c r="H415" i="4"/>
  <c r="C415" i="4"/>
  <c r="H422" i="4"/>
  <c r="H421" i="4"/>
  <c r="H416" i="4"/>
  <c r="H414" i="4"/>
  <c r="H413" i="4"/>
  <c r="H393" i="4" l="1"/>
  <c r="G393" i="4"/>
  <c r="G390" i="4" l="1"/>
  <c r="H382" i="4"/>
  <c r="G423" i="4"/>
  <c r="C423" i="4"/>
  <c r="B423" i="4" l="1"/>
  <c r="C422" i="4" l="1"/>
  <c r="B422" i="4"/>
  <c r="G423" i="3"/>
  <c r="G422" i="3"/>
  <c r="G421" i="3"/>
  <c r="C421" i="4" l="1"/>
  <c r="B424" i="3"/>
  <c r="G417" i="3" l="1"/>
  <c r="B421" i="4"/>
  <c r="B420" i="4"/>
  <c r="B184" i="11"/>
  <c r="B183" i="11"/>
  <c r="F165" i="11"/>
  <c r="B182" i="11"/>
  <c r="B181" i="11"/>
  <c r="B180" i="11"/>
  <c r="B179" i="11" l="1"/>
  <c r="B178" i="11"/>
  <c r="B177" i="11"/>
  <c r="B176" i="11"/>
  <c r="B175" i="11"/>
  <c r="B174" i="11"/>
  <c r="B173" i="11"/>
  <c r="F172" i="11"/>
  <c r="D172" i="11"/>
  <c r="B172" i="11"/>
  <c r="B171" i="11"/>
  <c r="G420" i="3"/>
  <c r="G419" i="3"/>
  <c r="G418" i="3"/>
  <c r="F421" i="5"/>
  <c r="F419" i="5"/>
  <c r="F417" i="5"/>
  <c r="F414" i="5"/>
  <c r="F413" i="5"/>
  <c r="F418" i="5"/>
  <c r="C419" i="4"/>
  <c r="B419" i="4" l="1"/>
  <c r="H418" i="4" l="1"/>
  <c r="C418" i="4"/>
  <c r="B418" i="4"/>
  <c r="H417" i="4"/>
  <c r="G417" i="4"/>
  <c r="B417" i="4"/>
  <c r="C416" i="4"/>
  <c r="B416" i="4"/>
  <c r="F27" i="14" l="1"/>
  <c r="F13" i="14"/>
  <c r="B415" i="4" l="1"/>
  <c r="C414" i="4"/>
  <c r="B414" i="4"/>
  <c r="G415" i="3" l="1"/>
  <c r="G414" i="3"/>
  <c r="G416" i="3"/>
  <c r="G413" i="3"/>
  <c r="C411" i="4"/>
  <c r="H411" i="4" l="1"/>
  <c r="H389" i="4"/>
  <c r="H379" i="4"/>
  <c r="C410" i="4"/>
  <c r="G409" i="4"/>
  <c r="C409" i="4"/>
  <c r="H407" i="4" l="1"/>
  <c r="H408" i="4"/>
  <c r="C408" i="4"/>
  <c r="H406" i="4"/>
  <c r="C406" i="4"/>
  <c r="G406" i="4"/>
  <c r="C405" i="4"/>
  <c r="C404" i="4"/>
  <c r="C388" i="4"/>
  <c r="H391" i="4"/>
  <c r="H390" i="4"/>
  <c r="C389" i="4" l="1"/>
  <c r="H386" i="4" l="1"/>
  <c r="G386" i="4"/>
  <c r="G383" i="4"/>
  <c r="C383" i="4"/>
  <c r="C364" i="4"/>
  <c r="C346" i="4"/>
  <c r="F412" i="5"/>
  <c r="F411" i="5"/>
  <c r="F410" i="5"/>
  <c r="F409" i="5"/>
  <c r="F408" i="5"/>
  <c r="F407" i="5"/>
  <c r="F406" i="5"/>
  <c r="F405" i="5"/>
  <c r="C413" i="4" l="1"/>
  <c r="B413" i="4"/>
  <c r="H412" i="4" l="1"/>
  <c r="C412" i="4"/>
  <c r="B412" i="4" l="1"/>
  <c r="D412" i="4" s="1"/>
  <c r="G411" i="4" l="1"/>
  <c r="B411" i="4"/>
  <c r="H410" i="4"/>
  <c r="B410" i="4"/>
  <c r="H409" i="4" l="1"/>
  <c r="B409" i="4" l="1"/>
  <c r="I408" i="4"/>
  <c r="B408" i="4"/>
  <c r="G412" i="3" l="1"/>
  <c r="G411" i="3" l="1"/>
  <c r="G410" i="3"/>
  <c r="G409" i="3"/>
  <c r="G408" i="3"/>
  <c r="G407" i="3"/>
  <c r="I409" i="4" l="1"/>
  <c r="D408" i="4"/>
  <c r="J408" i="4" s="1"/>
  <c r="D409" i="4"/>
  <c r="J409" i="4" s="1"/>
  <c r="D410" i="4"/>
  <c r="J410" i="4" s="1"/>
  <c r="C407" i="4"/>
  <c r="B407" i="4"/>
  <c r="B406" i="4"/>
  <c r="H405" i="4"/>
  <c r="B405" i="4"/>
  <c r="H404" i="4"/>
  <c r="B404" i="4"/>
  <c r="B170" i="11" l="1"/>
  <c r="B169" i="11"/>
  <c r="H403" i="4" l="1"/>
  <c r="C403" i="4"/>
  <c r="B403" i="4" l="1"/>
  <c r="C392" i="4" l="1"/>
  <c r="G391" i="4"/>
  <c r="C390" i="4"/>
  <c r="G406" i="3"/>
  <c r="G405" i="3"/>
  <c r="G394" i="3"/>
  <c r="B168" i="11"/>
  <c r="B167" i="11"/>
  <c r="F166" i="11"/>
  <c r="B166" i="11"/>
  <c r="B165" i="11" l="1"/>
  <c r="F155" i="11"/>
  <c r="B155" i="11"/>
  <c r="F392" i="5" l="1"/>
  <c r="F391" i="5"/>
  <c r="F390" i="5"/>
  <c r="F394" i="5"/>
  <c r="G392" i="3"/>
  <c r="C393" i="4"/>
  <c r="B393" i="4"/>
  <c r="H392" i="4"/>
  <c r="B392" i="4"/>
  <c r="G393" i="3" l="1"/>
  <c r="G391" i="3"/>
  <c r="H388" i="4"/>
  <c r="H385" i="4"/>
  <c r="H384" i="4"/>
  <c r="H383" i="4"/>
  <c r="H381" i="4"/>
  <c r="H344" i="4"/>
  <c r="C391" i="4" l="1"/>
  <c r="B391" i="4"/>
  <c r="H387" i="4"/>
  <c r="C386" i="4"/>
  <c r="C384" i="4"/>
  <c r="C381" i="4"/>
  <c r="H378" i="4"/>
  <c r="F388" i="5"/>
  <c r="F387" i="5"/>
  <c r="B390" i="4"/>
  <c r="B389" i="4" l="1"/>
  <c r="B388" i="4" l="1"/>
  <c r="B154" i="11"/>
  <c r="F150" i="11"/>
  <c r="F149" i="11"/>
  <c r="B153" i="11"/>
  <c r="G390" i="3" l="1"/>
  <c r="G389" i="3"/>
  <c r="G388" i="3"/>
  <c r="G387" i="3"/>
  <c r="G386" i="3"/>
  <c r="I195" i="2" l="1"/>
  <c r="B151" i="11"/>
  <c r="B152" i="11"/>
  <c r="F209" i="1"/>
  <c r="F202" i="1"/>
  <c r="F194" i="1"/>
  <c r="F386" i="5"/>
  <c r="F385" i="5"/>
  <c r="F384" i="5"/>
  <c r="F383" i="5"/>
  <c r="F382" i="5"/>
  <c r="F381" i="5"/>
  <c r="G385" i="3" l="1"/>
  <c r="B150" i="11" l="1"/>
  <c r="B149" i="11"/>
  <c r="B148" i="11"/>
  <c r="B147" i="11" l="1"/>
  <c r="B142" i="11"/>
  <c r="B141" i="11"/>
  <c r="H348" i="4"/>
  <c r="C387" i="4"/>
  <c r="C385" i="4"/>
  <c r="C382" i="4"/>
  <c r="G379" i="4" l="1"/>
  <c r="H374" i="4"/>
  <c r="G372" i="4"/>
  <c r="C339" i="4"/>
  <c r="B387" i="4"/>
  <c r="B386" i="4"/>
  <c r="B384" i="4" l="1"/>
  <c r="G384" i="3" l="1"/>
  <c r="G383" i="3"/>
  <c r="G382" i="3"/>
  <c r="C377" i="4"/>
  <c r="B385" i="4"/>
  <c r="H259" i="4"/>
  <c r="H258" i="4"/>
  <c r="H254" i="4"/>
  <c r="H253" i="4"/>
  <c r="H250" i="4"/>
  <c r="H249" i="4"/>
  <c r="H248" i="4"/>
  <c r="H247" i="4"/>
  <c r="H252" i="4"/>
  <c r="F380" i="5"/>
  <c r="F379" i="5"/>
  <c r="F378" i="5"/>
  <c r="F377" i="5"/>
  <c r="F376" i="5"/>
  <c r="F375" i="5"/>
  <c r="F374" i="5"/>
  <c r="F373" i="5"/>
  <c r="F372" i="5"/>
  <c r="G379" i="3"/>
  <c r="C363" i="4"/>
  <c r="C350" i="4"/>
  <c r="B146" i="11" l="1"/>
  <c r="B145" i="11"/>
  <c r="B144" i="11"/>
  <c r="B143" i="11"/>
  <c r="G381" i="3"/>
  <c r="G380" i="3"/>
  <c r="G378" i="3"/>
  <c r="C374" i="4"/>
  <c r="H327" i="4"/>
  <c r="H377" i="4"/>
  <c r="B383" i="4" l="1"/>
  <c r="D383" i="4" s="1"/>
  <c r="G382" i="4"/>
  <c r="B382" i="4"/>
  <c r="F371" i="5"/>
  <c r="B381" i="4"/>
  <c r="H380" i="4"/>
  <c r="G380" i="4"/>
  <c r="C380" i="4"/>
  <c r="B380" i="4"/>
  <c r="C379" i="4" l="1"/>
  <c r="B379" i="4"/>
  <c r="D379" i="4"/>
  <c r="D380" i="4"/>
  <c r="D381" i="4"/>
  <c r="D382" i="4"/>
  <c r="C378" i="4"/>
  <c r="G378" i="4"/>
  <c r="B378" i="4"/>
  <c r="B377" i="4"/>
  <c r="C376" i="4"/>
  <c r="H373" i="4"/>
  <c r="H372" i="4"/>
  <c r="G365" i="4"/>
  <c r="C371" i="4"/>
  <c r="G369" i="4"/>
  <c r="G377" i="3" l="1"/>
  <c r="G376" i="3"/>
  <c r="G375" i="3"/>
  <c r="H376" i="4" l="1"/>
  <c r="C375" i="4" l="1"/>
  <c r="H375" i="4"/>
  <c r="G373" i="4" l="1"/>
  <c r="C368" i="4"/>
  <c r="C367" i="4"/>
  <c r="G374" i="3"/>
  <c r="G373" i="3"/>
  <c r="B140" i="11"/>
  <c r="B139" i="11"/>
  <c r="B138" i="11"/>
  <c r="B137" i="11" l="1"/>
  <c r="B136" i="11"/>
  <c r="B135" i="11"/>
  <c r="B134" i="11"/>
  <c r="B133" i="11"/>
  <c r="B132" i="11"/>
  <c r="B131" i="11"/>
  <c r="B130" i="11"/>
  <c r="B129" i="11"/>
  <c r="F128" i="11"/>
  <c r="B128" i="11"/>
  <c r="B127" i="11"/>
  <c r="B126" i="11" l="1"/>
  <c r="B125" i="11"/>
  <c r="H369" i="4" l="1"/>
  <c r="H371" i="4"/>
  <c r="H370" i="4"/>
  <c r="H367" i="4"/>
  <c r="H365" i="4"/>
  <c r="H364" i="4"/>
  <c r="H363" i="4"/>
  <c r="G370" i="4"/>
  <c r="G376" i="4"/>
  <c r="B376" i="4" l="1"/>
  <c r="B375" i="4"/>
  <c r="G374" i="4" l="1"/>
  <c r="B374" i="4"/>
  <c r="H346" i="4"/>
  <c r="H345" i="4"/>
  <c r="B373" i="4" l="1"/>
  <c r="C372" i="4"/>
  <c r="B372" i="4"/>
  <c r="H368" i="4" l="1"/>
  <c r="C366" i="4"/>
  <c r="G352" i="4" l="1"/>
  <c r="C286" i="4"/>
  <c r="C271" i="4"/>
  <c r="C270" i="4"/>
  <c r="C268" i="4"/>
  <c r="C267" i="4"/>
  <c r="C265" i="4"/>
  <c r="G172" i="4" l="1"/>
  <c r="F370" i="5"/>
  <c r="F369" i="5"/>
  <c r="G372" i="3" l="1"/>
  <c r="G371" i="3"/>
  <c r="G370" i="3"/>
  <c r="G368" i="3"/>
  <c r="G367" i="3"/>
  <c r="G366" i="3"/>
  <c r="H349" i="4"/>
  <c r="F107" i="11" l="1"/>
  <c r="F104" i="11"/>
  <c r="B114" i="11"/>
  <c r="B113" i="11"/>
  <c r="B112" i="11"/>
  <c r="F111" i="11"/>
  <c r="B111" i="11"/>
  <c r="G371" i="4" l="1"/>
  <c r="B371" i="4"/>
  <c r="C370" i="4" l="1"/>
  <c r="B370" i="4"/>
  <c r="C369" i="4"/>
  <c r="B369" i="4" l="1"/>
  <c r="G353" i="3" l="1"/>
  <c r="C351" i="4"/>
  <c r="F366" i="5"/>
  <c r="H366" i="5" s="1"/>
  <c r="F367" i="5"/>
  <c r="H367" i="5" s="1"/>
  <c r="E366" i="5"/>
  <c r="E367" i="5"/>
  <c r="F365" i="5"/>
  <c r="F354" i="5"/>
  <c r="F353" i="5"/>
  <c r="F352" i="5"/>
  <c r="F350" i="5"/>
  <c r="F370" i="3"/>
  <c r="F371" i="3"/>
  <c r="F372" i="3"/>
  <c r="F373" i="3"/>
  <c r="G369" i="3"/>
  <c r="B368" i="4" l="1"/>
  <c r="G367" i="4"/>
  <c r="B367" i="4"/>
  <c r="H366" i="4"/>
  <c r="C352" i="4"/>
  <c r="H351" i="4"/>
  <c r="C349" i="4"/>
  <c r="C347" i="4"/>
  <c r="C344" i="4"/>
  <c r="G338" i="4" l="1"/>
  <c r="G270" i="3"/>
  <c r="C266" i="4"/>
  <c r="H288" i="4"/>
  <c r="H286" i="4"/>
  <c r="H284" i="4"/>
  <c r="H274" i="4"/>
  <c r="H270" i="4"/>
  <c r="H267" i="4"/>
  <c r="C263" i="4"/>
  <c r="C260" i="4"/>
  <c r="C310" i="4"/>
  <c r="D48" i="10"/>
  <c r="B366" i="4"/>
  <c r="C365" i="4"/>
  <c r="B365" i="4"/>
  <c r="B364" i="4"/>
  <c r="G363" i="4"/>
  <c r="B363" i="4"/>
  <c r="H352" i="4" l="1"/>
  <c r="B352" i="4"/>
  <c r="H350" i="4"/>
  <c r="E41" i="10"/>
  <c r="E48" i="10" s="1"/>
  <c r="G41" i="10"/>
  <c r="G48" i="10" s="1"/>
  <c r="H48" i="10" s="1"/>
  <c r="B351" i="4"/>
  <c r="G365" i="3"/>
  <c r="G354" i="3" l="1"/>
  <c r="B350" i="4" l="1"/>
  <c r="G349" i="4" l="1"/>
  <c r="B349" i="4" l="1"/>
  <c r="G348" i="4"/>
  <c r="G346" i="4"/>
  <c r="H343" i="4"/>
  <c r="H341" i="4"/>
  <c r="C343" i="4"/>
  <c r="G341" i="4"/>
  <c r="H340" i="4"/>
  <c r="C337" i="4"/>
  <c r="C336" i="4" l="1"/>
  <c r="C333" i="4"/>
  <c r="C325" i="4"/>
  <c r="C348" i="4" l="1"/>
  <c r="B348" i="4"/>
  <c r="H347" i="4" l="1"/>
  <c r="B347" i="4"/>
  <c r="B346" i="4" l="1"/>
  <c r="G345" i="4"/>
  <c r="C345" i="4"/>
  <c r="B345" i="4" l="1"/>
  <c r="G352" i="3" l="1"/>
  <c r="G351" i="3"/>
  <c r="G350" i="3"/>
  <c r="G349" i="3"/>
  <c r="G348" i="3"/>
  <c r="G347" i="3"/>
  <c r="F347" i="5"/>
  <c r="F346" i="5"/>
  <c r="F345" i="5"/>
  <c r="F349" i="5"/>
  <c r="F348" i="5"/>
  <c r="F344" i="5"/>
  <c r="F343" i="5"/>
  <c r="F342" i="5"/>
  <c r="F341" i="5"/>
  <c r="F340" i="5"/>
  <c r="F339" i="5"/>
  <c r="F338" i="5"/>
  <c r="B103" i="11"/>
  <c r="B88" i="11"/>
  <c r="B104" i="11"/>
  <c r="B110" i="11"/>
  <c r="G346" i="3" l="1"/>
  <c r="G345" i="3"/>
  <c r="G344" i="4"/>
  <c r="B344" i="4"/>
  <c r="B109" i="11" l="1"/>
  <c r="B108" i="11"/>
  <c r="B107" i="11"/>
  <c r="B106" i="11"/>
  <c r="B105" i="11"/>
  <c r="B102" i="11"/>
  <c r="B101" i="11"/>
  <c r="B100" i="11"/>
  <c r="B99" i="11"/>
  <c r="B98" i="11"/>
  <c r="F97" i="11"/>
  <c r="D97" i="11"/>
  <c r="B97" i="11"/>
  <c r="B96" i="11"/>
  <c r="B95" i="11"/>
  <c r="F94" i="11"/>
  <c r="B94" i="11"/>
  <c r="B93" i="11"/>
  <c r="B92" i="11"/>
  <c r="E88" i="11"/>
  <c r="H88" i="11" s="1"/>
  <c r="B91" i="11"/>
  <c r="B90" i="11"/>
  <c r="F89" i="11"/>
  <c r="B89" i="11"/>
  <c r="B87" i="11"/>
  <c r="B86" i="11"/>
  <c r="B85" i="11"/>
  <c r="G344" i="3" l="1"/>
  <c r="G343" i="3"/>
  <c r="C340" i="4"/>
  <c r="G340" i="4"/>
  <c r="G343" i="4"/>
  <c r="H342" i="4"/>
  <c r="C341" i="4"/>
  <c r="H339" i="4"/>
  <c r="H338" i="4" l="1"/>
  <c r="C338" i="4"/>
  <c r="H337" i="4"/>
  <c r="G333" i="4"/>
  <c r="H335" i="4"/>
  <c r="C342" i="4"/>
  <c r="B343" i="4" l="1"/>
  <c r="B342" i="4"/>
  <c r="B75" i="11" l="1"/>
  <c r="B74" i="11"/>
  <c r="F73" i="11"/>
  <c r="B73" i="11"/>
  <c r="B72" i="11"/>
  <c r="C71" i="11"/>
  <c r="B71" i="11"/>
  <c r="B70" i="11"/>
  <c r="B69" i="11"/>
  <c r="B68" i="11"/>
  <c r="F67" i="11"/>
  <c r="B67" i="11"/>
  <c r="F66" i="11"/>
  <c r="B66" i="11"/>
  <c r="F65" i="11"/>
  <c r="B65" i="11"/>
  <c r="B64" i="11"/>
  <c r="B63" i="11"/>
  <c r="B62" i="11"/>
  <c r="B61" i="11"/>
  <c r="B60" i="11"/>
  <c r="F59" i="11"/>
  <c r="D59" i="11"/>
  <c r="B59" i="11"/>
  <c r="F58" i="11"/>
  <c r="B58" i="11"/>
  <c r="F57" i="11"/>
  <c r="B57" i="11"/>
  <c r="B56" i="11"/>
  <c r="B55" i="11"/>
  <c r="B54" i="11"/>
  <c r="B53" i="11"/>
  <c r="B52" i="11"/>
  <c r="B51" i="11"/>
  <c r="B50" i="11"/>
  <c r="B49" i="11"/>
  <c r="B48" i="11"/>
  <c r="B47" i="11" l="1"/>
  <c r="B46" i="11"/>
  <c r="B45" i="11"/>
  <c r="B341" i="4" l="1"/>
  <c r="G342" i="3"/>
  <c r="G341" i="3"/>
  <c r="G339" i="3" l="1"/>
  <c r="G338" i="3"/>
  <c r="G337" i="3"/>
  <c r="G336" i="3"/>
  <c r="G335" i="3"/>
  <c r="G340" i="3"/>
  <c r="E332" i="3"/>
  <c r="B342" i="3"/>
  <c r="B340" i="4"/>
  <c r="B339" i="4" l="1"/>
  <c r="B338" i="4"/>
  <c r="F337" i="5" l="1"/>
  <c r="F336" i="5"/>
  <c r="F335" i="5"/>
  <c r="F334" i="5"/>
  <c r="F333" i="5"/>
  <c r="F332" i="5"/>
  <c r="F331" i="5"/>
  <c r="F330" i="5"/>
  <c r="F329" i="5"/>
  <c r="F328" i="5"/>
  <c r="F327" i="5"/>
  <c r="F326" i="5"/>
  <c r="H297" i="4"/>
  <c r="H336" i="4"/>
  <c r="B337" i="4"/>
  <c r="G335" i="4"/>
  <c r="H334" i="4"/>
  <c r="H333" i="4" l="1"/>
  <c r="H332" i="4"/>
  <c r="C331" i="4"/>
  <c r="H331" i="4"/>
  <c r="H330" i="4"/>
  <c r="H329" i="4"/>
  <c r="G327" i="4"/>
  <c r="H302" i="4"/>
  <c r="H295" i="4"/>
  <c r="C297" i="4"/>
  <c r="D240" i="11"/>
  <c r="E239" i="11"/>
  <c r="E238" i="11"/>
  <c r="E237" i="11"/>
  <c r="E236" i="11"/>
  <c r="H236" i="11" s="1"/>
  <c r="E235" i="11"/>
  <c r="H235" i="11" s="1"/>
  <c r="E234" i="11"/>
  <c r="H234" i="11" s="1"/>
  <c r="E233" i="11"/>
  <c r="H233" i="11" s="1"/>
  <c r="E232" i="11"/>
  <c r="H232" i="11" s="1"/>
  <c r="E231" i="11"/>
  <c r="H231" i="11" s="1"/>
  <c r="E230" i="11"/>
  <c r="H230" i="11" s="1"/>
  <c r="E229" i="11"/>
  <c r="H229" i="11" s="1"/>
  <c r="E228" i="11"/>
  <c r="H228" i="11" s="1"/>
  <c r="E227" i="11"/>
  <c r="H227" i="11" s="1"/>
  <c r="E226" i="11"/>
  <c r="H226" i="11" s="1"/>
  <c r="E225" i="11"/>
  <c r="H225" i="11" s="1"/>
  <c r="E224" i="11"/>
  <c r="H224" i="11" s="1"/>
  <c r="E223" i="11"/>
  <c r="H223" i="11" s="1"/>
  <c r="E222" i="11"/>
  <c r="H222" i="11" s="1"/>
  <c r="E221" i="11"/>
  <c r="H221" i="11" s="1"/>
  <c r="E220" i="11"/>
  <c r="H220" i="11" s="1"/>
  <c r="E219" i="11"/>
  <c r="E218" i="11"/>
  <c r="E217" i="11"/>
  <c r="E216" i="11"/>
  <c r="E215" i="11"/>
  <c r="E214" i="11"/>
  <c r="E213" i="11"/>
  <c r="E212" i="11"/>
  <c r="H212" i="11" s="1"/>
  <c r="E211" i="11"/>
  <c r="E210" i="11"/>
  <c r="E209" i="11"/>
  <c r="E208" i="11"/>
  <c r="E207" i="11"/>
  <c r="E206" i="11"/>
  <c r="B240" i="11"/>
  <c r="E240" i="11" s="1"/>
  <c r="D200" i="11"/>
  <c r="E199" i="11"/>
  <c r="E198" i="11"/>
  <c r="E197" i="11"/>
  <c r="E196" i="11"/>
  <c r="H196" i="11" s="1"/>
  <c r="E195" i="11"/>
  <c r="H195" i="11" s="1"/>
  <c r="E194" i="11"/>
  <c r="H194" i="11" s="1"/>
  <c r="E193" i="11"/>
  <c r="H193" i="11" s="1"/>
  <c r="E192" i="11"/>
  <c r="H192" i="11" s="1"/>
  <c r="E191" i="11"/>
  <c r="H191" i="11" s="1"/>
  <c r="E190" i="11"/>
  <c r="H190" i="11" s="1"/>
  <c r="E189" i="11"/>
  <c r="H189" i="11" s="1"/>
  <c r="E188" i="11"/>
  <c r="H188" i="11" s="1"/>
  <c r="E187" i="11"/>
  <c r="H187" i="11" s="1"/>
  <c r="E186" i="11"/>
  <c r="H186" i="11" s="1"/>
  <c r="E185" i="11"/>
  <c r="H185" i="11" s="1"/>
  <c r="E184" i="11"/>
  <c r="H184" i="11" s="1"/>
  <c r="E183" i="11"/>
  <c r="H183" i="11" s="1"/>
  <c r="E182" i="11"/>
  <c r="H182" i="11" s="1"/>
  <c r="E181" i="11"/>
  <c r="H181" i="11" s="1"/>
  <c r="E180" i="11"/>
  <c r="H180" i="11" s="1"/>
  <c r="E179" i="11"/>
  <c r="E178" i="11"/>
  <c r="E177" i="11"/>
  <c r="E176" i="11"/>
  <c r="E175" i="11"/>
  <c r="E174" i="11"/>
  <c r="E173" i="11"/>
  <c r="E172" i="11"/>
  <c r="H172" i="11" s="1"/>
  <c r="E171" i="11"/>
  <c r="E170" i="11"/>
  <c r="E169" i="11"/>
  <c r="E168" i="11"/>
  <c r="E167" i="11"/>
  <c r="E166" i="11"/>
  <c r="B200" i="11"/>
  <c r="E200" i="11" s="1"/>
  <c r="D160" i="11"/>
  <c r="E159" i="11"/>
  <c r="E158" i="11"/>
  <c r="E157" i="11"/>
  <c r="E156" i="11"/>
  <c r="H156" i="11" s="1"/>
  <c r="E155" i="11"/>
  <c r="H155" i="11" s="1"/>
  <c r="E154" i="11"/>
  <c r="H154" i="11" s="1"/>
  <c r="E153" i="11"/>
  <c r="H153" i="11" s="1"/>
  <c r="E152" i="11"/>
  <c r="H152" i="11" s="1"/>
  <c r="E151" i="11"/>
  <c r="H151" i="11" s="1"/>
  <c r="E150" i="11"/>
  <c r="H150" i="11" s="1"/>
  <c r="E149" i="11"/>
  <c r="H149" i="11" s="1"/>
  <c r="E148" i="11"/>
  <c r="H148" i="11" s="1"/>
  <c r="E147" i="11"/>
  <c r="H147" i="11" s="1"/>
  <c r="E146" i="11"/>
  <c r="H146" i="11" s="1"/>
  <c r="E145" i="11"/>
  <c r="H145" i="11" s="1"/>
  <c r="E144" i="11"/>
  <c r="H144" i="11" s="1"/>
  <c r="E143" i="11"/>
  <c r="H143" i="11" s="1"/>
  <c r="E142" i="11"/>
  <c r="H142" i="11" s="1"/>
  <c r="E141" i="11"/>
  <c r="H141" i="11" s="1"/>
  <c r="E140" i="11"/>
  <c r="H140" i="11" s="1"/>
  <c r="E139" i="11"/>
  <c r="E138" i="11"/>
  <c r="E137" i="11"/>
  <c r="E136" i="11"/>
  <c r="E135" i="11"/>
  <c r="E134" i="11"/>
  <c r="E133" i="11"/>
  <c r="E132" i="11"/>
  <c r="H132" i="11" s="1"/>
  <c r="E131" i="11"/>
  <c r="E130" i="11"/>
  <c r="E129" i="11"/>
  <c r="E128" i="11"/>
  <c r="E127" i="11"/>
  <c r="E126" i="11"/>
  <c r="B160" i="11"/>
  <c r="E160" i="11" s="1"/>
  <c r="D120" i="11"/>
  <c r="E119" i="11"/>
  <c r="E118" i="11"/>
  <c r="E117" i="11"/>
  <c r="E116" i="11"/>
  <c r="H116" i="11" s="1"/>
  <c r="E115" i="11"/>
  <c r="H115" i="11" s="1"/>
  <c r="E114" i="11"/>
  <c r="H114" i="11" s="1"/>
  <c r="E113" i="11"/>
  <c r="H113" i="11" s="1"/>
  <c r="E112" i="11"/>
  <c r="H112" i="11" s="1"/>
  <c r="E111" i="11"/>
  <c r="H111" i="11" s="1"/>
  <c r="E110" i="11"/>
  <c r="H110" i="11" s="1"/>
  <c r="E109" i="11"/>
  <c r="H109" i="11" s="1"/>
  <c r="E108" i="11"/>
  <c r="H108" i="11" s="1"/>
  <c r="E107" i="11"/>
  <c r="H107" i="11" s="1"/>
  <c r="E106" i="11"/>
  <c r="H106" i="11" s="1"/>
  <c r="E105" i="11"/>
  <c r="H105" i="11" s="1"/>
  <c r="E104" i="11"/>
  <c r="H104" i="11" s="1"/>
  <c r="E103" i="11"/>
  <c r="H103" i="11" s="1"/>
  <c r="E102" i="11"/>
  <c r="H102" i="11" s="1"/>
  <c r="E101" i="11"/>
  <c r="H101" i="11" s="1"/>
  <c r="E100" i="11"/>
  <c r="H100" i="11" s="1"/>
  <c r="E99" i="11"/>
  <c r="E98" i="11"/>
  <c r="E97" i="11"/>
  <c r="E96" i="11"/>
  <c r="E95" i="11"/>
  <c r="E94" i="11"/>
  <c r="E93" i="11"/>
  <c r="E92" i="11"/>
  <c r="H92" i="11" s="1"/>
  <c r="E91" i="11"/>
  <c r="E90" i="11"/>
  <c r="E89" i="11"/>
  <c r="E87" i="11"/>
  <c r="E86" i="11"/>
  <c r="B120" i="11"/>
  <c r="E120" i="11" s="1"/>
  <c r="D80" i="11"/>
  <c r="E79" i="11"/>
  <c r="E78" i="11"/>
  <c r="E77" i="11"/>
  <c r="E76" i="11"/>
  <c r="H76" i="11" s="1"/>
  <c r="E75" i="11"/>
  <c r="H75" i="11" s="1"/>
  <c r="E74" i="11"/>
  <c r="H74" i="11" s="1"/>
  <c r="E73" i="11"/>
  <c r="H73" i="11" s="1"/>
  <c r="E72" i="11"/>
  <c r="H72" i="11" s="1"/>
  <c r="E71" i="11"/>
  <c r="H71" i="11" s="1"/>
  <c r="E70" i="11"/>
  <c r="H70" i="11" s="1"/>
  <c r="E69" i="11"/>
  <c r="H69" i="11" s="1"/>
  <c r="E68" i="11"/>
  <c r="H68" i="11" s="1"/>
  <c r="E67" i="11"/>
  <c r="H67" i="11" s="1"/>
  <c r="E66" i="11"/>
  <c r="H66" i="11" s="1"/>
  <c r="E65" i="11"/>
  <c r="H65" i="11" s="1"/>
  <c r="E64" i="11"/>
  <c r="H64" i="11" s="1"/>
  <c r="E63" i="11"/>
  <c r="H63" i="11" s="1"/>
  <c r="E62" i="11"/>
  <c r="H62" i="11" s="1"/>
  <c r="E61" i="11"/>
  <c r="H61" i="11" s="1"/>
  <c r="E60" i="11"/>
  <c r="H60" i="11" s="1"/>
  <c r="E59" i="11"/>
  <c r="E58" i="11"/>
  <c r="E57" i="11"/>
  <c r="E56" i="11"/>
  <c r="E55" i="11"/>
  <c r="E54" i="11"/>
  <c r="E53" i="11"/>
  <c r="E52" i="11"/>
  <c r="H52" i="11" s="1"/>
  <c r="E51" i="11"/>
  <c r="E50" i="11"/>
  <c r="E49" i="11"/>
  <c r="E48" i="11"/>
  <c r="E47" i="11"/>
  <c r="E46" i="11"/>
  <c r="B80" i="11"/>
  <c r="E80" i="11" s="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F19" i="11"/>
  <c r="B19" i="11"/>
  <c r="F18" i="11"/>
  <c r="B18" i="11"/>
  <c r="F17" i="11"/>
  <c r="B17" i="11"/>
  <c r="F16" i="11"/>
  <c r="B16" i="11"/>
  <c r="F15" i="11"/>
  <c r="B15" i="11"/>
  <c r="F14" i="11"/>
  <c r="B14" i="11"/>
  <c r="F13" i="11"/>
  <c r="B13" i="11"/>
  <c r="B12" i="11"/>
  <c r="F11" i="11"/>
  <c r="B11" i="11"/>
  <c r="F10" i="11"/>
  <c r="B10" i="11"/>
  <c r="F9" i="11"/>
  <c r="B9" i="11"/>
  <c r="F8" i="11"/>
  <c r="B8" i="11"/>
  <c r="F7" i="11"/>
  <c r="B7" i="11"/>
  <c r="E7" i="11" s="1"/>
  <c r="F6" i="11"/>
  <c r="B6" i="11"/>
  <c r="F5" i="11"/>
  <c r="B5" i="11"/>
  <c r="D40" i="11"/>
  <c r="B40" i="11"/>
  <c r="E40" i="11" s="1"/>
  <c r="E39" i="11"/>
  <c r="E38" i="11"/>
  <c r="E37" i="11"/>
  <c r="E36" i="11"/>
  <c r="H36" i="11" s="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6" i="11"/>
  <c r="E5" i="11"/>
  <c r="C311" i="4"/>
  <c r="G311" i="4"/>
  <c r="H206" i="11" l="1"/>
  <c r="H207" i="11"/>
  <c r="H208" i="11"/>
  <c r="H209" i="11"/>
  <c r="H210" i="11"/>
  <c r="H211" i="11"/>
  <c r="H213" i="11"/>
  <c r="H214" i="11"/>
  <c r="H215" i="11"/>
  <c r="H216" i="11"/>
  <c r="H217" i="11"/>
  <c r="H218" i="11"/>
  <c r="H219" i="11"/>
  <c r="E205" i="11"/>
  <c r="H205" i="11" s="1"/>
  <c r="H166" i="11"/>
  <c r="H167" i="11"/>
  <c r="H168" i="11"/>
  <c r="H169" i="11"/>
  <c r="H170" i="11"/>
  <c r="H171" i="11"/>
  <c r="H173" i="11"/>
  <c r="H174" i="11"/>
  <c r="H175" i="11"/>
  <c r="H176" i="11"/>
  <c r="H177" i="11"/>
  <c r="H178" i="11"/>
  <c r="H179" i="11"/>
  <c r="E165" i="11"/>
  <c r="H165" i="11" s="1"/>
  <c r="H126" i="11"/>
  <c r="H127" i="11"/>
  <c r="H128" i="11"/>
  <c r="H129" i="11"/>
  <c r="H130" i="11"/>
  <c r="H131" i="11"/>
  <c r="H133" i="11"/>
  <c r="H134" i="11"/>
  <c r="H135" i="11"/>
  <c r="H136" i="11"/>
  <c r="H137" i="11"/>
  <c r="H138" i="11"/>
  <c r="H139" i="11"/>
  <c r="E125" i="11"/>
  <c r="H125" i="11" s="1"/>
  <c r="H86" i="11"/>
  <c r="H87" i="11"/>
  <c r="H89" i="11"/>
  <c r="H90" i="11"/>
  <c r="H91" i="11"/>
  <c r="H93" i="11"/>
  <c r="H94" i="11"/>
  <c r="H95" i="11"/>
  <c r="H96" i="11"/>
  <c r="H97" i="11"/>
  <c r="H98" i="11"/>
  <c r="H99" i="11"/>
  <c r="E85" i="11"/>
  <c r="H85" i="11" s="1"/>
  <c r="H46" i="11"/>
  <c r="H47" i="11"/>
  <c r="H48" i="11"/>
  <c r="H49" i="11"/>
  <c r="H50" i="11"/>
  <c r="H51" i="11"/>
  <c r="H53" i="11"/>
  <c r="H54" i="11"/>
  <c r="H55" i="11"/>
  <c r="H56" i="11"/>
  <c r="H57" i="11"/>
  <c r="H58" i="11"/>
  <c r="H59" i="11"/>
  <c r="E45" i="11"/>
  <c r="H45" i="11" s="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G14" i="10"/>
  <c r="G334" i="3" l="1"/>
  <c r="G333" i="3"/>
  <c r="G332" i="3"/>
  <c r="B336" i="4" l="1"/>
  <c r="C335" i="4"/>
  <c r="C332" i="4"/>
  <c r="B335" i="4"/>
  <c r="C334" i="4"/>
  <c r="B334" i="4"/>
  <c r="B333" i="4" l="1"/>
  <c r="H326" i="4"/>
  <c r="B332" i="4" l="1"/>
  <c r="B331" i="4"/>
  <c r="G330" i="4"/>
  <c r="C330" i="4"/>
  <c r="B330" i="4"/>
  <c r="F254" i="5" l="1"/>
  <c r="D480" i="5"/>
  <c r="B480" i="5"/>
  <c r="E480" i="5" s="1"/>
  <c r="E479" i="5"/>
  <c r="E478" i="5"/>
  <c r="E477" i="5"/>
  <c r="E476" i="5"/>
  <c r="H476" i="5" s="1"/>
  <c r="E475" i="5"/>
  <c r="H475" i="5" s="1"/>
  <c r="E474" i="5"/>
  <c r="H474" i="5" s="1"/>
  <c r="E473" i="5"/>
  <c r="H473" i="5" s="1"/>
  <c r="E472" i="5"/>
  <c r="H472" i="5" s="1"/>
  <c r="E471" i="5"/>
  <c r="H471" i="5" s="1"/>
  <c r="E470" i="5"/>
  <c r="H470" i="5" s="1"/>
  <c r="E469" i="5"/>
  <c r="H469" i="5" s="1"/>
  <c r="E468" i="5"/>
  <c r="H468" i="5" s="1"/>
  <c r="E467" i="5"/>
  <c r="H467" i="5" s="1"/>
  <c r="E466" i="5"/>
  <c r="H466" i="5" s="1"/>
  <c r="E465" i="5"/>
  <c r="H465" i="5" s="1"/>
  <c r="E464" i="5"/>
  <c r="H464" i="5" s="1"/>
  <c r="E463" i="5"/>
  <c r="H463" i="5" s="1"/>
  <c r="E462" i="5"/>
  <c r="H462" i="5" s="1"/>
  <c r="E461" i="5"/>
  <c r="H461" i="5" s="1"/>
  <c r="E460" i="5"/>
  <c r="H460" i="5" s="1"/>
  <c r="E459" i="5"/>
  <c r="H459" i="5" s="1"/>
  <c r="E458" i="5"/>
  <c r="H458" i="5" s="1"/>
  <c r="E457" i="5"/>
  <c r="H457" i="5" s="1"/>
  <c r="E456" i="5"/>
  <c r="H456" i="5" s="1"/>
  <c r="E455" i="5"/>
  <c r="H455" i="5" s="1"/>
  <c r="E454" i="5"/>
  <c r="H454" i="5" s="1"/>
  <c r="E453" i="5"/>
  <c r="H453" i="5" s="1"/>
  <c r="E452" i="5"/>
  <c r="H452" i="5" s="1"/>
  <c r="E451" i="5"/>
  <c r="H451" i="5" s="1"/>
  <c r="E450" i="5"/>
  <c r="H450" i="5" s="1"/>
  <c r="E449" i="5"/>
  <c r="H449" i="5" s="1"/>
  <c r="E448" i="5"/>
  <c r="H448" i="5" s="1"/>
  <c r="E447" i="5"/>
  <c r="H447" i="5" s="1"/>
  <c r="E446" i="5"/>
  <c r="H446" i="5" s="1"/>
  <c r="E445" i="5"/>
  <c r="H445" i="5" s="1"/>
  <c r="D440" i="5"/>
  <c r="B440" i="5"/>
  <c r="E440" i="5" s="1"/>
  <c r="E439" i="5"/>
  <c r="E438" i="5"/>
  <c r="E437" i="5"/>
  <c r="E436" i="5"/>
  <c r="H436" i="5" s="1"/>
  <c r="E435" i="5"/>
  <c r="H435" i="5" s="1"/>
  <c r="E434" i="5"/>
  <c r="H434" i="5" s="1"/>
  <c r="E433" i="5"/>
  <c r="H433" i="5" s="1"/>
  <c r="E432" i="5"/>
  <c r="H432" i="5" s="1"/>
  <c r="E431" i="5"/>
  <c r="H431" i="5" s="1"/>
  <c r="E430" i="5"/>
  <c r="H430" i="5" s="1"/>
  <c r="E429" i="5"/>
  <c r="H429" i="5" s="1"/>
  <c r="E428" i="5"/>
  <c r="H428" i="5" s="1"/>
  <c r="E427" i="5"/>
  <c r="H427" i="5" s="1"/>
  <c r="E426" i="5"/>
  <c r="H426" i="5" s="1"/>
  <c r="E425" i="5"/>
  <c r="H425" i="5" s="1"/>
  <c r="E424" i="5"/>
  <c r="H424" i="5" s="1"/>
  <c r="E423" i="5"/>
  <c r="H423" i="5" s="1"/>
  <c r="E422" i="5"/>
  <c r="H422" i="5" s="1"/>
  <c r="E421" i="5"/>
  <c r="H421" i="5" s="1"/>
  <c r="E420" i="5"/>
  <c r="H420" i="5" s="1"/>
  <c r="E419" i="5"/>
  <c r="H419" i="5" s="1"/>
  <c r="E418" i="5"/>
  <c r="H418" i="5" s="1"/>
  <c r="E417" i="5"/>
  <c r="H417" i="5" s="1"/>
  <c r="E416" i="5"/>
  <c r="H416" i="5" s="1"/>
  <c r="E415" i="5"/>
  <c r="H415" i="5" s="1"/>
  <c r="E414" i="5"/>
  <c r="H414" i="5" s="1"/>
  <c r="E413" i="5"/>
  <c r="H413" i="5" s="1"/>
  <c r="E412" i="5"/>
  <c r="H412" i="5" s="1"/>
  <c r="E411" i="5"/>
  <c r="H411" i="5" s="1"/>
  <c r="E410" i="5"/>
  <c r="H410" i="5" s="1"/>
  <c r="E409" i="5"/>
  <c r="H409" i="5" s="1"/>
  <c r="E408" i="5"/>
  <c r="H408" i="5" s="1"/>
  <c r="E407" i="5"/>
  <c r="H407" i="5" s="1"/>
  <c r="E406" i="5"/>
  <c r="H406" i="5" s="1"/>
  <c r="E405" i="5"/>
  <c r="H405" i="5" s="1"/>
  <c r="D400" i="5"/>
  <c r="B400" i="5"/>
  <c r="E400" i="5" s="1"/>
  <c r="E399" i="5"/>
  <c r="E398" i="5"/>
  <c r="E397" i="5"/>
  <c r="E396" i="5"/>
  <c r="H396" i="5" s="1"/>
  <c r="E395" i="5"/>
  <c r="H395" i="5" s="1"/>
  <c r="E394" i="5"/>
  <c r="H394" i="5" s="1"/>
  <c r="E393" i="5"/>
  <c r="H393" i="5" s="1"/>
  <c r="E392" i="5"/>
  <c r="H392" i="5" s="1"/>
  <c r="E391" i="5"/>
  <c r="H391" i="5" s="1"/>
  <c r="E390" i="5"/>
  <c r="H390" i="5" s="1"/>
  <c r="E389" i="5"/>
  <c r="H389" i="5" s="1"/>
  <c r="E388" i="5"/>
  <c r="H388" i="5" s="1"/>
  <c r="E387" i="5"/>
  <c r="H387" i="5" s="1"/>
  <c r="E386" i="5"/>
  <c r="H386" i="5" s="1"/>
  <c r="E385" i="5"/>
  <c r="H385" i="5" s="1"/>
  <c r="E384" i="5"/>
  <c r="H384" i="5" s="1"/>
  <c r="E383" i="5"/>
  <c r="H383" i="5" s="1"/>
  <c r="E382" i="5"/>
  <c r="H382" i="5" s="1"/>
  <c r="E381" i="5"/>
  <c r="H381" i="5" s="1"/>
  <c r="E380" i="5"/>
  <c r="H380" i="5" s="1"/>
  <c r="E379" i="5"/>
  <c r="H379" i="5" s="1"/>
  <c r="E378" i="5"/>
  <c r="H378" i="5" s="1"/>
  <c r="E377" i="5"/>
  <c r="H377" i="5" s="1"/>
  <c r="E376" i="5"/>
  <c r="H376" i="5" s="1"/>
  <c r="E375" i="5"/>
  <c r="H375" i="5" s="1"/>
  <c r="E374" i="5"/>
  <c r="H374" i="5" s="1"/>
  <c r="E373" i="5"/>
  <c r="H373" i="5" s="1"/>
  <c r="E372" i="5"/>
  <c r="H372" i="5" s="1"/>
  <c r="E371" i="5"/>
  <c r="H371" i="5" s="1"/>
  <c r="E370" i="5"/>
  <c r="H370" i="5" s="1"/>
  <c r="E369" i="5"/>
  <c r="H369" i="5" s="1"/>
  <c r="E368" i="5"/>
  <c r="H368" i="5" s="1"/>
  <c r="E365" i="5"/>
  <c r="H365" i="5" s="1"/>
  <c r="D360" i="5"/>
  <c r="B360" i="5"/>
  <c r="E360" i="5" s="1"/>
  <c r="E359" i="5"/>
  <c r="E358" i="5"/>
  <c r="E357" i="5"/>
  <c r="E356" i="5"/>
  <c r="H356" i="5" s="1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H325" i="5" l="1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F275" i="5" l="1"/>
  <c r="F274" i="5"/>
  <c r="F273" i="5"/>
  <c r="F272" i="5"/>
  <c r="F271" i="5"/>
  <c r="F270" i="5"/>
  <c r="F269" i="5"/>
  <c r="F268" i="5"/>
  <c r="E14" i="10"/>
  <c r="D14" i="10"/>
  <c r="H14" i="10" s="1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3" i="5"/>
  <c r="F251" i="5"/>
  <c r="G329" i="4"/>
  <c r="C329" i="4"/>
  <c r="B329" i="4"/>
  <c r="H328" i="4"/>
  <c r="C328" i="4"/>
  <c r="B328" i="4"/>
  <c r="C327" i="4"/>
  <c r="J76" i="6"/>
  <c r="B327" i="4"/>
  <c r="G331" i="3" l="1"/>
  <c r="G330" i="3"/>
  <c r="G329" i="3"/>
  <c r="G328" i="3"/>
  <c r="G327" i="3"/>
  <c r="G326" i="3"/>
  <c r="D327" i="4" l="1"/>
  <c r="C326" i="4"/>
  <c r="H323" i="4"/>
  <c r="H311" i="4"/>
  <c r="H310" i="4"/>
  <c r="C257" i="4"/>
  <c r="H309" i="4"/>
  <c r="G309" i="4"/>
  <c r="C307" i="4"/>
  <c r="C223" i="4"/>
  <c r="H313" i="4"/>
  <c r="G326" i="4"/>
  <c r="P78" i="6"/>
  <c r="P70" i="6" l="1"/>
  <c r="B326" i="4"/>
  <c r="H325" i="4"/>
  <c r="B325" i="4"/>
  <c r="H324" i="4" l="1"/>
  <c r="C324" i="4"/>
  <c r="B324" i="4"/>
  <c r="G323" i="4"/>
  <c r="C323" i="4"/>
  <c r="B323" i="4"/>
  <c r="C313" i="4" l="1"/>
  <c r="B313" i="4"/>
  <c r="H312" i="4"/>
  <c r="C312" i="4"/>
  <c r="B312" i="4"/>
  <c r="B311" i="4" l="1"/>
  <c r="G310" i="4"/>
  <c r="B310" i="4" l="1"/>
  <c r="D42" i="9" l="1"/>
  <c r="G325" i="3"/>
  <c r="D21" i="9" l="1"/>
  <c r="H289" i="4"/>
  <c r="C309" i="4"/>
  <c r="B309" i="4" l="1"/>
  <c r="E264" i="3" l="1"/>
  <c r="E252" i="3"/>
  <c r="G315" i="3"/>
  <c r="H308" i="4"/>
  <c r="C308" i="4"/>
  <c r="B308" i="4" l="1"/>
  <c r="H307" i="4"/>
  <c r="G307" i="4"/>
  <c r="C303" i="4"/>
  <c r="B307" i="4"/>
  <c r="G314" i="3"/>
  <c r="G313" i="3"/>
  <c r="H306" i="4"/>
  <c r="C306" i="4"/>
  <c r="B306" i="4"/>
  <c r="H305" i="4"/>
  <c r="G305" i="4"/>
  <c r="C305" i="4" l="1"/>
  <c r="B305" i="4"/>
  <c r="H304" i="4"/>
  <c r="C304" i="4" l="1"/>
  <c r="B304" i="4"/>
  <c r="C296" i="4"/>
  <c r="C293" i="4"/>
  <c r="H293" i="4"/>
  <c r="C274" i="4"/>
  <c r="C273" i="4"/>
  <c r="G266" i="4"/>
  <c r="G11" i="8" l="1"/>
  <c r="G10" i="8"/>
  <c r="G9" i="8"/>
  <c r="G8" i="8"/>
  <c r="G7" i="8"/>
  <c r="G6" i="8"/>
  <c r="G5" i="8"/>
  <c r="G4" i="8"/>
  <c r="G14" i="8" s="1"/>
  <c r="E301" i="3"/>
  <c r="G312" i="3"/>
  <c r="G311" i="3"/>
  <c r="G310" i="3"/>
  <c r="G309" i="3" l="1"/>
  <c r="G308" i="3"/>
  <c r="B310" i="3"/>
  <c r="F201" i="1" l="1"/>
  <c r="G307" i="3"/>
  <c r="G305" i="3"/>
  <c r="G306" i="3"/>
  <c r="B305" i="3"/>
  <c r="F303" i="4" l="1"/>
  <c r="H303" i="4"/>
  <c r="B303" i="4"/>
  <c r="G302" i="4" l="1"/>
  <c r="C302" i="4"/>
  <c r="B302" i="4"/>
  <c r="H301" i="4"/>
  <c r="C301" i="4"/>
  <c r="B301" i="4"/>
  <c r="H300" i="4"/>
  <c r="C300" i="4"/>
  <c r="B300" i="4" l="1"/>
  <c r="H299" i="4"/>
  <c r="G299" i="4"/>
  <c r="C299" i="4"/>
  <c r="B299" i="4"/>
  <c r="H298" i="4"/>
  <c r="G298" i="4"/>
  <c r="C298" i="4"/>
  <c r="B298" i="4"/>
  <c r="G297" i="4"/>
  <c r="B297" i="4" l="1"/>
  <c r="H296" i="4"/>
  <c r="B296" i="4" l="1"/>
  <c r="G295" i="4"/>
  <c r="G304" i="3"/>
  <c r="G303" i="3"/>
  <c r="G302" i="3"/>
  <c r="G301" i="3"/>
  <c r="G300" i="3"/>
  <c r="G299" i="3"/>
  <c r="G298" i="3"/>
  <c r="C295" i="4"/>
  <c r="B295" i="4"/>
  <c r="H294" i="4"/>
  <c r="C294" i="4"/>
  <c r="B294" i="4"/>
  <c r="B293" i="4"/>
  <c r="G297" i="3" l="1"/>
  <c r="H292" i="4" l="1"/>
  <c r="G292" i="4"/>
  <c r="C292" i="4"/>
  <c r="B292" i="4"/>
  <c r="H291" i="4"/>
  <c r="G291" i="4"/>
  <c r="C291" i="4"/>
  <c r="B291" i="4"/>
  <c r="H290" i="4"/>
  <c r="G290" i="4"/>
  <c r="C290" i="4"/>
  <c r="B290" i="4"/>
  <c r="C289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79" i="4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78" i="4"/>
  <c r="B289" i="4"/>
  <c r="G288" i="4" l="1"/>
  <c r="B288" i="4"/>
  <c r="D288" i="4" s="1"/>
  <c r="H287" i="4"/>
  <c r="G287" i="4"/>
  <c r="C287" i="4"/>
  <c r="B287" i="4"/>
  <c r="B286" i="4" l="1"/>
  <c r="H285" i="4"/>
  <c r="G285" i="4"/>
  <c r="C285" i="4"/>
  <c r="B285" i="4"/>
  <c r="G284" i="4"/>
  <c r="C284" i="4"/>
  <c r="B284" i="4" l="1"/>
  <c r="G265" i="4"/>
  <c r="H265" i="4"/>
  <c r="G269" i="4"/>
  <c r="G262" i="4"/>
  <c r="H261" i="4"/>
  <c r="C256" i="4" l="1"/>
  <c r="C250" i="4"/>
  <c r="G296" i="3"/>
  <c r="G295" i="3"/>
  <c r="G288" i="3" l="1"/>
  <c r="G285" i="3"/>
  <c r="G294" i="3"/>
  <c r="G293" i="3" l="1"/>
  <c r="G292" i="3"/>
  <c r="G291" i="3"/>
  <c r="G290" i="3"/>
  <c r="G289" i="3"/>
  <c r="H214" i="4" l="1"/>
  <c r="H213" i="4"/>
  <c r="H216" i="4"/>
  <c r="H215" i="4"/>
  <c r="B274" i="4"/>
  <c r="H273" i="4"/>
  <c r="G273" i="4"/>
  <c r="B273" i="4"/>
  <c r="C272" i="4"/>
  <c r="H272" i="4"/>
  <c r="B272" i="4"/>
  <c r="H271" i="4" l="1"/>
  <c r="B271" i="4"/>
  <c r="B270" i="4"/>
  <c r="H269" i="4" l="1"/>
  <c r="C269" i="4"/>
  <c r="B269" i="4"/>
  <c r="G287" i="3"/>
  <c r="G286" i="3"/>
  <c r="G275" i="3"/>
  <c r="G274" i="3"/>
  <c r="G268" i="3" l="1"/>
  <c r="G273" i="3"/>
  <c r="G264" i="3"/>
  <c r="G272" i="3" l="1"/>
  <c r="H268" i="4" l="1"/>
  <c r="G268" i="4"/>
  <c r="B268" i="4" l="1"/>
  <c r="B267" i="4"/>
  <c r="H266" i="4"/>
  <c r="B266" i="4" l="1"/>
  <c r="B265" i="4" l="1"/>
  <c r="C264" i="4"/>
  <c r="H264" i="4"/>
  <c r="B264" i="4" l="1"/>
  <c r="H263" i="4"/>
  <c r="B263" i="4"/>
  <c r="H262" i="4"/>
  <c r="C262" i="4"/>
  <c r="B262" i="4"/>
  <c r="G261" i="4"/>
  <c r="C261" i="4"/>
  <c r="B261" i="4" l="1"/>
  <c r="H260" i="4"/>
  <c r="B260" i="4" l="1"/>
  <c r="G266" i="3" l="1"/>
  <c r="G271" i="3" l="1"/>
  <c r="G269" i="3"/>
  <c r="G267" i="3"/>
  <c r="G265" i="3"/>
  <c r="G263" i="3" l="1"/>
  <c r="G262" i="3"/>
  <c r="G261" i="3"/>
  <c r="B260" i="3" l="1"/>
  <c r="G260" i="3" l="1"/>
  <c r="G259" i="3"/>
  <c r="G258" i="3"/>
  <c r="G257" i="3"/>
  <c r="G256" i="3"/>
  <c r="G255" i="3"/>
  <c r="B259" i="4"/>
  <c r="G259" i="4" l="1"/>
  <c r="C259" i="4"/>
  <c r="C258" i="4" l="1"/>
  <c r="B258" i="4"/>
  <c r="H257" i="4"/>
  <c r="B257" i="4"/>
  <c r="H256" i="4"/>
  <c r="B256" i="4"/>
  <c r="H255" i="4"/>
  <c r="C232" i="4" l="1"/>
  <c r="C213" i="4"/>
  <c r="H227" i="4"/>
  <c r="G254" i="4"/>
  <c r="C254" i="4"/>
  <c r="C252" i="4"/>
  <c r="G251" i="4"/>
  <c r="H251" i="4"/>
  <c r="C251" i="4"/>
  <c r="G247" i="4"/>
  <c r="C249" i="4" l="1"/>
  <c r="B247" i="4"/>
  <c r="F252" i="5"/>
  <c r="F231" i="5"/>
  <c r="F250" i="5"/>
  <c r="F249" i="5"/>
  <c r="F248" i="5"/>
  <c r="F247" i="5"/>
  <c r="F246" i="5"/>
  <c r="F245" i="5"/>
  <c r="C227" i="4" l="1"/>
  <c r="F227" i="4"/>
  <c r="G254" i="3" l="1"/>
  <c r="G253" i="3"/>
  <c r="G252" i="3"/>
  <c r="G251" i="3" l="1"/>
  <c r="G250" i="3"/>
  <c r="G249" i="3"/>
  <c r="G248" i="3"/>
  <c r="G247" i="3"/>
  <c r="G246" i="3"/>
  <c r="G245" i="3"/>
  <c r="B255" i="4"/>
  <c r="B254" i="4"/>
  <c r="B253" i="4"/>
  <c r="P60" i="6"/>
  <c r="G252" i="4" l="1"/>
  <c r="B252" i="4" l="1"/>
  <c r="B251" i="4"/>
  <c r="G250" i="4"/>
  <c r="B250" i="4"/>
  <c r="H246" i="4"/>
  <c r="H245" i="4"/>
  <c r="G230" i="4"/>
  <c r="H244" i="4" l="1"/>
  <c r="C246" i="4"/>
  <c r="C248" i="4"/>
  <c r="G249" i="4"/>
  <c r="B249" i="4" l="1"/>
  <c r="B248" i="4"/>
  <c r="C247" i="4"/>
  <c r="C146" i="4"/>
  <c r="E229" i="3" l="1"/>
  <c r="G233" i="3" l="1"/>
  <c r="E234" i="3" l="1"/>
  <c r="B246" i="4"/>
  <c r="C245" i="4" l="1"/>
  <c r="B245" i="4"/>
  <c r="C244" i="4"/>
  <c r="H233" i="4" l="1"/>
  <c r="C233" i="4"/>
  <c r="H232" i="4"/>
  <c r="C225" i="4"/>
  <c r="C228" i="4"/>
  <c r="G232" i="3"/>
  <c r="F234" i="5" l="1"/>
  <c r="F233" i="5"/>
  <c r="F228" i="5"/>
  <c r="F225" i="5"/>
  <c r="F226" i="5"/>
  <c r="F227" i="5"/>
  <c r="F232" i="5"/>
  <c r="G234" i="3"/>
  <c r="G231" i="3"/>
  <c r="G230" i="3"/>
  <c r="G229" i="3"/>
  <c r="G228" i="3"/>
  <c r="G227" i="3"/>
  <c r="G226" i="3"/>
  <c r="G225" i="3"/>
  <c r="G224" i="3"/>
  <c r="G223" i="3" l="1"/>
  <c r="E223" i="3"/>
  <c r="G222" i="3"/>
  <c r="C218" i="4" l="1"/>
  <c r="G244" i="4"/>
  <c r="B244" i="4"/>
  <c r="F197" i="1"/>
  <c r="I194" i="2"/>
  <c r="I196" i="2"/>
  <c r="I198" i="2"/>
  <c r="I201" i="2"/>
  <c r="I202" i="2"/>
  <c r="I205" i="2"/>
  <c r="I206" i="2"/>
  <c r="I207" i="2"/>
  <c r="I208" i="2"/>
  <c r="I209" i="2"/>
  <c r="H18" i="4"/>
  <c r="H17" i="4"/>
  <c r="H16" i="4"/>
  <c r="H15" i="4"/>
  <c r="H13" i="4"/>
  <c r="H12" i="4"/>
  <c r="H11" i="4"/>
  <c r="H7" i="4"/>
  <c r="H6" i="4"/>
  <c r="H5" i="4"/>
  <c r="H20" i="4"/>
  <c r="H24" i="4"/>
  <c r="H23" i="4"/>
  <c r="H22" i="4"/>
  <c r="H19" i="4"/>
  <c r="H26" i="4"/>
  <c r="H25" i="4"/>
  <c r="H49" i="4"/>
  <c r="H47" i="4"/>
  <c r="H46" i="4"/>
  <c r="H34" i="4"/>
  <c r="H33" i="4"/>
  <c r="H31" i="4"/>
  <c r="H30" i="4"/>
  <c r="B233" i="4" l="1"/>
  <c r="B232" i="4"/>
  <c r="H231" i="4"/>
  <c r="C231" i="4"/>
  <c r="B231" i="4"/>
  <c r="H230" i="4"/>
  <c r="C230" i="4"/>
  <c r="B230" i="4" l="1"/>
  <c r="H229" i="4"/>
  <c r="H228" i="4"/>
  <c r="G227" i="4"/>
  <c r="H226" i="4" l="1"/>
  <c r="H225" i="4"/>
  <c r="G223" i="4"/>
  <c r="C221" i="4"/>
  <c r="G229" i="4" l="1"/>
  <c r="C229" i="4"/>
  <c r="B229" i="4"/>
  <c r="G228" i="4"/>
  <c r="B228" i="4" l="1"/>
  <c r="B227" i="4"/>
  <c r="B225" i="4" l="1"/>
  <c r="H224" i="4"/>
  <c r="H223" i="4"/>
  <c r="H222" i="4"/>
  <c r="C222" i="4"/>
  <c r="H221" i="4"/>
  <c r="H220" i="4"/>
  <c r="H219" i="4"/>
  <c r="H218" i="4"/>
  <c r="F221" i="5"/>
  <c r="F220" i="5"/>
  <c r="F219" i="5"/>
  <c r="F224" i="5"/>
  <c r="G219" i="3"/>
  <c r="G218" i="3"/>
  <c r="G217" i="3"/>
  <c r="G221" i="3"/>
  <c r="G220" i="3"/>
  <c r="B226" i="4" l="1"/>
  <c r="G216" i="4" l="1"/>
  <c r="C214" i="4"/>
  <c r="B223" i="4" l="1"/>
  <c r="H212" i="4"/>
  <c r="H207" i="4"/>
  <c r="C66" i="4"/>
  <c r="C153" i="4"/>
  <c r="C211" i="4"/>
  <c r="B224" i="4"/>
  <c r="B222" i="4"/>
  <c r="F223" i="5" l="1"/>
  <c r="E223" i="5"/>
  <c r="F222" i="5"/>
  <c r="F195" i="5"/>
  <c r="F194" i="5"/>
  <c r="F191" i="5"/>
  <c r="F190" i="5"/>
  <c r="F188" i="5"/>
  <c r="F187" i="5"/>
  <c r="B223" i="3" l="1"/>
  <c r="C219" i="4" l="1"/>
  <c r="B219" i="4"/>
  <c r="B221" i="4" l="1"/>
  <c r="G220" i="4"/>
  <c r="C220" i="4"/>
  <c r="B220" i="4"/>
  <c r="G213" i="4"/>
  <c r="G208" i="4"/>
  <c r="C204" i="4"/>
  <c r="H217" i="4"/>
  <c r="C216" i="4"/>
  <c r="B216" i="4" l="1"/>
  <c r="F218" i="5"/>
  <c r="G213" i="3" l="1"/>
  <c r="G212" i="3"/>
  <c r="G211" i="3"/>
  <c r="G210" i="3"/>
  <c r="G209" i="3"/>
  <c r="G208" i="3"/>
  <c r="G216" i="3"/>
  <c r="G215" i="3"/>
  <c r="G214" i="3" l="1"/>
  <c r="F217" i="5" l="1"/>
  <c r="E217" i="5"/>
  <c r="F216" i="5"/>
  <c r="F215" i="5"/>
  <c r="F214" i="5"/>
  <c r="F213" i="5"/>
  <c r="F212" i="5"/>
  <c r="F210" i="5"/>
  <c r="F211" i="5"/>
  <c r="G192" i="3"/>
  <c r="G218" i="4"/>
  <c r="B218" i="4" l="1"/>
  <c r="G217" i="4"/>
  <c r="C217" i="4"/>
  <c r="B217" i="4"/>
  <c r="C215" i="4"/>
  <c r="B215" i="4" l="1"/>
  <c r="B213" i="4" l="1"/>
  <c r="B214" i="4"/>
  <c r="D213" i="4"/>
  <c r="D214" i="4"/>
  <c r="D215" i="4"/>
  <c r="J213" i="4"/>
  <c r="J214" i="4"/>
  <c r="J215" i="4"/>
  <c r="C212" i="4"/>
  <c r="B212" i="4"/>
  <c r="H211" i="4"/>
  <c r="H210" i="4"/>
  <c r="H209" i="4"/>
  <c r="C207" i="4"/>
  <c r="C206" i="4"/>
  <c r="G206" i="4"/>
  <c r="G169" i="3" l="1"/>
  <c r="G136" i="3"/>
  <c r="G126" i="3"/>
  <c r="H194" i="4"/>
  <c r="H193" i="4"/>
  <c r="G193" i="4"/>
  <c r="G211" i="4"/>
  <c r="B211" i="4"/>
  <c r="C210" i="4"/>
  <c r="G210" i="4"/>
  <c r="B210" i="4"/>
  <c r="G209" i="4"/>
  <c r="B209" i="4" l="1"/>
  <c r="G207" i="3" l="1"/>
  <c r="H208" i="4" l="1"/>
  <c r="G207" i="4"/>
  <c r="C208" i="4" l="1"/>
  <c r="B208" i="4"/>
  <c r="B207" i="4"/>
  <c r="H206" i="4"/>
  <c r="P42" i="6"/>
  <c r="B206" i="4"/>
  <c r="H205" i="4"/>
  <c r="C205" i="4"/>
  <c r="B205" i="4"/>
  <c r="H204" i="4"/>
  <c r="G204" i="4"/>
  <c r="B204" i="4"/>
  <c r="F209" i="5" l="1"/>
  <c r="F208" i="5"/>
  <c r="F207" i="5"/>
  <c r="F206" i="5"/>
  <c r="F205" i="5"/>
  <c r="G195" i="3"/>
  <c r="G190" i="3"/>
  <c r="G194" i="3"/>
  <c r="G193" i="3"/>
  <c r="G205" i="3"/>
  <c r="G206" i="3"/>
  <c r="C193" i="4" l="1"/>
  <c r="C192" i="4"/>
  <c r="C191" i="4"/>
  <c r="G190" i="4"/>
  <c r="H190" i="4" l="1"/>
  <c r="H189" i="4"/>
  <c r="C189" i="4"/>
  <c r="C188" i="4"/>
  <c r="H187" i="4"/>
  <c r="H186" i="4"/>
  <c r="G185" i="4"/>
  <c r="H184" i="4"/>
  <c r="G184" i="4"/>
  <c r="H183" i="4"/>
  <c r="C181" i="4"/>
  <c r="C178" i="4"/>
  <c r="C167" i="4"/>
  <c r="C170" i="4"/>
  <c r="C169" i="4"/>
  <c r="B97" i="4"/>
  <c r="H97" i="4"/>
  <c r="G85" i="4"/>
  <c r="G100" i="3"/>
  <c r="C478" i="4"/>
  <c r="B478" i="4"/>
  <c r="D478" i="4" s="1"/>
  <c r="J478" i="4" s="1"/>
  <c r="D477" i="4"/>
  <c r="J477" i="4" s="1"/>
  <c r="D476" i="4"/>
  <c r="J476" i="4" s="1"/>
  <c r="D475" i="4"/>
  <c r="J475" i="4" s="1"/>
  <c r="D474" i="4"/>
  <c r="J474" i="4" s="1"/>
  <c r="I473" i="4"/>
  <c r="D473" i="4"/>
  <c r="J473" i="4" s="1"/>
  <c r="I472" i="4"/>
  <c r="D472" i="4"/>
  <c r="J472" i="4" s="1"/>
  <c r="I471" i="4"/>
  <c r="D471" i="4"/>
  <c r="J471" i="4" s="1"/>
  <c r="I470" i="4"/>
  <c r="D470" i="4"/>
  <c r="J470" i="4" s="1"/>
  <c r="I469" i="4"/>
  <c r="D469" i="4"/>
  <c r="J469" i="4" s="1"/>
  <c r="I468" i="4"/>
  <c r="D468" i="4"/>
  <c r="J468" i="4" s="1"/>
  <c r="I467" i="4"/>
  <c r="D467" i="4"/>
  <c r="J467" i="4" s="1"/>
  <c r="I466" i="4"/>
  <c r="D466" i="4"/>
  <c r="J466" i="4" s="1"/>
  <c r="I465" i="4"/>
  <c r="D465" i="4"/>
  <c r="J465" i="4" s="1"/>
  <c r="I464" i="4"/>
  <c r="D464" i="4"/>
  <c r="J464" i="4" s="1"/>
  <c r="I463" i="4"/>
  <c r="D463" i="4"/>
  <c r="J463" i="4" s="1"/>
  <c r="I462" i="4"/>
  <c r="D462" i="4"/>
  <c r="J462" i="4" s="1"/>
  <c r="I461" i="4"/>
  <c r="D461" i="4"/>
  <c r="J461" i="4" s="1"/>
  <c r="I460" i="4"/>
  <c r="D460" i="4"/>
  <c r="J460" i="4" s="1"/>
  <c r="I459" i="4"/>
  <c r="D459" i="4"/>
  <c r="J459" i="4" s="1"/>
  <c r="I458" i="4"/>
  <c r="D458" i="4"/>
  <c r="J458" i="4" s="1"/>
  <c r="I457" i="4"/>
  <c r="D457" i="4"/>
  <c r="J457" i="4" s="1"/>
  <c r="I456" i="4"/>
  <c r="D456" i="4"/>
  <c r="J456" i="4" s="1"/>
  <c r="I455" i="4"/>
  <c r="D455" i="4"/>
  <c r="J455" i="4" s="1"/>
  <c r="I454" i="4"/>
  <c r="D454" i="4"/>
  <c r="J454" i="4" s="1"/>
  <c r="I453" i="4"/>
  <c r="D453" i="4"/>
  <c r="J453" i="4" s="1"/>
  <c r="I452" i="4"/>
  <c r="D452" i="4"/>
  <c r="J452" i="4" s="1"/>
  <c r="I451" i="4"/>
  <c r="D451" i="4"/>
  <c r="J451" i="4" s="1"/>
  <c r="I450" i="4"/>
  <c r="D450" i="4"/>
  <c r="J450" i="4" s="1"/>
  <c r="I449" i="4"/>
  <c r="D449" i="4"/>
  <c r="J449" i="4" s="1"/>
  <c r="I448" i="4"/>
  <c r="D448" i="4"/>
  <c r="J448" i="4" s="1"/>
  <c r="I447" i="4"/>
  <c r="D447" i="4"/>
  <c r="J447" i="4" s="1"/>
  <c r="I446" i="4"/>
  <c r="D446" i="4"/>
  <c r="J446" i="4" s="1"/>
  <c r="I445" i="4"/>
  <c r="D445" i="4"/>
  <c r="J445" i="4" s="1"/>
  <c r="I444" i="4"/>
  <c r="D444" i="4"/>
  <c r="J444" i="4" s="1"/>
  <c r="I443" i="4"/>
  <c r="D443" i="4"/>
  <c r="J443" i="4" s="1"/>
  <c r="C438" i="4"/>
  <c r="B438" i="4"/>
  <c r="D438" i="4" s="1"/>
  <c r="J438" i="4" s="1"/>
  <c r="D437" i="4"/>
  <c r="J437" i="4" s="1"/>
  <c r="D436" i="4"/>
  <c r="J436" i="4" s="1"/>
  <c r="D435" i="4"/>
  <c r="J435" i="4" s="1"/>
  <c r="D434" i="4"/>
  <c r="J434" i="4" s="1"/>
  <c r="I433" i="4"/>
  <c r="D433" i="4"/>
  <c r="J433" i="4" s="1"/>
  <c r="I432" i="4"/>
  <c r="D432" i="4"/>
  <c r="J432" i="4" s="1"/>
  <c r="I431" i="4"/>
  <c r="D431" i="4"/>
  <c r="J431" i="4" s="1"/>
  <c r="I430" i="4"/>
  <c r="D430" i="4"/>
  <c r="J430" i="4" s="1"/>
  <c r="I429" i="4"/>
  <c r="D429" i="4"/>
  <c r="J429" i="4" s="1"/>
  <c r="I428" i="4"/>
  <c r="D428" i="4"/>
  <c r="J428" i="4" s="1"/>
  <c r="I427" i="4"/>
  <c r="D427" i="4"/>
  <c r="J427" i="4" s="1"/>
  <c r="I426" i="4"/>
  <c r="D426" i="4"/>
  <c r="J426" i="4" s="1"/>
  <c r="I425" i="4"/>
  <c r="D425" i="4"/>
  <c r="J425" i="4" s="1"/>
  <c r="I424" i="4"/>
  <c r="D424" i="4"/>
  <c r="J424" i="4" s="1"/>
  <c r="I423" i="4"/>
  <c r="D423" i="4"/>
  <c r="J423" i="4" s="1"/>
  <c r="I422" i="4"/>
  <c r="D422" i="4"/>
  <c r="J422" i="4" s="1"/>
  <c r="I421" i="4"/>
  <c r="D421" i="4"/>
  <c r="J421" i="4" s="1"/>
  <c r="I420" i="4"/>
  <c r="D420" i="4"/>
  <c r="J420" i="4" s="1"/>
  <c r="I419" i="4"/>
  <c r="D419" i="4"/>
  <c r="J419" i="4" s="1"/>
  <c r="I418" i="4"/>
  <c r="D418" i="4"/>
  <c r="J418" i="4" s="1"/>
  <c r="I417" i="4"/>
  <c r="D417" i="4"/>
  <c r="J417" i="4" s="1"/>
  <c r="I416" i="4"/>
  <c r="D416" i="4"/>
  <c r="J416" i="4" s="1"/>
  <c r="I415" i="4"/>
  <c r="D415" i="4"/>
  <c r="J415" i="4" s="1"/>
  <c r="I414" i="4"/>
  <c r="D414" i="4"/>
  <c r="J414" i="4" s="1"/>
  <c r="I413" i="4"/>
  <c r="D413" i="4"/>
  <c r="J413" i="4" s="1"/>
  <c r="I412" i="4"/>
  <c r="J412" i="4"/>
  <c r="I411" i="4"/>
  <c r="D411" i="4"/>
  <c r="J411" i="4" s="1"/>
  <c r="I410" i="4"/>
  <c r="I407" i="4"/>
  <c r="D407" i="4"/>
  <c r="J407" i="4" s="1"/>
  <c r="I406" i="4"/>
  <c r="D406" i="4"/>
  <c r="J406" i="4" s="1"/>
  <c r="I405" i="4"/>
  <c r="D405" i="4"/>
  <c r="J405" i="4" s="1"/>
  <c r="I404" i="4"/>
  <c r="D404" i="4"/>
  <c r="J404" i="4" s="1"/>
  <c r="I403" i="4"/>
  <c r="D403" i="4"/>
  <c r="J403" i="4" s="1"/>
  <c r="C398" i="4"/>
  <c r="B398" i="4"/>
  <c r="D398" i="4" s="1"/>
  <c r="J398" i="4" s="1"/>
  <c r="D397" i="4"/>
  <c r="J397" i="4" s="1"/>
  <c r="D396" i="4"/>
  <c r="J396" i="4" s="1"/>
  <c r="D395" i="4"/>
  <c r="J395" i="4" s="1"/>
  <c r="D394" i="4"/>
  <c r="J394" i="4" s="1"/>
  <c r="I393" i="4"/>
  <c r="D393" i="4"/>
  <c r="J393" i="4" s="1"/>
  <c r="I392" i="4"/>
  <c r="D392" i="4"/>
  <c r="J392" i="4" s="1"/>
  <c r="I391" i="4"/>
  <c r="D391" i="4"/>
  <c r="J391" i="4" s="1"/>
  <c r="I390" i="4"/>
  <c r="D390" i="4"/>
  <c r="J390" i="4" s="1"/>
  <c r="I389" i="4"/>
  <c r="D389" i="4"/>
  <c r="J389" i="4" s="1"/>
  <c r="I388" i="4"/>
  <c r="D388" i="4"/>
  <c r="J388" i="4" s="1"/>
  <c r="I387" i="4"/>
  <c r="D387" i="4"/>
  <c r="J387" i="4" s="1"/>
  <c r="I386" i="4"/>
  <c r="D386" i="4"/>
  <c r="J386" i="4" s="1"/>
  <c r="I385" i="4"/>
  <c r="D385" i="4"/>
  <c r="J385" i="4" s="1"/>
  <c r="I384" i="4"/>
  <c r="D384" i="4"/>
  <c r="J384" i="4" s="1"/>
  <c r="I383" i="4"/>
  <c r="J383" i="4"/>
  <c r="I382" i="4"/>
  <c r="J382" i="4"/>
  <c r="I381" i="4"/>
  <c r="J381" i="4"/>
  <c r="I380" i="4"/>
  <c r="J380" i="4"/>
  <c r="I379" i="4"/>
  <c r="J379" i="4"/>
  <c r="I378" i="4"/>
  <c r="D378" i="4"/>
  <c r="J378" i="4" s="1"/>
  <c r="I377" i="4"/>
  <c r="D377" i="4"/>
  <c r="J377" i="4" s="1"/>
  <c r="I376" i="4"/>
  <c r="D376" i="4"/>
  <c r="J376" i="4" s="1"/>
  <c r="I375" i="4"/>
  <c r="D375" i="4"/>
  <c r="J375" i="4" s="1"/>
  <c r="I374" i="4"/>
  <c r="D374" i="4"/>
  <c r="J374" i="4" s="1"/>
  <c r="I373" i="4"/>
  <c r="D373" i="4"/>
  <c r="J373" i="4" s="1"/>
  <c r="I372" i="4"/>
  <c r="D372" i="4"/>
  <c r="J372" i="4" s="1"/>
  <c r="I371" i="4"/>
  <c r="D371" i="4"/>
  <c r="J371" i="4" s="1"/>
  <c r="I370" i="4"/>
  <c r="D370" i="4"/>
  <c r="J370" i="4" s="1"/>
  <c r="I369" i="4"/>
  <c r="D369" i="4"/>
  <c r="J369" i="4" s="1"/>
  <c r="I368" i="4"/>
  <c r="D368" i="4"/>
  <c r="J368" i="4" s="1"/>
  <c r="I367" i="4"/>
  <c r="D367" i="4"/>
  <c r="J367" i="4" s="1"/>
  <c r="I366" i="4"/>
  <c r="D366" i="4"/>
  <c r="J366" i="4" s="1"/>
  <c r="I365" i="4"/>
  <c r="D365" i="4"/>
  <c r="J365" i="4" s="1"/>
  <c r="I364" i="4"/>
  <c r="D364" i="4"/>
  <c r="J364" i="4" s="1"/>
  <c r="I363" i="4"/>
  <c r="D363" i="4"/>
  <c r="J363" i="4" s="1"/>
  <c r="C358" i="4"/>
  <c r="B358" i="4"/>
  <c r="D358" i="4" s="1"/>
  <c r="J358" i="4" s="1"/>
  <c r="D357" i="4"/>
  <c r="J357" i="4" s="1"/>
  <c r="D356" i="4"/>
  <c r="J356" i="4" s="1"/>
  <c r="D355" i="4"/>
  <c r="J355" i="4" s="1"/>
  <c r="D354" i="4"/>
  <c r="J354" i="4" s="1"/>
  <c r="I353" i="4"/>
  <c r="D353" i="4"/>
  <c r="J353" i="4" s="1"/>
  <c r="I352" i="4"/>
  <c r="D352" i="4"/>
  <c r="J352" i="4" s="1"/>
  <c r="I351" i="4"/>
  <c r="D351" i="4"/>
  <c r="J351" i="4" s="1"/>
  <c r="I350" i="4"/>
  <c r="D350" i="4"/>
  <c r="J350" i="4" s="1"/>
  <c r="I349" i="4"/>
  <c r="D349" i="4"/>
  <c r="J349" i="4" s="1"/>
  <c r="I348" i="4"/>
  <c r="D348" i="4"/>
  <c r="J348" i="4" s="1"/>
  <c r="I347" i="4"/>
  <c r="D347" i="4"/>
  <c r="J347" i="4" s="1"/>
  <c r="I346" i="4"/>
  <c r="D346" i="4"/>
  <c r="J346" i="4" s="1"/>
  <c r="I345" i="4"/>
  <c r="D345" i="4"/>
  <c r="J345" i="4" s="1"/>
  <c r="I344" i="4"/>
  <c r="D344" i="4"/>
  <c r="J344" i="4" s="1"/>
  <c r="I343" i="4"/>
  <c r="D343" i="4"/>
  <c r="J343" i="4" s="1"/>
  <c r="I342" i="4"/>
  <c r="D342" i="4"/>
  <c r="J342" i="4" s="1"/>
  <c r="I341" i="4"/>
  <c r="D341" i="4"/>
  <c r="J341" i="4" s="1"/>
  <c r="I340" i="4"/>
  <c r="D340" i="4"/>
  <c r="J340" i="4" s="1"/>
  <c r="I339" i="4"/>
  <c r="D339" i="4"/>
  <c r="J339" i="4" s="1"/>
  <c r="I338" i="4"/>
  <c r="D338" i="4"/>
  <c r="J338" i="4" s="1"/>
  <c r="I337" i="4"/>
  <c r="D337" i="4"/>
  <c r="J337" i="4" s="1"/>
  <c r="I336" i="4"/>
  <c r="D336" i="4"/>
  <c r="J336" i="4" s="1"/>
  <c r="I335" i="4"/>
  <c r="D335" i="4"/>
  <c r="J335" i="4" s="1"/>
  <c r="I334" i="4"/>
  <c r="D334" i="4"/>
  <c r="J334" i="4" s="1"/>
  <c r="I333" i="4"/>
  <c r="D333" i="4"/>
  <c r="J333" i="4" s="1"/>
  <c r="I332" i="4"/>
  <c r="D332" i="4"/>
  <c r="J332" i="4" s="1"/>
  <c r="I331" i="4"/>
  <c r="D331" i="4"/>
  <c r="J331" i="4" s="1"/>
  <c r="I330" i="4"/>
  <c r="D330" i="4"/>
  <c r="J330" i="4" s="1"/>
  <c r="I329" i="4"/>
  <c r="D329" i="4"/>
  <c r="J329" i="4" s="1"/>
  <c r="I328" i="4"/>
  <c r="D328" i="4"/>
  <c r="J328" i="4" s="1"/>
  <c r="I327" i="4"/>
  <c r="J327" i="4"/>
  <c r="I326" i="4"/>
  <c r="D326" i="4"/>
  <c r="J326" i="4" s="1"/>
  <c r="I325" i="4"/>
  <c r="D325" i="4"/>
  <c r="J325" i="4" s="1"/>
  <c r="I324" i="4"/>
  <c r="D324" i="4"/>
  <c r="J324" i="4" s="1"/>
  <c r="I323" i="4"/>
  <c r="D323" i="4"/>
  <c r="J323" i="4" s="1"/>
  <c r="C318" i="4"/>
  <c r="B318" i="4"/>
  <c r="D318" i="4" s="1"/>
  <c r="J318" i="4" s="1"/>
  <c r="D317" i="4"/>
  <c r="J317" i="4" s="1"/>
  <c r="D316" i="4"/>
  <c r="J316" i="4" s="1"/>
  <c r="D315" i="4"/>
  <c r="J315" i="4" s="1"/>
  <c r="D314" i="4"/>
  <c r="J314" i="4" s="1"/>
  <c r="I313" i="4"/>
  <c r="D313" i="4"/>
  <c r="J313" i="4" s="1"/>
  <c r="I312" i="4"/>
  <c r="D312" i="4"/>
  <c r="J312" i="4" s="1"/>
  <c r="I311" i="4"/>
  <c r="D311" i="4"/>
  <c r="J311" i="4" s="1"/>
  <c r="I310" i="4"/>
  <c r="D310" i="4"/>
  <c r="J310" i="4" s="1"/>
  <c r="I309" i="4"/>
  <c r="D309" i="4"/>
  <c r="J309" i="4" s="1"/>
  <c r="I308" i="4"/>
  <c r="D308" i="4"/>
  <c r="J308" i="4" s="1"/>
  <c r="I307" i="4"/>
  <c r="D307" i="4"/>
  <c r="J307" i="4" s="1"/>
  <c r="I306" i="4"/>
  <c r="D306" i="4"/>
  <c r="J306" i="4" s="1"/>
  <c r="I305" i="4"/>
  <c r="D305" i="4"/>
  <c r="J305" i="4" s="1"/>
  <c r="I304" i="4"/>
  <c r="D304" i="4"/>
  <c r="J304" i="4" s="1"/>
  <c r="I303" i="4"/>
  <c r="D303" i="4"/>
  <c r="J303" i="4" s="1"/>
  <c r="I302" i="4"/>
  <c r="D302" i="4"/>
  <c r="J302" i="4" s="1"/>
  <c r="I301" i="4"/>
  <c r="D301" i="4"/>
  <c r="J301" i="4" s="1"/>
  <c r="I300" i="4"/>
  <c r="D300" i="4"/>
  <c r="J300" i="4" s="1"/>
  <c r="I299" i="4"/>
  <c r="D299" i="4"/>
  <c r="J299" i="4" s="1"/>
  <c r="I298" i="4"/>
  <c r="D298" i="4"/>
  <c r="J298" i="4" s="1"/>
  <c r="I297" i="4"/>
  <c r="D297" i="4"/>
  <c r="J297" i="4" s="1"/>
  <c r="I296" i="4"/>
  <c r="D296" i="4"/>
  <c r="J296" i="4" s="1"/>
  <c r="I295" i="4"/>
  <c r="D295" i="4"/>
  <c r="J295" i="4" s="1"/>
  <c r="I294" i="4"/>
  <c r="D294" i="4"/>
  <c r="J294" i="4" s="1"/>
  <c r="I293" i="4"/>
  <c r="D293" i="4"/>
  <c r="J293" i="4" s="1"/>
  <c r="I292" i="4"/>
  <c r="D292" i="4"/>
  <c r="J292" i="4" s="1"/>
  <c r="I291" i="4"/>
  <c r="D291" i="4"/>
  <c r="J291" i="4" s="1"/>
  <c r="I290" i="4"/>
  <c r="D290" i="4"/>
  <c r="J290" i="4" s="1"/>
  <c r="I289" i="4"/>
  <c r="D289" i="4"/>
  <c r="J289" i="4" s="1"/>
  <c r="I288" i="4"/>
  <c r="J288" i="4"/>
  <c r="I287" i="4"/>
  <c r="D287" i="4"/>
  <c r="J287" i="4" s="1"/>
  <c r="I286" i="4"/>
  <c r="D286" i="4"/>
  <c r="J286" i="4" s="1"/>
  <c r="I285" i="4"/>
  <c r="D285" i="4"/>
  <c r="J285" i="4" s="1"/>
  <c r="I284" i="4"/>
  <c r="D284" i="4"/>
  <c r="J284" i="4" s="1"/>
  <c r="D244" i="4"/>
  <c r="I244" i="4"/>
  <c r="J244" i="4"/>
  <c r="D245" i="4"/>
  <c r="I245" i="4"/>
  <c r="J245" i="4"/>
  <c r="D246" i="4"/>
  <c r="I246" i="4"/>
  <c r="J246" i="4"/>
  <c r="D247" i="4"/>
  <c r="I247" i="4"/>
  <c r="J247" i="4"/>
  <c r="D248" i="4"/>
  <c r="I248" i="4"/>
  <c r="J248" i="4"/>
  <c r="D249" i="4"/>
  <c r="I249" i="4"/>
  <c r="J249" i="4"/>
  <c r="D250" i="4"/>
  <c r="I250" i="4"/>
  <c r="J250" i="4"/>
  <c r="D251" i="4"/>
  <c r="I251" i="4"/>
  <c r="J251" i="4"/>
  <c r="D252" i="4"/>
  <c r="I252" i="4"/>
  <c r="J252" i="4"/>
  <c r="D253" i="4"/>
  <c r="I253" i="4"/>
  <c r="J253" i="4"/>
  <c r="D254" i="4"/>
  <c r="I254" i="4"/>
  <c r="J254" i="4"/>
  <c r="D255" i="4"/>
  <c r="I255" i="4"/>
  <c r="J255" i="4"/>
  <c r="D256" i="4"/>
  <c r="I256" i="4"/>
  <c r="J256" i="4"/>
  <c r="D257" i="4"/>
  <c r="I257" i="4"/>
  <c r="J257" i="4"/>
  <c r="D258" i="4"/>
  <c r="I258" i="4"/>
  <c r="J258" i="4"/>
  <c r="D259" i="4"/>
  <c r="I259" i="4"/>
  <c r="J259" i="4"/>
  <c r="D260" i="4"/>
  <c r="I260" i="4"/>
  <c r="J260" i="4"/>
  <c r="D261" i="4"/>
  <c r="I261" i="4"/>
  <c r="J261" i="4"/>
  <c r="D262" i="4"/>
  <c r="I262" i="4"/>
  <c r="J262" i="4"/>
  <c r="D263" i="4"/>
  <c r="I263" i="4"/>
  <c r="J263" i="4"/>
  <c r="D264" i="4"/>
  <c r="I264" i="4"/>
  <c r="J264" i="4"/>
  <c r="D265" i="4"/>
  <c r="I265" i="4"/>
  <c r="J265" i="4"/>
  <c r="D266" i="4"/>
  <c r="I266" i="4"/>
  <c r="J266" i="4"/>
  <c r="D267" i="4"/>
  <c r="I267" i="4"/>
  <c r="J267" i="4"/>
  <c r="D268" i="4"/>
  <c r="I268" i="4"/>
  <c r="J268" i="4"/>
  <c r="D269" i="4"/>
  <c r="I269" i="4"/>
  <c r="J269" i="4"/>
  <c r="D270" i="4"/>
  <c r="I270" i="4"/>
  <c r="J270" i="4"/>
  <c r="D271" i="4"/>
  <c r="I271" i="4"/>
  <c r="J271" i="4"/>
  <c r="D272" i="4"/>
  <c r="I272" i="4"/>
  <c r="J272" i="4"/>
  <c r="D273" i="4"/>
  <c r="I273" i="4"/>
  <c r="J273" i="4"/>
  <c r="D274" i="4"/>
  <c r="I274" i="4"/>
  <c r="J274" i="4"/>
  <c r="D275" i="4"/>
  <c r="J275" i="4"/>
  <c r="D276" i="4"/>
  <c r="J276" i="4"/>
  <c r="D277" i="4"/>
  <c r="J277" i="4"/>
  <c r="D278" i="4"/>
  <c r="J278" i="4"/>
  <c r="B279" i="4"/>
  <c r="C279" i="4"/>
  <c r="D279" i="4"/>
  <c r="J279" i="4"/>
  <c r="D238" i="4"/>
  <c r="J238" i="4" s="1"/>
  <c r="D237" i="4"/>
  <c r="J237" i="4" s="1"/>
  <c r="D236" i="4"/>
  <c r="J236" i="4" s="1"/>
  <c r="D235" i="4"/>
  <c r="J235" i="4" s="1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J217" i="4" s="1"/>
  <c r="D216" i="4"/>
  <c r="J216" i="4" s="1"/>
  <c r="D212" i="4"/>
  <c r="D211" i="4"/>
  <c r="D210" i="4"/>
  <c r="D209" i="4"/>
  <c r="D208" i="4"/>
  <c r="D207" i="4"/>
  <c r="D206" i="4"/>
  <c r="D205" i="4"/>
  <c r="C239" i="4"/>
  <c r="B239" i="4"/>
  <c r="D239" i="4" s="1"/>
  <c r="J239" i="4" s="1"/>
  <c r="J205" i="4" l="1"/>
  <c r="J206" i="4"/>
  <c r="J207" i="4"/>
  <c r="J208" i="4"/>
  <c r="J209" i="4"/>
  <c r="J210" i="4"/>
  <c r="J211" i="4"/>
  <c r="J212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D204" i="4"/>
  <c r="J204" i="4" s="1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G189" i="3" l="1"/>
  <c r="G188" i="3"/>
  <c r="G187" i="3"/>
  <c r="G186" i="3"/>
  <c r="G185" i="3"/>
  <c r="G184" i="3"/>
  <c r="G183" i="3"/>
  <c r="G182" i="3"/>
  <c r="G191" i="3"/>
  <c r="E481" i="3" l="1"/>
  <c r="C481" i="3"/>
  <c r="B481" i="3"/>
  <c r="F481" i="3" s="1"/>
  <c r="F480" i="3"/>
  <c r="F479" i="3"/>
  <c r="F478" i="3"/>
  <c r="F477" i="3"/>
  <c r="I477" i="3" s="1"/>
  <c r="F476" i="3"/>
  <c r="I476" i="3" s="1"/>
  <c r="F475" i="3"/>
  <c r="I475" i="3" s="1"/>
  <c r="F474" i="3"/>
  <c r="I474" i="3" s="1"/>
  <c r="F473" i="3"/>
  <c r="I473" i="3" s="1"/>
  <c r="F472" i="3"/>
  <c r="I472" i="3" s="1"/>
  <c r="F471" i="3"/>
  <c r="I471" i="3" s="1"/>
  <c r="F470" i="3"/>
  <c r="I470" i="3" s="1"/>
  <c r="F469" i="3"/>
  <c r="I469" i="3" s="1"/>
  <c r="F468" i="3"/>
  <c r="I468" i="3" s="1"/>
  <c r="F467" i="3"/>
  <c r="I467" i="3" s="1"/>
  <c r="F466" i="3"/>
  <c r="I466" i="3" s="1"/>
  <c r="F465" i="3"/>
  <c r="I465" i="3" s="1"/>
  <c r="F464" i="3"/>
  <c r="I464" i="3" s="1"/>
  <c r="F463" i="3"/>
  <c r="I463" i="3" s="1"/>
  <c r="F462" i="3"/>
  <c r="I462" i="3" s="1"/>
  <c r="F461" i="3"/>
  <c r="I461" i="3" s="1"/>
  <c r="F460" i="3"/>
  <c r="I460" i="3" s="1"/>
  <c r="F459" i="3"/>
  <c r="I459" i="3" s="1"/>
  <c r="F458" i="3"/>
  <c r="I458" i="3" s="1"/>
  <c r="F457" i="3"/>
  <c r="I457" i="3" s="1"/>
  <c r="F456" i="3"/>
  <c r="I456" i="3" s="1"/>
  <c r="F455" i="3"/>
  <c r="I455" i="3" s="1"/>
  <c r="F454" i="3"/>
  <c r="I454" i="3" s="1"/>
  <c r="F453" i="3"/>
  <c r="I453" i="3" s="1"/>
  <c r="F452" i="3"/>
  <c r="I452" i="3" s="1"/>
  <c r="F451" i="3"/>
  <c r="I451" i="3" s="1"/>
  <c r="F450" i="3"/>
  <c r="I450" i="3" s="1"/>
  <c r="F449" i="3"/>
  <c r="I449" i="3" s="1"/>
  <c r="F448" i="3"/>
  <c r="I448" i="3" s="1"/>
  <c r="F447" i="3"/>
  <c r="I447" i="3" s="1"/>
  <c r="F446" i="3"/>
  <c r="I446" i="3" s="1"/>
  <c r="E440" i="3"/>
  <c r="C440" i="3"/>
  <c r="B440" i="3"/>
  <c r="F440" i="3" s="1"/>
  <c r="F439" i="3"/>
  <c r="F438" i="3"/>
  <c r="F437" i="3"/>
  <c r="F436" i="3"/>
  <c r="I436" i="3" s="1"/>
  <c r="F435" i="3"/>
  <c r="I435" i="3" s="1"/>
  <c r="F434" i="3"/>
  <c r="I434" i="3" s="1"/>
  <c r="F433" i="3"/>
  <c r="I433" i="3" s="1"/>
  <c r="F432" i="3"/>
  <c r="I432" i="3" s="1"/>
  <c r="F431" i="3"/>
  <c r="I431" i="3" s="1"/>
  <c r="F430" i="3"/>
  <c r="I430" i="3" s="1"/>
  <c r="F429" i="3"/>
  <c r="I429" i="3" s="1"/>
  <c r="F428" i="3"/>
  <c r="I428" i="3" s="1"/>
  <c r="F427" i="3"/>
  <c r="I427" i="3" s="1"/>
  <c r="F426" i="3"/>
  <c r="I426" i="3" s="1"/>
  <c r="F425" i="3"/>
  <c r="I425" i="3" s="1"/>
  <c r="F424" i="3"/>
  <c r="I424" i="3" s="1"/>
  <c r="F423" i="3"/>
  <c r="I423" i="3" s="1"/>
  <c r="F422" i="3"/>
  <c r="I422" i="3" s="1"/>
  <c r="F421" i="3"/>
  <c r="I421" i="3" s="1"/>
  <c r="F420" i="3"/>
  <c r="I420" i="3" s="1"/>
  <c r="F419" i="3"/>
  <c r="I419" i="3" s="1"/>
  <c r="F418" i="3"/>
  <c r="I418" i="3" s="1"/>
  <c r="F417" i="3"/>
  <c r="I417" i="3" s="1"/>
  <c r="F416" i="3"/>
  <c r="I416" i="3" s="1"/>
  <c r="F415" i="3"/>
  <c r="I415" i="3" s="1"/>
  <c r="F414" i="3"/>
  <c r="I414" i="3" s="1"/>
  <c r="F413" i="3"/>
  <c r="I413" i="3" s="1"/>
  <c r="F412" i="3"/>
  <c r="I412" i="3" s="1"/>
  <c r="F411" i="3"/>
  <c r="I411" i="3" s="1"/>
  <c r="F410" i="3"/>
  <c r="I410" i="3" s="1"/>
  <c r="F409" i="3"/>
  <c r="I409" i="3" s="1"/>
  <c r="F408" i="3"/>
  <c r="I408" i="3" s="1"/>
  <c r="F407" i="3"/>
  <c r="I407" i="3" s="1"/>
  <c r="F406" i="3"/>
  <c r="I406" i="3" s="1"/>
  <c r="F405" i="3"/>
  <c r="I405" i="3" s="1"/>
  <c r="E400" i="3"/>
  <c r="C400" i="3"/>
  <c r="B400" i="3"/>
  <c r="F400" i="3" s="1"/>
  <c r="F399" i="3"/>
  <c r="F398" i="3"/>
  <c r="F397" i="3"/>
  <c r="F396" i="3"/>
  <c r="I396" i="3" s="1"/>
  <c r="F395" i="3"/>
  <c r="I395" i="3" s="1"/>
  <c r="F394" i="3"/>
  <c r="I394" i="3" s="1"/>
  <c r="F393" i="3"/>
  <c r="I393" i="3" s="1"/>
  <c r="F392" i="3"/>
  <c r="I392" i="3" s="1"/>
  <c r="F391" i="3"/>
  <c r="I391" i="3" s="1"/>
  <c r="F390" i="3"/>
  <c r="I390" i="3" s="1"/>
  <c r="F389" i="3"/>
  <c r="I389" i="3" s="1"/>
  <c r="F388" i="3"/>
  <c r="I388" i="3" s="1"/>
  <c r="F387" i="3"/>
  <c r="I387" i="3" s="1"/>
  <c r="F386" i="3"/>
  <c r="I386" i="3" s="1"/>
  <c r="F385" i="3"/>
  <c r="I385" i="3" s="1"/>
  <c r="F384" i="3"/>
  <c r="I384" i="3" s="1"/>
  <c r="F383" i="3"/>
  <c r="I383" i="3" s="1"/>
  <c r="F382" i="3"/>
  <c r="I382" i="3" s="1"/>
  <c r="F381" i="3"/>
  <c r="I381" i="3" s="1"/>
  <c r="F380" i="3"/>
  <c r="I380" i="3" s="1"/>
  <c r="F379" i="3"/>
  <c r="I379" i="3" s="1"/>
  <c r="F378" i="3"/>
  <c r="I378" i="3" s="1"/>
  <c r="F377" i="3"/>
  <c r="I377" i="3" s="1"/>
  <c r="F376" i="3"/>
  <c r="I376" i="3" s="1"/>
  <c r="F375" i="3"/>
  <c r="I375" i="3" s="1"/>
  <c r="F374" i="3"/>
  <c r="I374" i="3" s="1"/>
  <c r="I373" i="3"/>
  <c r="I372" i="3"/>
  <c r="I371" i="3"/>
  <c r="I370" i="3"/>
  <c r="F369" i="3"/>
  <c r="I369" i="3" s="1"/>
  <c r="F368" i="3"/>
  <c r="I368" i="3" s="1"/>
  <c r="F367" i="3"/>
  <c r="I367" i="3" s="1"/>
  <c r="F366" i="3"/>
  <c r="I366" i="3" s="1"/>
  <c r="F365" i="3"/>
  <c r="I365" i="3" s="1"/>
  <c r="E360" i="3"/>
  <c r="C360" i="3"/>
  <c r="B360" i="3"/>
  <c r="F360" i="3" s="1"/>
  <c r="F359" i="3"/>
  <c r="F358" i="3"/>
  <c r="F357" i="3"/>
  <c r="F356" i="3"/>
  <c r="I356" i="3" s="1"/>
  <c r="F355" i="3"/>
  <c r="I355" i="3" s="1"/>
  <c r="F354" i="3"/>
  <c r="I354" i="3" s="1"/>
  <c r="F353" i="3"/>
  <c r="I353" i="3" s="1"/>
  <c r="F352" i="3"/>
  <c r="I352" i="3" s="1"/>
  <c r="F351" i="3"/>
  <c r="I351" i="3" s="1"/>
  <c r="F350" i="3"/>
  <c r="I350" i="3" s="1"/>
  <c r="F349" i="3"/>
  <c r="I349" i="3" s="1"/>
  <c r="F348" i="3"/>
  <c r="I348" i="3" s="1"/>
  <c r="F347" i="3"/>
  <c r="I347" i="3" s="1"/>
  <c r="F346" i="3"/>
  <c r="I346" i="3" s="1"/>
  <c r="F345" i="3"/>
  <c r="I345" i="3" s="1"/>
  <c r="F344" i="3"/>
  <c r="I344" i="3" s="1"/>
  <c r="F343" i="3"/>
  <c r="I343" i="3" s="1"/>
  <c r="F342" i="3"/>
  <c r="I342" i="3" s="1"/>
  <c r="F341" i="3"/>
  <c r="I341" i="3" s="1"/>
  <c r="F340" i="3"/>
  <c r="I340" i="3" s="1"/>
  <c r="F339" i="3"/>
  <c r="I339" i="3" s="1"/>
  <c r="F338" i="3"/>
  <c r="I338" i="3" s="1"/>
  <c r="F337" i="3"/>
  <c r="I337" i="3" s="1"/>
  <c r="F336" i="3"/>
  <c r="I336" i="3" s="1"/>
  <c r="F335" i="3"/>
  <c r="I335" i="3" s="1"/>
  <c r="F334" i="3"/>
  <c r="I334" i="3" s="1"/>
  <c r="F333" i="3"/>
  <c r="I333" i="3" s="1"/>
  <c r="F332" i="3"/>
  <c r="I332" i="3" s="1"/>
  <c r="F331" i="3"/>
  <c r="I331" i="3" s="1"/>
  <c r="F330" i="3"/>
  <c r="I330" i="3" s="1"/>
  <c r="F329" i="3"/>
  <c r="I329" i="3" s="1"/>
  <c r="F328" i="3"/>
  <c r="I328" i="3" s="1"/>
  <c r="F327" i="3"/>
  <c r="I327" i="3" s="1"/>
  <c r="F326" i="3"/>
  <c r="I326" i="3" s="1"/>
  <c r="F325" i="3"/>
  <c r="I325" i="3" s="1"/>
  <c r="E320" i="3"/>
  <c r="C320" i="3"/>
  <c r="B320" i="3"/>
  <c r="F320" i="3" s="1"/>
  <c r="F319" i="3"/>
  <c r="F318" i="3"/>
  <c r="F317" i="3"/>
  <c r="F316" i="3"/>
  <c r="I316" i="3" s="1"/>
  <c r="F315" i="3"/>
  <c r="I315" i="3" s="1"/>
  <c r="F314" i="3"/>
  <c r="I314" i="3" s="1"/>
  <c r="F313" i="3"/>
  <c r="I313" i="3" s="1"/>
  <c r="F312" i="3"/>
  <c r="I312" i="3" s="1"/>
  <c r="F311" i="3"/>
  <c r="I311" i="3" s="1"/>
  <c r="F310" i="3"/>
  <c r="I310" i="3" s="1"/>
  <c r="F309" i="3"/>
  <c r="I309" i="3" s="1"/>
  <c r="F308" i="3"/>
  <c r="I308" i="3" s="1"/>
  <c r="F307" i="3"/>
  <c r="I307" i="3" s="1"/>
  <c r="F306" i="3"/>
  <c r="I306" i="3" s="1"/>
  <c r="F305" i="3"/>
  <c r="I305" i="3" s="1"/>
  <c r="F304" i="3"/>
  <c r="I304" i="3" s="1"/>
  <c r="F303" i="3"/>
  <c r="I303" i="3" s="1"/>
  <c r="F302" i="3"/>
  <c r="I302" i="3" s="1"/>
  <c r="F301" i="3"/>
  <c r="I301" i="3" s="1"/>
  <c r="F300" i="3"/>
  <c r="I300" i="3" s="1"/>
  <c r="F299" i="3"/>
  <c r="I299" i="3" s="1"/>
  <c r="F298" i="3"/>
  <c r="I298" i="3" s="1"/>
  <c r="F297" i="3"/>
  <c r="I297" i="3" s="1"/>
  <c r="F296" i="3"/>
  <c r="I296" i="3" s="1"/>
  <c r="F295" i="3"/>
  <c r="I295" i="3" s="1"/>
  <c r="F294" i="3"/>
  <c r="I294" i="3" s="1"/>
  <c r="F293" i="3"/>
  <c r="I293" i="3" s="1"/>
  <c r="F292" i="3"/>
  <c r="I292" i="3" s="1"/>
  <c r="F291" i="3"/>
  <c r="I291" i="3" s="1"/>
  <c r="F290" i="3"/>
  <c r="I290" i="3" s="1"/>
  <c r="F289" i="3"/>
  <c r="I289" i="3" s="1"/>
  <c r="F288" i="3"/>
  <c r="I288" i="3" s="1"/>
  <c r="F287" i="3"/>
  <c r="I287" i="3" s="1"/>
  <c r="F286" i="3"/>
  <c r="I286" i="3" s="1"/>
  <c r="F285" i="3"/>
  <c r="I285" i="3" s="1"/>
  <c r="E280" i="3"/>
  <c r="C280" i="3"/>
  <c r="B280" i="3"/>
  <c r="F280" i="3" s="1"/>
  <c r="F279" i="3"/>
  <c r="F278" i="3"/>
  <c r="F277" i="3"/>
  <c r="F276" i="3"/>
  <c r="I276" i="3" s="1"/>
  <c r="F275" i="3"/>
  <c r="I275" i="3" s="1"/>
  <c r="F274" i="3"/>
  <c r="I274" i="3" s="1"/>
  <c r="F273" i="3"/>
  <c r="I273" i="3" s="1"/>
  <c r="F272" i="3"/>
  <c r="I272" i="3" s="1"/>
  <c r="F271" i="3"/>
  <c r="I271" i="3" s="1"/>
  <c r="F270" i="3"/>
  <c r="I270" i="3" s="1"/>
  <c r="F269" i="3"/>
  <c r="I269" i="3" s="1"/>
  <c r="F268" i="3"/>
  <c r="I268" i="3" s="1"/>
  <c r="F267" i="3"/>
  <c r="I267" i="3" s="1"/>
  <c r="F266" i="3"/>
  <c r="I266" i="3" s="1"/>
  <c r="F265" i="3"/>
  <c r="I265" i="3" s="1"/>
  <c r="F264" i="3"/>
  <c r="I264" i="3" s="1"/>
  <c r="F263" i="3"/>
  <c r="I263" i="3" s="1"/>
  <c r="F262" i="3"/>
  <c r="I262" i="3" s="1"/>
  <c r="F261" i="3"/>
  <c r="I261" i="3" s="1"/>
  <c r="F260" i="3"/>
  <c r="I260" i="3" s="1"/>
  <c r="F259" i="3"/>
  <c r="I259" i="3" s="1"/>
  <c r="F258" i="3"/>
  <c r="I258" i="3" s="1"/>
  <c r="F257" i="3"/>
  <c r="I257" i="3" s="1"/>
  <c r="F256" i="3"/>
  <c r="I256" i="3" s="1"/>
  <c r="F255" i="3"/>
  <c r="I255" i="3" s="1"/>
  <c r="F254" i="3"/>
  <c r="I254" i="3" s="1"/>
  <c r="F253" i="3"/>
  <c r="I253" i="3" s="1"/>
  <c r="F252" i="3"/>
  <c r="I252" i="3" s="1"/>
  <c r="F251" i="3"/>
  <c r="I251" i="3" s="1"/>
  <c r="F250" i="3"/>
  <c r="I250" i="3" s="1"/>
  <c r="F249" i="3"/>
  <c r="I249" i="3" s="1"/>
  <c r="F248" i="3"/>
  <c r="I248" i="3" s="1"/>
  <c r="F247" i="3"/>
  <c r="I247" i="3" s="1"/>
  <c r="F246" i="3"/>
  <c r="I246" i="3" s="1"/>
  <c r="F245" i="3"/>
  <c r="I245" i="3" s="1"/>
  <c r="E240" i="3"/>
  <c r="C240" i="3"/>
  <c r="B240" i="3"/>
  <c r="F240" i="3" s="1"/>
  <c r="F239" i="3"/>
  <c r="F238" i="3"/>
  <c r="F237" i="3"/>
  <c r="F236" i="3"/>
  <c r="I236" i="3" s="1"/>
  <c r="F235" i="3"/>
  <c r="I235" i="3" s="1"/>
  <c r="F234" i="3"/>
  <c r="I234" i="3" s="1"/>
  <c r="F233" i="3"/>
  <c r="I233" i="3" s="1"/>
  <c r="F232" i="3"/>
  <c r="I232" i="3" s="1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I194" i="4"/>
  <c r="B194" i="4"/>
  <c r="B193" i="4"/>
  <c r="I205" i="3" l="1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06" i="3"/>
  <c r="F193" i="5" l="1"/>
  <c r="H192" i="4"/>
  <c r="B192" i="4" l="1"/>
  <c r="C185" i="4"/>
  <c r="H191" i="4" l="1"/>
  <c r="G191" i="4"/>
  <c r="B191" i="4"/>
  <c r="C190" i="4"/>
  <c r="B190" i="4"/>
  <c r="B189" i="4"/>
  <c r="H188" i="4"/>
  <c r="G188" i="4"/>
  <c r="C186" i="4"/>
  <c r="B188" i="4"/>
  <c r="F192" i="5"/>
  <c r="F189" i="5"/>
  <c r="E187" i="5"/>
  <c r="C187" i="4" l="1"/>
  <c r="G187" i="4"/>
  <c r="B187" i="4"/>
  <c r="C184" i="4"/>
  <c r="B186" i="4" l="1"/>
  <c r="H185" i="4"/>
  <c r="B185" i="4"/>
  <c r="B184" i="4"/>
  <c r="H182" i="4"/>
  <c r="C182" i="4"/>
  <c r="H181" i="4"/>
  <c r="C180" i="4"/>
  <c r="H180" i="4" l="1"/>
  <c r="G179" i="4"/>
  <c r="H179" i="4"/>
  <c r="G178" i="4"/>
  <c r="H178" i="4"/>
  <c r="C177" i="4"/>
  <c r="C174" i="4"/>
  <c r="G176" i="4"/>
  <c r="C168" i="4"/>
  <c r="C165" i="4"/>
  <c r="H144" i="4"/>
  <c r="H148" i="4"/>
  <c r="C144" i="4"/>
  <c r="C148" i="4"/>
  <c r="C141" i="4"/>
  <c r="G181" i="3"/>
  <c r="G180" i="3"/>
  <c r="G179" i="3"/>
  <c r="G178" i="3"/>
  <c r="G177" i="3"/>
  <c r="G176" i="3"/>
  <c r="G175" i="3"/>
  <c r="G174" i="3"/>
  <c r="G173" i="3"/>
  <c r="G172" i="3"/>
  <c r="G171" i="3"/>
  <c r="G170" i="3"/>
  <c r="B183" i="4"/>
  <c r="F186" i="5" l="1"/>
  <c r="F185" i="5"/>
  <c r="F184" i="5"/>
  <c r="F154" i="5" l="1"/>
  <c r="F182" i="5"/>
  <c r="F180" i="5"/>
  <c r="F179" i="5"/>
  <c r="F178" i="5"/>
  <c r="F176" i="5"/>
  <c r="F175" i="5"/>
  <c r="F174" i="5"/>
  <c r="F173" i="5"/>
  <c r="C176" i="4"/>
  <c r="H175" i="4"/>
  <c r="B182" i="4"/>
  <c r="G181" i="4"/>
  <c r="B181" i="4" l="1"/>
  <c r="G180" i="4"/>
  <c r="B180" i="4"/>
  <c r="C175" i="4"/>
  <c r="H172" i="4"/>
  <c r="C172" i="4"/>
  <c r="H176" i="4"/>
  <c r="H174" i="4"/>
  <c r="H173" i="4"/>
  <c r="F178" i="3" l="1"/>
  <c r="F179" i="3"/>
  <c r="F180" i="3"/>
  <c r="E152" i="3" l="1"/>
  <c r="C179" i="4" l="1"/>
  <c r="B179" i="4"/>
  <c r="B178" i="4"/>
  <c r="H177" i="4"/>
  <c r="B177" i="4"/>
  <c r="B176" i="4"/>
  <c r="B175" i="4" l="1"/>
  <c r="H170" i="4"/>
  <c r="H169" i="4"/>
  <c r="H167" i="4"/>
  <c r="C60" i="4" l="1"/>
  <c r="G166" i="3"/>
  <c r="G165" i="3"/>
  <c r="G167" i="3"/>
  <c r="G168" i="3"/>
  <c r="G154" i="3"/>
  <c r="G153" i="3"/>
  <c r="G152" i="3"/>
  <c r="G151" i="3"/>
  <c r="G174" i="4" l="1"/>
  <c r="B174" i="4"/>
  <c r="C173" i="4"/>
  <c r="B173" i="4"/>
  <c r="P49" i="6"/>
  <c r="P50" i="6"/>
  <c r="B172" i="4"/>
  <c r="H171" i="4"/>
  <c r="C171" i="4"/>
  <c r="G171" i="4"/>
  <c r="B171" i="4"/>
  <c r="B170" i="4"/>
  <c r="P51" i="6" l="1"/>
  <c r="F125" i="4"/>
  <c r="H125" i="4"/>
  <c r="F172" i="5" l="1"/>
  <c r="F171" i="5"/>
  <c r="F170" i="5"/>
  <c r="F167" i="5"/>
  <c r="F169" i="5"/>
  <c r="F168" i="5"/>
  <c r="F166" i="5"/>
  <c r="C166" i="4" l="1"/>
  <c r="C149" i="4"/>
  <c r="H137" i="4" l="1"/>
  <c r="B169" i="4" l="1"/>
  <c r="H168" i="4"/>
  <c r="B168" i="4"/>
  <c r="G167" i="4"/>
  <c r="B167" i="4"/>
  <c r="H166" i="4"/>
  <c r="B166" i="4"/>
  <c r="D166" i="3"/>
  <c r="H165" i="4" l="1"/>
  <c r="B165" i="4"/>
  <c r="C151" i="4"/>
  <c r="C150" i="4"/>
  <c r="C145" i="4"/>
  <c r="C139" i="4"/>
  <c r="C102" i="4"/>
  <c r="C96" i="4"/>
  <c r="H151" i="4"/>
  <c r="H152" i="4"/>
  <c r="C164" i="4"/>
  <c r="F165" i="5"/>
  <c r="D320" i="5"/>
  <c r="B320" i="5"/>
  <c r="E320" i="5" s="1"/>
  <c r="E319" i="5"/>
  <c r="E318" i="5"/>
  <c r="E317" i="5"/>
  <c r="E316" i="5"/>
  <c r="H316" i="5" s="1"/>
  <c r="E315" i="5"/>
  <c r="H315" i="5" s="1"/>
  <c r="E314" i="5"/>
  <c r="H314" i="5" s="1"/>
  <c r="E313" i="5"/>
  <c r="H313" i="5" s="1"/>
  <c r="E312" i="5"/>
  <c r="H312" i="5" s="1"/>
  <c r="E311" i="5"/>
  <c r="H311" i="5" s="1"/>
  <c r="E310" i="5"/>
  <c r="H310" i="5" s="1"/>
  <c r="E309" i="5"/>
  <c r="H309" i="5" s="1"/>
  <c r="E308" i="5"/>
  <c r="H308" i="5" s="1"/>
  <c r="E307" i="5"/>
  <c r="H307" i="5" s="1"/>
  <c r="E306" i="5"/>
  <c r="H306" i="5" s="1"/>
  <c r="E305" i="5"/>
  <c r="H305" i="5" s="1"/>
  <c r="E304" i="5"/>
  <c r="H304" i="5" s="1"/>
  <c r="E303" i="5"/>
  <c r="H303" i="5" s="1"/>
  <c r="E302" i="5"/>
  <c r="H302" i="5" s="1"/>
  <c r="E301" i="5"/>
  <c r="H301" i="5" s="1"/>
  <c r="E300" i="5"/>
  <c r="H300" i="5" s="1"/>
  <c r="E299" i="5"/>
  <c r="H299" i="5" s="1"/>
  <c r="E298" i="5"/>
  <c r="H298" i="5" s="1"/>
  <c r="E297" i="5"/>
  <c r="H297" i="5" s="1"/>
  <c r="E296" i="5"/>
  <c r="H296" i="5" s="1"/>
  <c r="E295" i="5"/>
  <c r="H295" i="5" s="1"/>
  <c r="E294" i="5"/>
  <c r="H294" i="5" s="1"/>
  <c r="E293" i="5"/>
  <c r="H293" i="5" s="1"/>
  <c r="E292" i="5"/>
  <c r="H292" i="5" s="1"/>
  <c r="E291" i="5"/>
  <c r="H291" i="5" s="1"/>
  <c r="E290" i="5"/>
  <c r="H290" i="5" s="1"/>
  <c r="E289" i="5"/>
  <c r="H289" i="5" s="1"/>
  <c r="E288" i="5"/>
  <c r="H288" i="5" s="1"/>
  <c r="E287" i="5"/>
  <c r="H287" i="5" s="1"/>
  <c r="E286" i="5"/>
  <c r="H286" i="5" s="1"/>
  <c r="E285" i="5"/>
  <c r="H285" i="5" s="1"/>
  <c r="D280" i="5"/>
  <c r="B280" i="5"/>
  <c r="E280" i="5" s="1"/>
  <c r="E279" i="5"/>
  <c r="E278" i="5"/>
  <c r="E277" i="5"/>
  <c r="E276" i="5"/>
  <c r="H276" i="5" s="1"/>
  <c r="E275" i="5"/>
  <c r="H275" i="5" s="1"/>
  <c r="E274" i="5"/>
  <c r="H274" i="5" s="1"/>
  <c r="E273" i="5"/>
  <c r="H273" i="5" s="1"/>
  <c r="E272" i="5"/>
  <c r="H272" i="5" s="1"/>
  <c r="E271" i="5"/>
  <c r="H271" i="5" s="1"/>
  <c r="E270" i="5"/>
  <c r="H270" i="5" s="1"/>
  <c r="E269" i="5"/>
  <c r="H269" i="5" s="1"/>
  <c r="E268" i="5"/>
  <c r="H268" i="5" s="1"/>
  <c r="E267" i="5"/>
  <c r="H267" i="5" s="1"/>
  <c r="E266" i="5"/>
  <c r="H266" i="5" s="1"/>
  <c r="E265" i="5"/>
  <c r="H265" i="5" s="1"/>
  <c r="E264" i="5"/>
  <c r="H264" i="5" s="1"/>
  <c r="E263" i="5"/>
  <c r="H263" i="5" s="1"/>
  <c r="E262" i="5"/>
  <c r="H262" i="5" s="1"/>
  <c r="E261" i="5"/>
  <c r="H261" i="5" s="1"/>
  <c r="E260" i="5"/>
  <c r="H260" i="5" s="1"/>
  <c r="E259" i="5"/>
  <c r="H259" i="5" s="1"/>
  <c r="E258" i="5"/>
  <c r="H258" i="5" s="1"/>
  <c r="E257" i="5"/>
  <c r="H257" i="5" s="1"/>
  <c r="E256" i="5"/>
  <c r="H256" i="5" s="1"/>
  <c r="E255" i="5"/>
  <c r="H255" i="5" s="1"/>
  <c r="E254" i="5"/>
  <c r="H254" i="5" s="1"/>
  <c r="E253" i="5"/>
  <c r="H253" i="5" s="1"/>
  <c r="E252" i="5"/>
  <c r="H252" i="5" s="1"/>
  <c r="E251" i="5"/>
  <c r="H251" i="5" s="1"/>
  <c r="E250" i="5"/>
  <c r="H250" i="5" s="1"/>
  <c r="E249" i="5"/>
  <c r="H249" i="5" s="1"/>
  <c r="E248" i="5"/>
  <c r="H248" i="5" s="1"/>
  <c r="E247" i="5"/>
  <c r="H247" i="5" s="1"/>
  <c r="E246" i="5"/>
  <c r="H246" i="5" s="1"/>
  <c r="E245" i="5"/>
  <c r="H245" i="5" s="1"/>
  <c r="D240" i="5"/>
  <c r="B240" i="5"/>
  <c r="E240" i="5" s="1"/>
  <c r="E239" i="5"/>
  <c r="E238" i="5"/>
  <c r="E237" i="5"/>
  <c r="E236" i="5"/>
  <c r="H236" i="5" s="1"/>
  <c r="E235" i="5"/>
  <c r="H235" i="5" s="1"/>
  <c r="E234" i="5"/>
  <c r="H234" i="5" s="1"/>
  <c r="E233" i="5"/>
  <c r="H233" i="5" s="1"/>
  <c r="E232" i="5"/>
  <c r="H232" i="5" s="1"/>
  <c r="E231" i="5"/>
  <c r="H231" i="5" s="1"/>
  <c r="E230" i="5"/>
  <c r="H230" i="5" s="1"/>
  <c r="E229" i="5"/>
  <c r="H229" i="5" s="1"/>
  <c r="E228" i="5"/>
  <c r="H228" i="5" s="1"/>
  <c r="E227" i="5"/>
  <c r="H227" i="5" s="1"/>
  <c r="E226" i="5"/>
  <c r="H226" i="5" s="1"/>
  <c r="E225" i="5"/>
  <c r="H225" i="5" s="1"/>
  <c r="E224" i="5"/>
  <c r="H224" i="5" s="1"/>
  <c r="H223" i="5"/>
  <c r="E222" i="5"/>
  <c r="H222" i="5" s="1"/>
  <c r="E221" i="5"/>
  <c r="H221" i="5" s="1"/>
  <c r="E220" i="5"/>
  <c r="H220" i="5" s="1"/>
  <c r="E219" i="5"/>
  <c r="H219" i="5" s="1"/>
  <c r="E218" i="5"/>
  <c r="H218" i="5" s="1"/>
  <c r="H217" i="5"/>
  <c r="E216" i="5"/>
  <c r="H216" i="5" s="1"/>
  <c r="E215" i="5"/>
  <c r="H215" i="5" s="1"/>
  <c r="E214" i="5"/>
  <c r="H214" i="5" s="1"/>
  <c r="E213" i="5"/>
  <c r="H213" i="5" s="1"/>
  <c r="E212" i="5"/>
  <c r="H212" i="5" s="1"/>
  <c r="E211" i="5"/>
  <c r="H211" i="5" s="1"/>
  <c r="E210" i="5"/>
  <c r="H210" i="5" s="1"/>
  <c r="E209" i="5"/>
  <c r="H209" i="5" s="1"/>
  <c r="E208" i="5"/>
  <c r="H208" i="5" s="1"/>
  <c r="E207" i="5"/>
  <c r="H207" i="5" s="1"/>
  <c r="E206" i="5"/>
  <c r="H206" i="5" s="1"/>
  <c r="E205" i="5"/>
  <c r="H205" i="5" s="1"/>
  <c r="F153" i="5"/>
  <c r="F152" i="5"/>
  <c r="F151" i="5"/>
  <c r="H133" i="4" l="1"/>
  <c r="H131" i="4"/>
  <c r="H130" i="4"/>
  <c r="H127" i="4"/>
  <c r="H124" i="4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165" i="5"/>
  <c r="H164" i="4" l="1"/>
  <c r="B164" i="4"/>
  <c r="G153" i="4"/>
  <c r="H153" i="4"/>
  <c r="G148" i="4"/>
  <c r="H146" i="4"/>
  <c r="H145" i="4"/>
  <c r="G145" i="4"/>
  <c r="H142" i="4"/>
  <c r="H141" i="4"/>
  <c r="G141" i="4"/>
  <c r="H140" i="4" l="1"/>
  <c r="H136" i="4"/>
  <c r="F108" i="1"/>
  <c r="G150" i="3" l="1"/>
  <c r="B149" i="3"/>
  <c r="G149" i="3"/>
  <c r="G147" i="3"/>
  <c r="B153" i="4" l="1"/>
  <c r="B152" i="4"/>
  <c r="B151" i="4"/>
  <c r="H150" i="4"/>
  <c r="B150" i="4" l="1"/>
  <c r="H149" i="4"/>
  <c r="H147" i="4"/>
  <c r="G148" i="3" l="1"/>
  <c r="G142" i="3"/>
  <c r="G146" i="3" l="1"/>
  <c r="G145" i="3"/>
  <c r="G144" i="3"/>
  <c r="G143" i="3"/>
  <c r="G140" i="3"/>
  <c r="G139" i="3"/>
  <c r="G138" i="3"/>
  <c r="G137" i="3"/>
  <c r="G135" i="3"/>
  <c r="F150" i="5" l="1"/>
  <c r="F149" i="5"/>
  <c r="F143" i="5"/>
  <c r="F142" i="5"/>
  <c r="F146" i="5"/>
  <c r="F148" i="5"/>
  <c r="F147" i="5"/>
  <c r="B149" i="4"/>
  <c r="B146" i="4"/>
  <c r="I148" i="4"/>
  <c r="I149" i="4"/>
  <c r="B148" i="4"/>
  <c r="C147" i="4"/>
  <c r="B147" i="4"/>
  <c r="B144" i="4" l="1"/>
  <c r="E138" i="3"/>
  <c r="B147" i="3"/>
  <c r="B143" i="3" l="1"/>
  <c r="B145" i="4"/>
  <c r="H143" i="4"/>
  <c r="G143" i="4"/>
  <c r="C143" i="4"/>
  <c r="B143" i="4" l="1"/>
  <c r="F145" i="5"/>
  <c r="F144" i="5"/>
  <c r="G141" i="3"/>
  <c r="B142" i="4" l="1"/>
  <c r="F141" i="5"/>
  <c r="F140" i="5"/>
  <c r="F139" i="5"/>
  <c r="C138" i="4"/>
  <c r="G133" i="4"/>
  <c r="G140" i="4"/>
  <c r="B141" i="4"/>
  <c r="C97" i="4" l="1"/>
  <c r="C131" i="4"/>
  <c r="G138" i="4" l="1"/>
  <c r="H139" i="4"/>
  <c r="C137" i="4"/>
  <c r="C124" i="4"/>
  <c r="C140" i="4"/>
  <c r="B140" i="4"/>
  <c r="B139" i="4" l="1"/>
  <c r="H138" i="4"/>
  <c r="B138" i="4"/>
  <c r="B137" i="4" l="1"/>
  <c r="C136" i="4"/>
  <c r="B136" i="4"/>
  <c r="G134" i="3"/>
  <c r="G133" i="3"/>
  <c r="G132" i="3"/>
  <c r="G131" i="3"/>
  <c r="E130" i="3"/>
  <c r="G58" i="3" l="1"/>
  <c r="G57" i="3"/>
  <c r="G56" i="3"/>
  <c r="C87" i="4"/>
  <c r="C114" i="4"/>
  <c r="F135" i="5"/>
  <c r="F134" i="5"/>
  <c r="F133" i="5"/>
  <c r="F132" i="5"/>
  <c r="F131" i="5"/>
  <c r="F130" i="5"/>
  <c r="F129" i="5"/>
  <c r="F128" i="5" l="1"/>
  <c r="F126" i="5"/>
  <c r="F125" i="5"/>
  <c r="F115" i="5"/>
  <c r="F112" i="5"/>
  <c r="F110" i="5"/>
  <c r="F109" i="5"/>
  <c r="F108" i="5"/>
  <c r="F107" i="5"/>
  <c r="F106" i="5"/>
  <c r="F105" i="5"/>
  <c r="F113" i="5"/>
  <c r="G135" i="4"/>
  <c r="H135" i="4"/>
  <c r="H134" i="4"/>
  <c r="H132" i="4"/>
  <c r="G130" i="4"/>
  <c r="H109" i="4"/>
  <c r="H113" i="4"/>
  <c r="H114" i="4"/>
  <c r="G128" i="4"/>
  <c r="C127" i="4"/>
  <c r="G127" i="4"/>
  <c r="C135" i="4" l="1"/>
  <c r="B135" i="4"/>
  <c r="C132" i="4"/>
  <c r="B132" i="4"/>
  <c r="C113" i="4"/>
  <c r="H108" i="4"/>
  <c r="C108" i="4"/>
  <c r="H107" i="4"/>
  <c r="C106" i="4"/>
  <c r="H106" i="4" l="1"/>
  <c r="H101" i="4"/>
  <c r="B134" i="4" l="1"/>
  <c r="I132" i="4"/>
  <c r="I133" i="4"/>
  <c r="D132" i="4"/>
  <c r="J132" i="4" s="1"/>
  <c r="C133" i="4"/>
  <c r="B133" i="4" l="1"/>
  <c r="D133" i="4" s="1"/>
  <c r="J133" i="4" s="1"/>
  <c r="C129" i="4"/>
  <c r="G129" i="4"/>
  <c r="G124" i="4"/>
  <c r="C130" i="4"/>
  <c r="E133" i="3" l="1"/>
  <c r="G115" i="3"/>
  <c r="G114" i="3"/>
  <c r="G113" i="3"/>
  <c r="G112" i="3"/>
  <c r="G111" i="3"/>
  <c r="G110" i="3"/>
  <c r="G109" i="3"/>
  <c r="G108" i="3"/>
  <c r="G130" i="3"/>
  <c r="G129" i="3"/>
  <c r="G128" i="3"/>
  <c r="G125" i="3"/>
  <c r="G107" i="4" l="1"/>
  <c r="H112" i="4"/>
  <c r="G111" i="4"/>
  <c r="H111" i="4"/>
  <c r="H110" i="4"/>
  <c r="H129" i="4"/>
  <c r="H128" i="4"/>
  <c r="B131" i="4"/>
  <c r="B130" i="4" l="1"/>
  <c r="H95" i="4"/>
  <c r="H94" i="4"/>
  <c r="H90" i="4"/>
  <c r="H88" i="4"/>
  <c r="H85" i="4"/>
  <c r="B129" i="4" l="1"/>
  <c r="C128" i="4"/>
  <c r="B128" i="4"/>
  <c r="B127" i="4" l="1"/>
  <c r="C125" i="4"/>
  <c r="B125" i="4"/>
  <c r="F114" i="5" l="1"/>
  <c r="F111" i="5"/>
  <c r="B113" i="3" l="1"/>
  <c r="B124" i="4" l="1"/>
  <c r="B114" i="4" l="1"/>
  <c r="B113" i="4"/>
  <c r="G112" i="4"/>
  <c r="C112" i="4"/>
  <c r="B112" i="4" l="1"/>
  <c r="C111" i="4"/>
  <c r="B111" i="4"/>
  <c r="G110" i="4"/>
  <c r="B110" i="4" l="1"/>
  <c r="C109" i="4"/>
  <c r="B109" i="4"/>
  <c r="G108" i="4"/>
  <c r="B108" i="4"/>
  <c r="C107" i="4"/>
  <c r="B107" i="4"/>
  <c r="B112" i="3"/>
  <c r="G89" i="3" l="1"/>
  <c r="H104" i="4"/>
  <c r="D106" i="4"/>
  <c r="D107" i="4"/>
  <c r="G105" i="4"/>
  <c r="H105" i="4"/>
  <c r="H102" i="4"/>
  <c r="G101" i="4"/>
  <c r="G97" i="4"/>
  <c r="G90" i="4"/>
  <c r="G94" i="4"/>
  <c r="G106" i="3"/>
  <c r="C88" i="4"/>
  <c r="G105" i="3" l="1"/>
  <c r="G107" i="3"/>
  <c r="G104" i="3"/>
  <c r="G103" i="3"/>
  <c r="G102" i="3"/>
  <c r="G101" i="3"/>
  <c r="C93" i="4" l="1"/>
  <c r="B103" i="3" l="1"/>
  <c r="B104" i="3"/>
  <c r="F103" i="5" l="1"/>
  <c r="F104" i="5"/>
  <c r="F101" i="5"/>
  <c r="E101" i="5"/>
  <c r="F92" i="5"/>
  <c r="F98" i="5"/>
  <c r="F100" i="5"/>
  <c r="C103" i="4"/>
  <c r="C105" i="4"/>
  <c r="B105" i="4"/>
  <c r="D105" i="4" s="1"/>
  <c r="B104" i="4"/>
  <c r="H103" i="4"/>
  <c r="G103" i="4"/>
  <c r="B103" i="4"/>
  <c r="B102" i="4" l="1"/>
  <c r="C101" i="4"/>
  <c r="B101" i="4"/>
  <c r="G93" i="3" l="1"/>
  <c r="G92" i="3"/>
  <c r="H50" i="4"/>
  <c r="H71" i="4"/>
  <c r="H70" i="4"/>
  <c r="H69" i="4"/>
  <c r="H68" i="4"/>
  <c r="H66" i="4"/>
  <c r="H63" i="4"/>
  <c r="H59" i="4"/>
  <c r="H57" i="4"/>
  <c r="H56" i="4"/>
  <c r="H55" i="4"/>
  <c r="H54" i="4"/>
  <c r="H53" i="4"/>
  <c r="G71" i="4"/>
  <c r="H100" i="4"/>
  <c r="G99" i="4"/>
  <c r="H99" i="4"/>
  <c r="H98" i="4"/>
  <c r="G98" i="4"/>
  <c r="G99" i="3"/>
  <c r="G98" i="3"/>
  <c r="G97" i="3"/>
  <c r="G96" i="3"/>
  <c r="G95" i="3"/>
  <c r="C100" i="4" l="1"/>
  <c r="B100" i="4"/>
  <c r="F97" i="5" l="1"/>
  <c r="F96" i="5"/>
  <c r="F94" i="5"/>
  <c r="F93" i="5"/>
  <c r="C98" i="4"/>
  <c r="C71" i="4" l="1"/>
  <c r="G94" i="3"/>
  <c r="C99" i="4"/>
  <c r="B99" i="4"/>
  <c r="C95" i="4"/>
  <c r="B98" i="4"/>
  <c r="H96" i="4"/>
  <c r="B96" i="4"/>
  <c r="G90" i="3" l="1"/>
  <c r="G88" i="3"/>
  <c r="G87" i="3"/>
  <c r="B95" i="4"/>
  <c r="H93" i="4"/>
  <c r="G93" i="4"/>
  <c r="H92" i="4"/>
  <c r="C92" i="4"/>
  <c r="G89" i="4"/>
  <c r="H89" i="4"/>
  <c r="G87" i="4"/>
  <c r="C86" i="4"/>
  <c r="F91" i="5" l="1"/>
  <c r="B94" i="4" l="1"/>
  <c r="B93" i="4"/>
  <c r="G91" i="3" l="1"/>
  <c r="E5" i="5"/>
  <c r="B92" i="4"/>
  <c r="H91" i="4"/>
  <c r="B91" i="4"/>
  <c r="B90" i="4"/>
  <c r="C90" i="4"/>
  <c r="E63" i="3" l="1"/>
  <c r="C85" i="4"/>
  <c r="H45" i="4"/>
  <c r="F90" i="5" l="1"/>
  <c r="F88" i="5"/>
  <c r="F89" i="5"/>
  <c r="F87" i="5"/>
  <c r="F86" i="5"/>
  <c r="F72" i="5"/>
  <c r="F71" i="5"/>
  <c r="F70" i="5"/>
  <c r="F68" i="5"/>
  <c r="F66" i="5"/>
  <c r="F67" i="5"/>
  <c r="G68" i="4"/>
  <c r="C89" i="4" l="1"/>
  <c r="B89" i="4"/>
  <c r="F75" i="3"/>
  <c r="G85" i="3" l="1"/>
  <c r="G86" i="3"/>
  <c r="H87" i="4"/>
  <c r="H86" i="4" l="1"/>
  <c r="C67" i="4"/>
  <c r="C54" i="4"/>
  <c r="G72" i="3" l="1"/>
  <c r="G88" i="4"/>
  <c r="B88" i="4"/>
  <c r="B87" i="4" l="1"/>
  <c r="B86" i="4" l="1"/>
  <c r="B85" i="4"/>
  <c r="I114" i="4"/>
  <c r="H84" i="4"/>
  <c r="B84" i="4"/>
  <c r="C59" i="4"/>
  <c r="G70" i="3" l="1"/>
  <c r="G71" i="3"/>
  <c r="B71" i="4" l="1"/>
  <c r="G70" i="4" l="1"/>
  <c r="C70" i="4"/>
  <c r="B70" i="4"/>
  <c r="G69" i="4"/>
  <c r="E68" i="3"/>
  <c r="B69" i="4" l="1"/>
  <c r="C68" i="4" l="1"/>
  <c r="B68" i="4"/>
  <c r="H67" i="4"/>
  <c r="F67" i="4"/>
  <c r="B67" i="4"/>
  <c r="G64" i="4"/>
  <c r="C64" i="4"/>
  <c r="C63" i="4"/>
  <c r="C62" i="4"/>
  <c r="H62" i="4"/>
  <c r="G61" i="4"/>
  <c r="H61" i="4"/>
  <c r="H60" i="4"/>
  <c r="H58" i="4"/>
  <c r="C57" i="4"/>
  <c r="E65" i="3" l="1"/>
  <c r="G69" i="3"/>
  <c r="G68" i="3" l="1"/>
  <c r="G67" i="3"/>
  <c r="B66" i="4" l="1"/>
  <c r="H65" i="4"/>
  <c r="B65" i="4"/>
  <c r="G65" i="4"/>
  <c r="C65" i="4"/>
  <c r="H64" i="4"/>
  <c r="B64" i="4"/>
  <c r="F65" i="5" l="1"/>
  <c r="F63" i="5"/>
  <c r="F64" i="5"/>
  <c r="F62" i="5"/>
  <c r="F61" i="5"/>
  <c r="F60" i="5"/>
  <c r="F59" i="5"/>
  <c r="F58" i="5"/>
  <c r="F57" i="5"/>
  <c r="F55" i="5"/>
  <c r="F56" i="5"/>
  <c r="G66" i="3" l="1"/>
  <c r="G64" i="3" l="1"/>
  <c r="G63" i="3"/>
  <c r="G65" i="3"/>
  <c r="C46" i="4"/>
  <c r="G61" i="3" l="1"/>
  <c r="G60" i="3"/>
  <c r="G59" i="3"/>
  <c r="G62" i="3"/>
  <c r="G54" i="4" l="1"/>
  <c r="C27" i="4"/>
  <c r="G63" i="4" l="1"/>
  <c r="B63" i="4"/>
  <c r="G62" i="4" l="1"/>
  <c r="B62" i="4" l="1"/>
  <c r="C61" i="4"/>
  <c r="B61" i="4"/>
  <c r="G60" i="4"/>
  <c r="B60" i="4"/>
  <c r="B59" i="4"/>
  <c r="B58" i="4" l="1"/>
  <c r="G57" i="4" l="1"/>
  <c r="B57" i="4"/>
  <c r="C55" i="4"/>
  <c r="C52" i="4" l="1"/>
  <c r="C56" i="4"/>
  <c r="G55" i="4"/>
  <c r="G34" i="4"/>
  <c r="C34" i="4"/>
  <c r="C30" i="4"/>
  <c r="C49" i="4" l="1"/>
  <c r="G56" i="4"/>
  <c r="B56" i="4"/>
  <c r="H52" i="4" l="1"/>
  <c r="G50" i="4"/>
  <c r="G55" i="3"/>
  <c r="G54" i="3"/>
  <c r="G53" i="3"/>
  <c r="G52" i="3"/>
  <c r="G51" i="3"/>
  <c r="G49" i="3"/>
  <c r="B55" i="4"/>
  <c r="G49" i="4"/>
  <c r="H51" i="4"/>
  <c r="G47" i="4"/>
  <c r="F53" i="5" l="1"/>
  <c r="F54" i="5"/>
  <c r="F52" i="5"/>
  <c r="F51" i="5"/>
  <c r="F46" i="5"/>
  <c r="G47" i="3"/>
  <c r="C53" i="4" l="1"/>
  <c r="B54" i="4"/>
  <c r="B53" i="4" l="1"/>
  <c r="C48" i="4"/>
  <c r="B52" i="4" l="1"/>
  <c r="C32" i="4" l="1"/>
  <c r="C50" i="4"/>
  <c r="F50" i="5"/>
  <c r="F48" i="5"/>
  <c r="F49" i="5"/>
  <c r="G50" i="3"/>
  <c r="C51" i="4" l="1"/>
  <c r="B51" i="4"/>
  <c r="B50" i="4"/>
  <c r="B49" i="4"/>
  <c r="H48" i="4"/>
  <c r="B48" i="4" l="1"/>
  <c r="B47" i="4"/>
  <c r="G48" i="3"/>
  <c r="F47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25" i="5"/>
  <c r="C33" i="4" l="1"/>
  <c r="G46" i="3"/>
  <c r="G32" i="4" l="1"/>
  <c r="G31" i="4"/>
  <c r="C31" i="4"/>
  <c r="G27" i="4" l="1"/>
  <c r="C26" i="4"/>
  <c r="C19" i="4"/>
  <c r="H44" i="4"/>
  <c r="G44" i="4"/>
  <c r="B46" i="4"/>
  <c r="B45" i="4"/>
  <c r="F35" i="5" l="1"/>
  <c r="F34" i="5"/>
  <c r="F33" i="5"/>
  <c r="G45" i="3"/>
  <c r="G35" i="3" l="1"/>
  <c r="G34" i="3"/>
  <c r="G33" i="3"/>
  <c r="F30" i="5"/>
  <c r="G30" i="3"/>
  <c r="F35" i="3" l="1"/>
  <c r="C44" i="4" l="1"/>
  <c r="B44" i="4"/>
  <c r="F32" i="5"/>
  <c r="I34" i="4"/>
  <c r="B34" i="4"/>
  <c r="B33" i="4"/>
  <c r="H32" i="4"/>
  <c r="B32" i="4"/>
  <c r="B31" i="4"/>
  <c r="G32" i="3"/>
  <c r="G31" i="3"/>
  <c r="G29" i="3"/>
  <c r="G24" i="3" l="1"/>
  <c r="G26" i="3" l="1"/>
  <c r="H27" i="4" l="1"/>
  <c r="C29" i="4"/>
  <c r="G20" i="4"/>
  <c r="C24" i="4"/>
  <c r="G24" i="4"/>
  <c r="B17" i="4" l="1"/>
  <c r="C17" i="4"/>
  <c r="G17" i="4"/>
  <c r="C15" i="4"/>
  <c r="B30" i="4"/>
  <c r="H29" i="4"/>
  <c r="B29" i="4"/>
  <c r="H28" i="4"/>
  <c r="B28" i="4"/>
  <c r="B27" i="4" l="1"/>
  <c r="B26" i="4"/>
  <c r="B24" i="4"/>
  <c r="G23" i="4"/>
  <c r="B23" i="4"/>
  <c r="G25" i="4"/>
  <c r="C25" i="4"/>
  <c r="B25" i="4"/>
  <c r="H209" i="2" l="1"/>
  <c r="C208" i="2"/>
  <c r="F21" i="5" l="1"/>
  <c r="F19" i="5"/>
  <c r="F16" i="5"/>
  <c r="H14" i="4"/>
  <c r="H10" i="4"/>
  <c r="F6" i="5"/>
  <c r="G23" i="3"/>
  <c r="G20" i="3" l="1"/>
  <c r="G19" i="3"/>
  <c r="G18" i="3"/>
  <c r="G16" i="3" l="1"/>
  <c r="G14" i="3"/>
  <c r="G13" i="3"/>
  <c r="G12" i="3"/>
  <c r="C12" i="3"/>
  <c r="B11" i="4" l="1"/>
  <c r="H21" i="4"/>
  <c r="C20" i="4"/>
  <c r="I17" i="4" l="1"/>
  <c r="C16" i="4"/>
  <c r="C10" i="4"/>
  <c r="H9" i="4"/>
  <c r="C9" i="4"/>
  <c r="C7" i="4"/>
  <c r="C6" i="4"/>
  <c r="C22" i="4"/>
  <c r="B22" i="4"/>
  <c r="B21" i="4"/>
  <c r="C13" i="4"/>
  <c r="B20" i="4"/>
  <c r="B19" i="4" l="1"/>
  <c r="G18" i="4"/>
  <c r="I18" i="4" s="1"/>
  <c r="C18" i="4"/>
  <c r="B18" i="4"/>
  <c r="H8" i="4" l="1"/>
  <c r="C8" i="4"/>
  <c r="B16" i="4"/>
  <c r="B15" i="4"/>
  <c r="B14" i="4"/>
  <c r="G13" i="4"/>
  <c r="B13" i="4" l="1"/>
  <c r="G12" i="4"/>
  <c r="C12" i="4"/>
  <c r="B12" i="4"/>
  <c r="G11" i="4"/>
  <c r="G10" i="4"/>
  <c r="C11" i="4"/>
  <c r="G15" i="3"/>
  <c r="G10" i="3"/>
  <c r="G11" i="3"/>
  <c r="G9" i="3"/>
  <c r="E86" i="5" l="1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8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45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6" i="5"/>
  <c r="D200" i="5"/>
  <c r="B200" i="5"/>
  <c r="E200" i="5" s="1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D160" i="5"/>
  <c r="B160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D120" i="5"/>
  <c r="B120" i="5"/>
  <c r="E120" i="5" s="1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D80" i="5"/>
  <c r="B80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D40" i="5"/>
  <c r="B40" i="5"/>
  <c r="E40" i="5" s="1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5" i="5"/>
  <c r="B10" i="4"/>
  <c r="G8" i="3"/>
  <c r="G7" i="3"/>
  <c r="G6" i="3"/>
  <c r="I142" i="2"/>
  <c r="I160" i="2"/>
  <c r="I159" i="2"/>
  <c r="I158" i="2"/>
  <c r="I156" i="2"/>
  <c r="I155" i="2"/>
  <c r="I153" i="2"/>
  <c r="I151" i="2"/>
  <c r="I147" i="2"/>
  <c r="I146" i="2"/>
  <c r="C190" i="2"/>
  <c r="E80" i="5" l="1"/>
  <c r="H6" i="5"/>
  <c r="H7" i="5"/>
  <c r="H8" i="5"/>
  <c r="B9" i="4" l="1"/>
  <c r="I187" i="2" l="1"/>
  <c r="E200" i="3" l="1"/>
  <c r="C200" i="3"/>
  <c r="B200" i="3"/>
  <c r="F200" i="3" s="1"/>
  <c r="F199" i="3"/>
  <c r="F198" i="3"/>
  <c r="F197" i="3"/>
  <c r="F196" i="3"/>
  <c r="I196" i="3" s="1"/>
  <c r="F195" i="3"/>
  <c r="I195" i="3" s="1"/>
  <c r="F194" i="3"/>
  <c r="I194" i="3" s="1"/>
  <c r="F193" i="3"/>
  <c r="I193" i="3" s="1"/>
  <c r="F192" i="3"/>
  <c r="I192" i="3" s="1"/>
  <c r="F191" i="3"/>
  <c r="I191" i="3" s="1"/>
  <c r="F190" i="3"/>
  <c r="I190" i="3" s="1"/>
  <c r="F189" i="3"/>
  <c r="I189" i="3" s="1"/>
  <c r="F188" i="3"/>
  <c r="I188" i="3" s="1"/>
  <c r="F187" i="3"/>
  <c r="I187" i="3" s="1"/>
  <c r="F186" i="3"/>
  <c r="I186" i="3" s="1"/>
  <c r="F185" i="3"/>
  <c r="I185" i="3" s="1"/>
  <c r="F184" i="3"/>
  <c r="I184" i="3" s="1"/>
  <c r="F183" i="3"/>
  <c r="I183" i="3" s="1"/>
  <c r="F182" i="3"/>
  <c r="I182" i="3" s="1"/>
  <c r="F181" i="3"/>
  <c r="I181" i="3" s="1"/>
  <c r="I180" i="3"/>
  <c r="I179" i="3"/>
  <c r="I178" i="3"/>
  <c r="F177" i="3"/>
  <c r="I177" i="3" s="1"/>
  <c r="F176" i="3"/>
  <c r="I176" i="3" s="1"/>
  <c r="F175" i="3"/>
  <c r="I175" i="3" s="1"/>
  <c r="F174" i="3"/>
  <c r="I174" i="3" s="1"/>
  <c r="F173" i="3"/>
  <c r="I173" i="3" s="1"/>
  <c r="F172" i="3"/>
  <c r="I172" i="3" s="1"/>
  <c r="F171" i="3"/>
  <c r="I171" i="3" s="1"/>
  <c r="F170" i="3"/>
  <c r="I170" i="3" s="1"/>
  <c r="F169" i="3"/>
  <c r="I169" i="3" s="1"/>
  <c r="F168" i="3"/>
  <c r="I168" i="3" s="1"/>
  <c r="F167" i="3"/>
  <c r="I167" i="3" s="1"/>
  <c r="F166" i="3"/>
  <c r="I166" i="3" s="1"/>
  <c r="F165" i="3"/>
  <c r="I165" i="3" s="1"/>
  <c r="E160" i="3"/>
  <c r="C160" i="3"/>
  <c r="B160" i="3"/>
  <c r="F160" i="3" s="1"/>
  <c r="F159" i="3"/>
  <c r="F158" i="3"/>
  <c r="F157" i="3"/>
  <c r="F156" i="3"/>
  <c r="I156" i="3" s="1"/>
  <c r="F155" i="3"/>
  <c r="I155" i="3" s="1"/>
  <c r="F154" i="3"/>
  <c r="I154" i="3" s="1"/>
  <c r="F153" i="3"/>
  <c r="I153" i="3" s="1"/>
  <c r="F152" i="3"/>
  <c r="I152" i="3" s="1"/>
  <c r="F151" i="3"/>
  <c r="I151" i="3" s="1"/>
  <c r="F150" i="3"/>
  <c r="I150" i="3" s="1"/>
  <c r="F149" i="3"/>
  <c r="I149" i="3" s="1"/>
  <c r="F148" i="3"/>
  <c r="I148" i="3" s="1"/>
  <c r="F147" i="3"/>
  <c r="I147" i="3" s="1"/>
  <c r="F146" i="3"/>
  <c r="I146" i="3" s="1"/>
  <c r="F145" i="3"/>
  <c r="I145" i="3" s="1"/>
  <c r="F144" i="3"/>
  <c r="I144" i="3" s="1"/>
  <c r="F143" i="3"/>
  <c r="I143" i="3" s="1"/>
  <c r="F142" i="3"/>
  <c r="I142" i="3" s="1"/>
  <c r="F141" i="3"/>
  <c r="I141" i="3" s="1"/>
  <c r="F140" i="3"/>
  <c r="I140" i="3" s="1"/>
  <c r="F139" i="3"/>
  <c r="I139" i="3" s="1"/>
  <c r="F138" i="3"/>
  <c r="I138" i="3" s="1"/>
  <c r="F137" i="3"/>
  <c r="I137" i="3" s="1"/>
  <c r="F136" i="3"/>
  <c r="I136" i="3" s="1"/>
  <c r="F135" i="3"/>
  <c r="I135" i="3" s="1"/>
  <c r="F134" i="3"/>
  <c r="I134" i="3" s="1"/>
  <c r="F133" i="3"/>
  <c r="I133" i="3" s="1"/>
  <c r="F132" i="3"/>
  <c r="I132" i="3" s="1"/>
  <c r="F131" i="3"/>
  <c r="I131" i="3" s="1"/>
  <c r="F130" i="3"/>
  <c r="I130" i="3" s="1"/>
  <c r="F129" i="3"/>
  <c r="I129" i="3" s="1"/>
  <c r="F128" i="3"/>
  <c r="I128" i="3" s="1"/>
  <c r="F127" i="3"/>
  <c r="I127" i="3" s="1"/>
  <c r="F126" i="3"/>
  <c r="I126" i="3" s="1"/>
  <c r="F125" i="3"/>
  <c r="I125" i="3" s="1"/>
  <c r="E120" i="3"/>
  <c r="C120" i="3"/>
  <c r="B120" i="3"/>
  <c r="F120" i="3" s="1"/>
  <c r="F119" i="3"/>
  <c r="F118" i="3"/>
  <c r="F117" i="3"/>
  <c r="F116" i="3"/>
  <c r="I116" i="3" s="1"/>
  <c r="F115" i="3"/>
  <c r="I115" i="3" s="1"/>
  <c r="F114" i="3"/>
  <c r="I114" i="3" s="1"/>
  <c r="F113" i="3"/>
  <c r="I113" i="3" s="1"/>
  <c r="F112" i="3"/>
  <c r="I112" i="3" s="1"/>
  <c r="F111" i="3"/>
  <c r="I111" i="3" s="1"/>
  <c r="F110" i="3"/>
  <c r="I110" i="3" s="1"/>
  <c r="F109" i="3"/>
  <c r="I109" i="3" s="1"/>
  <c r="F108" i="3"/>
  <c r="I108" i="3" s="1"/>
  <c r="F107" i="3"/>
  <c r="I107" i="3" s="1"/>
  <c r="F106" i="3"/>
  <c r="I106" i="3" s="1"/>
  <c r="F105" i="3"/>
  <c r="I105" i="3" s="1"/>
  <c r="F104" i="3"/>
  <c r="I104" i="3" s="1"/>
  <c r="F103" i="3"/>
  <c r="I103" i="3" s="1"/>
  <c r="F102" i="3"/>
  <c r="I102" i="3" s="1"/>
  <c r="F101" i="3"/>
  <c r="I101" i="3" s="1"/>
  <c r="F100" i="3"/>
  <c r="I100" i="3" s="1"/>
  <c r="F99" i="3"/>
  <c r="I99" i="3" s="1"/>
  <c r="F98" i="3"/>
  <c r="I98" i="3" s="1"/>
  <c r="F97" i="3"/>
  <c r="I97" i="3" s="1"/>
  <c r="F96" i="3"/>
  <c r="I96" i="3" s="1"/>
  <c r="F95" i="3"/>
  <c r="I95" i="3" s="1"/>
  <c r="F94" i="3"/>
  <c r="I94" i="3" s="1"/>
  <c r="F93" i="3"/>
  <c r="I93" i="3" s="1"/>
  <c r="F92" i="3"/>
  <c r="I92" i="3" s="1"/>
  <c r="F91" i="3"/>
  <c r="I91" i="3" s="1"/>
  <c r="F90" i="3"/>
  <c r="I90" i="3" s="1"/>
  <c r="F89" i="3"/>
  <c r="I89" i="3" s="1"/>
  <c r="F88" i="3"/>
  <c r="I88" i="3" s="1"/>
  <c r="F87" i="3"/>
  <c r="I87" i="3" s="1"/>
  <c r="F86" i="3"/>
  <c r="I86" i="3" s="1"/>
  <c r="F85" i="3"/>
  <c r="I85" i="3" s="1"/>
  <c r="E80" i="3"/>
  <c r="C80" i="3"/>
  <c r="B80" i="3"/>
  <c r="F80" i="3" s="1"/>
  <c r="F79" i="3"/>
  <c r="F78" i="3"/>
  <c r="F77" i="3"/>
  <c r="F76" i="3"/>
  <c r="I76" i="3" s="1"/>
  <c r="I75" i="3"/>
  <c r="F74" i="3"/>
  <c r="I74" i="3" s="1"/>
  <c r="F73" i="3"/>
  <c r="I73" i="3" s="1"/>
  <c r="F72" i="3"/>
  <c r="I72" i="3" s="1"/>
  <c r="F71" i="3"/>
  <c r="I71" i="3" s="1"/>
  <c r="F70" i="3"/>
  <c r="I70" i="3" s="1"/>
  <c r="F69" i="3"/>
  <c r="I69" i="3" s="1"/>
  <c r="F68" i="3"/>
  <c r="I68" i="3" s="1"/>
  <c r="F67" i="3"/>
  <c r="I67" i="3" s="1"/>
  <c r="F66" i="3"/>
  <c r="I66" i="3" s="1"/>
  <c r="F65" i="3"/>
  <c r="I65" i="3" s="1"/>
  <c r="F64" i="3"/>
  <c r="I64" i="3" s="1"/>
  <c r="F63" i="3"/>
  <c r="I63" i="3" s="1"/>
  <c r="F62" i="3"/>
  <c r="I62" i="3" s="1"/>
  <c r="F61" i="3"/>
  <c r="I61" i="3" s="1"/>
  <c r="F60" i="3"/>
  <c r="I60" i="3" s="1"/>
  <c r="F59" i="3"/>
  <c r="I59" i="3" s="1"/>
  <c r="F58" i="3"/>
  <c r="I58" i="3" s="1"/>
  <c r="F57" i="3"/>
  <c r="I57" i="3" s="1"/>
  <c r="F56" i="3"/>
  <c r="I56" i="3" s="1"/>
  <c r="F55" i="3"/>
  <c r="I55" i="3" s="1"/>
  <c r="F54" i="3"/>
  <c r="I54" i="3" s="1"/>
  <c r="F53" i="3"/>
  <c r="I53" i="3" s="1"/>
  <c r="F52" i="3"/>
  <c r="I52" i="3" s="1"/>
  <c r="F51" i="3"/>
  <c r="I51" i="3" s="1"/>
  <c r="F50" i="3"/>
  <c r="I50" i="3" s="1"/>
  <c r="F49" i="3"/>
  <c r="I49" i="3" s="1"/>
  <c r="F48" i="3"/>
  <c r="I48" i="3" s="1"/>
  <c r="F47" i="3"/>
  <c r="I47" i="3" s="1"/>
  <c r="F46" i="3"/>
  <c r="I46" i="3" s="1"/>
  <c r="F45" i="3"/>
  <c r="I45" i="3" s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6" i="3"/>
  <c r="F37" i="3"/>
  <c r="F38" i="3"/>
  <c r="F39" i="3"/>
  <c r="F5" i="3"/>
  <c r="G8" i="4"/>
  <c r="B8" i="4"/>
  <c r="B7" i="4"/>
  <c r="G6" i="4"/>
  <c r="B6" i="4"/>
  <c r="C5" i="4"/>
  <c r="B5" i="4"/>
  <c r="C199" i="4"/>
  <c r="D198" i="4"/>
  <c r="J198" i="4" s="1"/>
  <c r="D197" i="4"/>
  <c r="J197" i="4" s="1"/>
  <c r="D196" i="4"/>
  <c r="J196" i="4" s="1"/>
  <c r="D195" i="4"/>
  <c r="J195" i="4" s="1"/>
  <c r="D194" i="4"/>
  <c r="J194" i="4" s="1"/>
  <c r="I193" i="4"/>
  <c r="D193" i="4"/>
  <c r="J193" i="4" s="1"/>
  <c r="I192" i="4"/>
  <c r="D192" i="4"/>
  <c r="J192" i="4" s="1"/>
  <c r="I191" i="4"/>
  <c r="D191" i="4"/>
  <c r="J191" i="4" s="1"/>
  <c r="I190" i="4"/>
  <c r="D190" i="4"/>
  <c r="J190" i="4" s="1"/>
  <c r="I189" i="4"/>
  <c r="D189" i="4"/>
  <c r="J189" i="4" s="1"/>
  <c r="I188" i="4"/>
  <c r="I187" i="4"/>
  <c r="D187" i="4"/>
  <c r="J187" i="4" s="1"/>
  <c r="I186" i="4"/>
  <c r="D186" i="4"/>
  <c r="J186" i="4" s="1"/>
  <c r="I185" i="4"/>
  <c r="D185" i="4"/>
  <c r="J185" i="4" s="1"/>
  <c r="I184" i="4"/>
  <c r="D184" i="4"/>
  <c r="J184" i="4" s="1"/>
  <c r="I183" i="4"/>
  <c r="D183" i="4"/>
  <c r="J183" i="4" s="1"/>
  <c r="I182" i="4"/>
  <c r="D182" i="4"/>
  <c r="J182" i="4" s="1"/>
  <c r="I181" i="4"/>
  <c r="D181" i="4"/>
  <c r="J181" i="4" s="1"/>
  <c r="I180" i="4"/>
  <c r="D180" i="4"/>
  <c r="J180" i="4" s="1"/>
  <c r="I179" i="4"/>
  <c r="D179" i="4"/>
  <c r="J179" i="4" s="1"/>
  <c r="I178" i="4"/>
  <c r="D178" i="4"/>
  <c r="J178" i="4" s="1"/>
  <c r="I177" i="4"/>
  <c r="D177" i="4"/>
  <c r="J177" i="4" s="1"/>
  <c r="I176" i="4"/>
  <c r="D176" i="4"/>
  <c r="J176" i="4" s="1"/>
  <c r="I175" i="4"/>
  <c r="D175" i="4"/>
  <c r="J175" i="4" s="1"/>
  <c r="I174" i="4"/>
  <c r="D174" i="4"/>
  <c r="J174" i="4" s="1"/>
  <c r="I173" i="4"/>
  <c r="D173" i="4"/>
  <c r="J173" i="4" s="1"/>
  <c r="I172" i="4"/>
  <c r="D172" i="4"/>
  <c r="J172" i="4" s="1"/>
  <c r="I171" i="4"/>
  <c r="D171" i="4"/>
  <c r="J171" i="4" s="1"/>
  <c r="I170" i="4"/>
  <c r="D170" i="4"/>
  <c r="J170" i="4" s="1"/>
  <c r="I169" i="4"/>
  <c r="D169" i="4"/>
  <c r="J169" i="4" s="1"/>
  <c r="I168" i="4"/>
  <c r="D168" i="4"/>
  <c r="J168" i="4" s="1"/>
  <c r="I167" i="4"/>
  <c r="D167" i="4"/>
  <c r="J167" i="4" s="1"/>
  <c r="I166" i="4"/>
  <c r="D166" i="4"/>
  <c r="J166" i="4" s="1"/>
  <c r="I165" i="4"/>
  <c r="D165" i="4"/>
  <c r="J165" i="4" s="1"/>
  <c r="I164" i="4"/>
  <c r="D164" i="4"/>
  <c r="J164" i="4" s="1"/>
  <c r="C159" i="4"/>
  <c r="B159" i="4"/>
  <c r="D159" i="4" s="1"/>
  <c r="J159" i="4" s="1"/>
  <c r="D158" i="4"/>
  <c r="J158" i="4" s="1"/>
  <c r="D157" i="4"/>
  <c r="J157" i="4" s="1"/>
  <c r="D156" i="4"/>
  <c r="J156" i="4" s="1"/>
  <c r="D155" i="4"/>
  <c r="J155" i="4" s="1"/>
  <c r="D154" i="4"/>
  <c r="J154" i="4" s="1"/>
  <c r="I153" i="4"/>
  <c r="D153" i="4"/>
  <c r="J153" i="4" s="1"/>
  <c r="I152" i="4"/>
  <c r="D152" i="4"/>
  <c r="J152" i="4" s="1"/>
  <c r="I151" i="4"/>
  <c r="D151" i="4"/>
  <c r="J151" i="4" s="1"/>
  <c r="I150" i="4"/>
  <c r="D150" i="4"/>
  <c r="J150" i="4" s="1"/>
  <c r="D149" i="4"/>
  <c r="J149" i="4" s="1"/>
  <c r="D148" i="4"/>
  <c r="J148" i="4" s="1"/>
  <c r="I147" i="4"/>
  <c r="D147" i="4"/>
  <c r="J147" i="4" s="1"/>
  <c r="I146" i="4"/>
  <c r="D146" i="4"/>
  <c r="J146" i="4" s="1"/>
  <c r="I145" i="4"/>
  <c r="D145" i="4"/>
  <c r="J145" i="4" s="1"/>
  <c r="I144" i="4"/>
  <c r="D144" i="4"/>
  <c r="J144" i="4" s="1"/>
  <c r="I143" i="4"/>
  <c r="D143" i="4"/>
  <c r="J143" i="4" s="1"/>
  <c r="I142" i="4"/>
  <c r="D142" i="4"/>
  <c r="J142" i="4" s="1"/>
  <c r="I141" i="4"/>
  <c r="D141" i="4"/>
  <c r="J141" i="4" s="1"/>
  <c r="I140" i="4"/>
  <c r="D140" i="4"/>
  <c r="J140" i="4" s="1"/>
  <c r="I139" i="4"/>
  <c r="D139" i="4"/>
  <c r="J139" i="4" s="1"/>
  <c r="I138" i="4"/>
  <c r="D138" i="4"/>
  <c r="J138" i="4" s="1"/>
  <c r="I137" i="4"/>
  <c r="D137" i="4"/>
  <c r="J137" i="4" s="1"/>
  <c r="I136" i="4"/>
  <c r="D136" i="4"/>
  <c r="J136" i="4" s="1"/>
  <c r="I135" i="4"/>
  <c r="D135" i="4"/>
  <c r="J135" i="4" s="1"/>
  <c r="I134" i="4"/>
  <c r="D134" i="4"/>
  <c r="J134" i="4" s="1"/>
  <c r="I131" i="4"/>
  <c r="D131" i="4"/>
  <c r="J131" i="4" s="1"/>
  <c r="I130" i="4"/>
  <c r="D130" i="4"/>
  <c r="J130" i="4" s="1"/>
  <c r="I129" i="4"/>
  <c r="D129" i="4"/>
  <c r="J129" i="4" s="1"/>
  <c r="I128" i="4"/>
  <c r="D128" i="4"/>
  <c r="J128" i="4" s="1"/>
  <c r="I127" i="4"/>
  <c r="D127" i="4"/>
  <c r="J127" i="4" s="1"/>
  <c r="I126" i="4"/>
  <c r="D126" i="4"/>
  <c r="J126" i="4" s="1"/>
  <c r="I125" i="4"/>
  <c r="D125" i="4"/>
  <c r="J125" i="4" s="1"/>
  <c r="I124" i="4"/>
  <c r="D124" i="4"/>
  <c r="J124" i="4" s="1"/>
  <c r="C119" i="4"/>
  <c r="B119" i="4"/>
  <c r="D119" i="4" s="1"/>
  <c r="J119" i="4" s="1"/>
  <c r="D118" i="4"/>
  <c r="J118" i="4" s="1"/>
  <c r="D117" i="4"/>
  <c r="J117" i="4" s="1"/>
  <c r="D116" i="4"/>
  <c r="J116" i="4" s="1"/>
  <c r="D115" i="4"/>
  <c r="J115" i="4" s="1"/>
  <c r="D114" i="4"/>
  <c r="J114" i="4" s="1"/>
  <c r="I113" i="4"/>
  <c r="D113" i="4"/>
  <c r="J113" i="4" s="1"/>
  <c r="I112" i="4"/>
  <c r="D112" i="4"/>
  <c r="J112" i="4" s="1"/>
  <c r="I111" i="4"/>
  <c r="D111" i="4"/>
  <c r="J111" i="4" s="1"/>
  <c r="I110" i="4"/>
  <c r="D110" i="4"/>
  <c r="J110" i="4" s="1"/>
  <c r="I109" i="4"/>
  <c r="D109" i="4"/>
  <c r="J109" i="4" s="1"/>
  <c r="I108" i="4"/>
  <c r="D108" i="4"/>
  <c r="J108" i="4" s="1"/>
  <c r="I107" i="4"/>
  <c r="J107" i="4"/>
  <c r="I106" i="4"/>
  <c r="J106" i="4"/>
  <c r="I105" i="4"/>
  <c r="J105" i="4"/>
  <c r="I104" i="4"/>
  <c r="D104" i="4"/>
  <c r="J104" i="4" s="1"/>
  <c r="I103" i="4"/>
  <c r="D103" i="4"/>
  <c r="J103" i="4" s="1"/>
  <c r="I102" i="4"/>
  <c r="D102" i="4"/>
  <c r="J102" i="4" s="1"/>
  <c r="I101" i="4"/>
  <c r="D101" i="4"/>
  <c r="J101" i="4" s="1"/>
  <c r="I100" i="4"/>
  <c r="D100" i="4"/>
  <c r="J100" i="4" s="1"/>
  <c r="I99" i="4"/>
  <c r="D99" i="4"/>
  <c r="J99" i="4" s="1"/>
  <c r="I98" i="4"/>
  <c r="D98" i="4"/>
  <c r="J98" i="4" s="1"/>
  <c r="I97" i="4"/>
  <c r="D97" i="4"/>
  <c r="J97" i="4" s="1"/>
  <c r="I96" i="4"/>
  <c r="D96" i="4"/>
  <c r="J96" i="4" s="1"/>
  <c r="I95" i="4"/>
  <c r="D95" i="4"/>
  <c r="J95" i="4" s="1"/>
  <c r="I94" i="4"/>
  <c r="D94" i="4"/>
  <c r="J94" i="4" s="1"/>
  <c r="I93" i="4"/>
  <c r="D93" i="4"/>
  <c r="J93" i="4" s="1"/>
  <c r="I92" i="4"/>
  <c r="D92" i="4"/>
  <c r="J92" i="4" s="1"/>
  <c r="I91" i="4"/>
  <c r="D91" i="4"/>
  <c r="J91" i="4" s="1"/>
  <c r="I90" i="4"/>
  <c r="D90" i="4"/>
  <c r="J90" i="4" s="1"/>
  <c r="I89" i="4"/>
  <c r="D89" i="4"/>
  <c r="J89" i="4" s="1"/>
  <c r="I88" i="4"/>
  <c r="D88" i="4"/>
  <c r="J88" i="4" s="1"/>
  <c r="I87" i="4"/>
  <c r="D87" i="4"/>
  <c r="J87" i="4" s="1"/>
  <c r="I86" i="4"/>
  <c r="D86" i="4"/>
  <c r="J86" i="4" s="1"/>
  <c r="I85" i="4"/>
  <c r="D85" i="4"/>
  <c r="J85" i="4" s="1"/>
  <c r="I84" i="4"/>
  <c r="D84" i="4"/>
  <c r="J84" i="4" s="1"/>
  <c r="C79" i="4"/>
  <c r="B79" i="4"/>
  <c r="D79" i="4" s="1"/>
  <c r="J79" i="4" s="1"/>
  <c r="D78" i="4"/>
  <c r="J78" i="4" s="1"/>
  <c r="D77" i="4"/>
  <c r="J77" i="4" s="1"/>
  <c r="D76" i="4"/>
  <c r="J76" i="4" s="1"/>
  <c r="D75" i="4"/>
  <c r="J75" i="4" s="1"/>
  <c r="D74" i="4"/>
  <c r="J74" i="4" s="1"/>
  <c r="I73" i="4"/>
  <c r="D73" i="4"/>
  <c r="J73" i="4" s="1"/>
  <c r="I72" i="4"/>
  <c r="D72" i="4"/>
  <c r="J72" i="4" s="1"/>
  <c r="I71" i="4"/>
  <c r="D71" i="4"/>
  <c r="J71" i="4" s="1"/>
  <c r="I70" i="4"/>
  <c r="D70" i="4"/>
  <c r="J70" i="4" s="1"/>
  <c r="I69" i="4"/>
  <c r="D69" i="4"/>
  <c r="J69" i="4" s="1"/>
  <c r="I68" i="4"/>
  <c r="D68" i="4"/>
  <c r="J68" i="4" s="1"/>
  <c r="I67" i="4"/>
  <c r="D67" i="4"/>
  <c r="J67" i="4" s="1"/>
  <c r="I66" i="4"/>
  <c r="D66" i="4"/>
  <c r="J66" i="4" s="1"/>
  <c r="I65" i="4"/>
  <c r="D65" i="4"/>
  <c r="J65" i="4" s="1"/>
  <c r="I64" i="4"/>
  <c r="D64" i="4"/>
  <c r="J64" i="4" s="1"/>
  <c r="I63" i="4"/>
  <c r="D63" i="4"/>
  <c r="J63" i="4" s="1"/>
  <c r="I62" i="4"/>
  <c r="D62" i="4"/>
  <c r="J62" i="4" s="1"/>
  <c r="I61" i="4"/>
  <c r="D61" i="4"/>
  <c r="J61" i="4" s="1"/>
  <c r="I60" i="4"/>
  <c r="D60" i="4"/>
  <c r="J60" i="4" s="1"/>
  <c r="I59" i="4"/>
  <c r="D59" i="4"/>
  <c r="J59" i="4" s="1"/>
  <c r="I58" i="4"/>
  <c r="D58" i="4"/>
  <c r="J58" i="4" s="1"/>
  <c r="I57" i="4"/>
  <c r="D57" i="4"/>
  <c r="J57" i="4" s="1"/>
  <c r="I56" i="4"/>
  <c r="D56" i="4"/>
  <c r="J56" i="4" s="1"/>
  <c r="I55" i="4"/>
  <c r="D55" i="4"/>
  <c r="J55" i="4" s="1"/>
  <c r="I54" i="4"/>
  <c r="D54" i="4"/>
  <c r="J54" i="4" s="1"/>
  <c r="I53" i="4"/>
  <c r="D53" i="4"/>
  <c r="J53" i="4" s="1"/>
  <c r="I52" i="4"/>
  <c r="D52" i="4"/>
  <c r="J52" i="4" s="1"/>
  <c r="I51" i="4"/>
  <c r="D51" i="4"/>
  <c r="J51" i="4" s="1"/>
  <c r="I50" i="4"/>
  <c r="D50" i="4"/>
  <c r="J50" i="4" s="1"/>
  <c r="I49" i="4"/>
  <c r="D49" i="4"/>
  <c r="J49" i="4" s="1"/>
  <c r="I48" i="4"/>
  <c r="D48" i="4"/>
  <c r="J48" i="4" s="1"/>
  <c r="I47" i="4"/>
  <c r="D47" i="4"/>
  <c r="J47" i="4" s="1"/>
  <c r="I46" i="4"/>
  <c r="D46" i="4"/>
  <c r="J46" i="4" s="1"/>
  <c r="I45" i="4"/>
  <c r="D45" i="4"/>
  <c r="J45" i="4" s="1"/>
  <c r="I44" i="4"/>
  <c r="D44" i="4"/>
  <c r="J44" i="4" s="1"/>
  <c r="J209" i="2"/>
  <c r="C209" i="2"/>
  <c r="B209" i="2"/>
  <c r="H208" i="2"/>
  <c r="H206" i="2"/>
  <c r="H205" i="2" l="1"/>
  <c r="I204" i="2"/>
  <c r="B196" i="2"/>
  <c r="C195" i="2"/>
  <c r="H201" i="2"/>
  <c r="C201" i="2"/>
  <c r="F208" i="1"/>
  <c r="F207" i="1" l="1"/>
  <c r="F206" i="1"/>
  <c r="F200" i="1"/>
  <c r="F195" i="1"/>
  <c r="F205" i="1" l="1"/>
  <c r="F204" i="1"/>
  <c r="F193" i="1"/>
  <c r="F160" i="1"/>
  <c r="F159" i="1"/>
  <c r="C207" i="2"/>
  <c r="B208" i="2" l="1"/>
  <c r="B207" i="2"/>
  <c r="C205" i="2"/>
  <c r="C191" i="2"/>
  <c r="H191" i="2"/>
  <c r="C188" i="2"/>
  <c r="H181" i="2"/>
  <c r="F199" i="1" l="1"/>
  <c r="F198" i="1"/>
  <c r="D38" i="4"/>
  <c r="J38" i="4" s="1"/>
  <c r="D37" i="4"/>
  <c r="J37" i="4" s="1"/>
  <c r="D36" i="4"/>
  <c r="J36" i="4" s="1"/>
  <c r="D35" i="4"/>
  <c r="J35" i="4" s="1"/>
  <c r="D34" i="4"/>
  <c r="J34" i="4" s="1"/>
  <c r="I33" i="4"/>
  <c r="D33" i="4"/>
  <c r="J33" i="4" s="1"/>
  <c r="I32" i="4"/>
  <c r="D32" i="4"/>
  <c r="J32" i="4" s="1"/>
  <c r="D31" i="4"/>
  <c r="D30" i="4"/>
  <c r="D29" i="4"/>
  <c r="I28" i="4"/>
  <c r="D28" i="4"/>
  <c r="J28" i="4" s="1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C39" i="4"/>
  <c r="B39" i="4"/>
  <c r="D39" i="4" s="1"/>
  <c r="J39" i="4" s="1"/>
  <c r="E40" i="3"/>
  <c r="C40" i="3"/>
  <c r="B40" i="3"/>
  <c r="F40" i="3" s="1"/>
  <c r="I36" i="3"/>
  <c r="I35" i="3"/>
  <c r="I6" i="3"/>
  <c r="C206" i="2"/>
  <c r="B206" i="2"/>
  <c r="B205" i="2"/>
  <c r="C204" i="2"/>
  <c r="B204" i="2"/>
  <c r="I200" i="2"/>
  <c r="I199" i="2"/>
  <c r="C199" i="2"/>
  <c r="H198" i="2"/>
  <c r="H197" i="2"/>
  <c r="I197" i="2"/>
  <c r="H194" i="2"/>
  <c r="C194" i="2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9" i="4"/>
  <c r="J30" i="4"/>
  <c r="J31" i="4"/>
  <c r="D4" i="4"/>
  <c r="J4" i="4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9" i="4"/>
  <c r="I20" i="4"/>
  <c r="I21" i="4"/>
  <c r="I22" i="4"/>
  <c r="I23" i="4"/>
  <c r="I24" i="4"/>
  <c r="I25" i="4"/>
  <c r="I26" i="4"/>
  <c r="I27" i="4"/>
  <c r="I29" i="4"/>
  <c r="I30" i="4"/>
  <c r="I31" i="4"/>
  <c r="I5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C202" i="2"/>
  <c r="B202" i="2"/>
  <c r="B201" i="2"/>
  <c r="C161" i="2"/>
  <c r="I141" i="2" l="1"/>
  <c r="I135" i="2"/>
  <c r="F196" i="1"/>
  <c r="B200" i="2" l="1"/>
  <c r="C197" i="2"/>
  <c r="B199" i="2"/>
  <c r="B198" i="2"/>
  <c r="C198" i="2"/>
  <c r="F190" i="1" l="1"/>
  <c r="F192" i="1"/>
  <c r="B197" i="2" l="1"/>
  <c r="C196" i="2"/>
  <c r="C192" i="2"/>
  <c r="H190" i="2"/>
  <c r="I190" i="2"/>
  <c r="C189" i="2"/>
  <c r="I189" i="2"/>
  <c r="H189" i="2"/>
  <c r="I188" i="2"/>
  <c r="H188" i="2"/>
  <c r="H196" i="2"/>
  <c r="B195" i="2"/>
  <c r="I193" i="2"/>
  <c r="I192" i="2"/>
  <c r="I191" i="2" l="1"/>
  <c r="B194" i="2"/>
  <c r="F188" i="1"/>
  <c r="F187" i="1"/>
  <c r="F186" i="1"/>
  <c r="F185" i="1"/>
  <c r="F184" i="1"/>
  <c r="F182" i="1"/>
  <c r="F179" i="1"/>
  <c r="F189" i="1"/>
  <c r="F191" i="1"/>
  <c r="B193" i="2" l="1"/>
  <c r="I185" i="2"/>
  <c r="I184" i="2"/>
  <c r="I181" i="2"/>
  <c r="B192" i="2" l="1"/>
  <c r="B191" i="2" l="1"/>
  <c r="B190" i="2"/>
  <c r="B189" i="2"/>
  <c r="B188" i="2"/>
  <c r="I186" i="2"/>
  <c r="H184" i="2" l="1"/>
  <c r="C182" i="2"/>
  <c r="I163" i="2"/>
  <c r="H163" i="2"/>
  <c r="H160" i="2"/>
  <c r="H183" i="2"/>
  <c r="H182" i="2"/>
  <c r="I182" i="2"/>
  <c r="C187" i="2"/>
  <c r="B187" i="2"/>
  <c r="F183" i="1"/>
  <c r="F181" i="1"/>
  <c r="B186" i="2"/>
  <c r="B185" i="2" l="1"/>
  <c r="C184" i="2"/>
  <c r="B184" i="2" l="1"/>
  <c r="I183" i="2"/>
  <c r="C183" i="2"/>
  <c r="B183" i="2"/>
  <c r="F137" i="1" l="1"/>
  <c r="F110" i="1"/>
  <c r="C158" i="2"/>
  <c r="H156" i="2"/>
  <c r="I164" i="2"/>
  <c r="C179" i="2"/>
  <c r="C181" i="1"/>
  <c r="B182" i="2"/>
  <c r="B181" i="2"/>
  <c r="I179" i="2"/>
  <c r="B179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179" i="2"/>
  <c r="B180" i="2"/>
  <c r="C180" i="2"/>
  <c r="I180" i="2"/>
  <c r="J180" i="2" s="1"/>
  <c r="F180" i="1"/>
  <c r="F154" i="1" l="1"/>
  <c r="H162" i="2" l="1"/>
  <c r="I162" i="2"/>
  <c r="C162" i="2"/>
  <c r="I137" i="2" l="1"/>
  <c r="F164" i="1"/>
  <c r="F162" i="1"/>
  <c r="F163" i="1"/>
  <c r="F161" i="1"/>
  <c r="F158" i="1"/>
  <c r="I157" i="2" l="1"/>
  <c r="H153" i="2"/>
  <c r="B164" i="2"/>
  <c r="C163" i="2"/>
  <c r="B163" i="2"/>
  <c r="B162" i="2"/>
  <c r="I161" i="2"/>
  <c r="B161" i="2"/>
  <c r="B160" i="2" l="1"/>
  <c r="H159" i="2"/>
  <c r="C159" i="2"/>
  <c r="B159" i="2"/>
  <c r="F152" i="1" l="1"/>
  <c r="F157" i="1"/>
  <c r="F155" i="1"/>
  <c r="F156" i="1"/>
  <c r="C147" i="2" l="1"/>
  <c r="C156" i="2"/>
  <c r="C145" i="2"/>
  <c r="H142" i="2"/>
  <c r="C142" i="2"/>
  <c r="I149" i="2"/>
  <c r="H149" i="2"/>
  <c r="I148" i="2"/>
  <c r="H146" i="2"/>
  <c r="B158" i="2"/>
  <c r="I152" i="2"/>
  <c r="I150" i="2"/>
  <c r="C157" i="2"/>
  <c r="B157" i="2"/>
  <c r="B156" i="2"/>
  <c r="H155" i="2"/>
  <c r="B155" i="2"/>
  <c r="I154" i="2"/>
  <c r="B154" i="2" l="1"/>
  <c r="B153" i="2"/>
  <c r="C153" i="2"/>
  <c r="F153" i="1"/>
  <c r="F151" i="1"/>
  <c r="F150" i="1"/>
  <c r="F149" i="1"/>
  <c r="F148" i="1"/>
  <c r="F147" i="1"/>
  <c r="C151" i="2"/>
  <c r="H151" i="2"/>
  <c r="H152" i="2"/>
  <c r="B152" i="2"/>
  <c r="C92" i="2"/>
  <c r="C120" i="2" l="1"/>
  <c r="B151" i="2"/>
  <c r="H148" i="2"/>
  <c r="C139" i="2"/>
  <c r="H139" i="2"/>
  <c r="I145" i="2"/>
  <c r="H147" i="2"/>
  <c r="B150" i="2"/>
  <c r="C149" i="2"/>
  <c r="C140" i="2"/>
  <c r="B149" i="2" l="1"/>
  <c r="C148" i="2"/>
  <c r="B148" i="2"/>
  <c r="B147" i="2"/>
  <c r="F146" i="1" l="1"/>
  <c r="H137" i="2" l="1"/>
  <c r="C146" i="2"/>
  <c r="B146" i="2"/>
  <c r="B145" i="2"/>
  <c r="C144" i="2"/>
  <c r="I144" i="2"/>
  <c r="C141" i="2"/>
  <c r="I143" i="2"/>
  <c r="H140" i="2" l="1"/>
  <c r="F143" i="1" l="1"/>
  <c r="F145" i="1"/>
  <c r="F144" i="1"/>
  <c r="F142" i="1" l="1"/>
  <c r="C143" i="2"/>
  <c r="B143" i="2"/>
  <c r="B144" i="2"/>
  <c r="I140" i="2" l="1"/>
  <c r="I139" i="2"/>
  <c r="H138" i="2"/>
  <c r="I138" i="2"/>
  <c r="H135" i="2"/>
  <c r="H119" i="2"/>
  <c r="I119" i="2"/>
  <c r="F141" i="1"/>
  <c r="F139" i="1"/>
  <c r="F140" i="1" l="1"/>
  <c r="B142" i="2"/>
  <c r="B141" i="2" l="1"/>
  <c r="B140" i="2"/>
  <c r="F138" i="1" l="1"/>
  <c r="C137" i="2" l="1"/>
  <c r="F135" i="1"/>
  <c r="B139" i="2"/>
  <c r="C138" i="2"/>
  <c r="B138" i="2"/>
  <c r="B137" i="2" l="1"/>
  <c r="I136" i="2"/>
  <c r="H115" i="2"/>
  <c r="H112" i="2"/>
  <c r="F121" i="1"/>
  <c r="F172" i="1" l="1"/>
  <c r="B119" i="2" l="1"/>
  <c r="C136" i="2"/>
  <c r="B136" i="2"/>
  <c r="B135" i="2"/>
  <c r="C135" i="2" l="1"/>
  <c r="J135" i="2" l="1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I121" i="2" l="1"/>
  <c r="B121" i="2"/>
  <c r="I120" i="2"/>
  <c r="B120" i="2"/>
  <c r="H117" i="2"/>
  <c r="I118" i="2"/>
  <c r="C118" i="2"/>
  <c r="F119" i="1"/>
  <c r="F118" i="1"/>
  <c r="F117" i="1"/>
  <c r="J121" i="2" l="1"/>
  <c r="F116" i="1"/>
  <c r="B118" i="2" l="1"/>
  <c r="J72" i="1"/>
  <c r="C113" i="2" l="1"/>
  <c r="I117" i="2"/>
  <c r="I116" i="2"/>
  <c r="C116" i="2"/>
  <c r="B116" i="2"/>
  <c r="C114" i="2"/>
  <c r="C117" i="2" l="1"/>
  <c r="B117" i="2"/>
  <c r="I115" i="2"/>
  <c r="B115" i="2"/>
  <c r="C115" i="2"/>
  <c r="H105" i="2"/>
  <c r="I114" i="2"/>
  <c r="H114" i="2"/>
  <c r="H108" i="2"/>
  <c r="F113" i="1"/>
  <c r="F112" i="1"/>
  <c r="F115" i="1"/>
  <c r="F114" i="1"/>
  <c r="I105" i="2" l="1"/>
  <c r="I106" i="2"/>
  <c r="I108" i="2"/>
  <c r="I112" i="2"/>
  <c r="I110" i="2"/>
  <c r="B114" i="2"/>
  <c r="I113" i="2"/>
  <c r="B113" i="2" l="1"/>
  <c r="C112" i="2"/>
  <c r="B112" i="2"/>
  <c r="I111" i="2"/>
  <c r="H111" i="2"/>
  <c r="B111" i="2" l="1"/>
  <c r="F111" i="1" l="1"/>
  <c r="F107" i="1" l="1"/>
  <c r="B110" i="2"/>
  <c r="I109" i="2"/>
  <c r="F100" i="1" l="1"/>
  <c r="H110" i="2" l="1"/>
  <c r="B109" i="2"/>
  <c r="C109" i="2"/>
  <c r="I107" i="2"/>
  <c r="B108" i="2"/>
  <c r="C105" i="2"/>
  <c r="H104" i="2"/>
  <c r="H103" i="2"/>
  <c r="H101" i="2"/>
  <c r="C98" i="2"/>
  <c r="C97" i="2" l="1"/>
  <c r="H95" i="2"/>
  <c r="H92" i="2"/>
  <c r="H94" i="2"/>
  <c r="C94" i="2"/>
  <c r="C104" i="2"/>
  <c r="C106" i="2"/>
  <c r="C107" i="2"/>
  <c r="I101" i="2"/>
  <c r="C101" i="2"/>
  <c r="B107" i="2" l="1"/>
  <c r="H106" i="2"/>
  <c r="B106" i="2"/>
  <c r="H97" i="2"/>
  <c r="B105" i="2"/>
  <c r="F102" i="1"/>
  <c r="F101" i="1"/>
  <c r="I97" i="2"/>
  <c r="F105" i="1"/>
  <c r="F104" i="1" l="1"/>
  <c r="I104" i="2"/>
  <c r="I103" i="2"/>
  <c r="B104" i="2"/>
  <c r="B103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I102" i="2"/>
  <c r="H102" i="2"/>
  <c r="G101" i="2"/>
  <c r="I100" i="2"/>
  <c r="H100" i="2"/>
  <c r="G100" i="2"/>
  <c r="I99" i="2"/>
  <c r="H99" i="2"/>
  <c r="G99" i="2"/>
  <c r="I98" i="2"/>
  <c r="G98" i="2"/>
  <c r="G97" i="2"/>
  <c r="I96" i="2"/>
  <c r="H96" i="2"/>
  <c r="G96" i="2"/>
  <c r="I95" i="2"/>
  <c r="G95" i="2"/>
  <c r="I94" i="2"/>
  <c r="I93" i="2"/>
  <c r="H93" i="2"/>
  <c r="G93" i="2"/>
  <c r="I92" i="2"/>
  <c r="I91" i="2"/>
  <c r="J91" i="2" l="1"/>
  <c r="J92" i="2"/>
  <c r="J93" i="2"/>
  <c r="J94" i="2"/>
  <c r="J95" i="2"/>
  <c r="J96" i="2"/>
  <c r="J97" i="2"/>
  <c r="J98" i="2"/>
  <c r="J99" i="2"/>
  <c r="J100" i="2"/>
  <c r="J101" i="2"/>
  <c r="J102" i="2"/>
  <c r="C102" i="2" l="1"/>
  <c r="C100" i="2"/>
  <c r="C99" i="2"/>
  <c r="C96" i="2"/>
  <c r="C95" i="2"/>
  <c r="C93" i="2"/>
  <c r="C91" i="2"/>
  <c r="B102" i="2"/>
  <c r="F98" i="1"/>
  <c r="F99" i="1"/>
  <c r="F97" i="1"/>
  <c r="F96" i="1"/>
  <c r="F95" i="1"/>
  <c r="F94" i="1"/>
  <c r="F93" i="1"/>
  <c r="F92" i="1"/>
  <c r="F91" i="1"/>
  <c r="F127" i="1" s="1"/>
  <c r="B101" i="2" l="1"/>
  <c r="B100" i="2"/>
  <c r="B99" i="2"/>
  <c r="B98" i="2"/>
  <c r="I48" i="2" l="1"/>
  <c r="I47" i="2"/>
  <c r="B97" i="2" l="1"/>
  <c r="B96" i="2"/>
  <c r="B95" i="2"/>
  <c r="B94" i="2" l="1"/>
  <c r="B93" i="2"/>
  <c r="H56" i="2"/>
  <c r="I75" i="2"/>
  <c r="H75" i="2"/>
  <c r="H74" i="2"/>
  <c r="I72" i="2"/>
  <c r="G74" i="2"/>
  <c r="H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 l="1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H51" i="2"/>
  <c r="I51" i="2"/>
  <c r="G51" i="2"/>
  <c r="I50" i="2"/>
  <c r="H50" i="2"/>
  <c r="G50" i="2"/>
  <c r="I49" i="2"/>
  <c r="H49" i="2"/>
  <c r="G49" i="2"/>
  <c r="H48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5" i="2"/>
  <c r="G48" i="2"/>
  <c r="H47" i="2" l="1"/>
  <c r="J47" i="2" s="1"/>
  <c r="G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47" i="2"/>
  <c r="H76" i="2"/>
  <c r="I76" i="2"/>
  <c r="J76" i="2" s="1"/>
  <c r="G76" i="2"/>
  <c r="G75" i="2"/>
  <c r="I74" i="2"/>
  <c r="J74" i="2" s="1"/>
  <c r="H73" i="2"/>
  <c r="I73" i="2"/>
  <c r="J73" i="2" s="1"/>
  <c r="G73" i="2"/>
  <c r="C75" i="2"/>
  <c r="C76" i="2"/>
  <c r="C74" i="2"/>
  <c r="C73" i="2"/>
  <c r="G72" i="2"/>
  <c r="J76" i="1"/>
  <c r="I76" i="1"/>
  <c r="H76" i="1"/>
  <c r="J75" i="1"/>
  <c r="I75" i="1"/>
  <c r="H75" i="1"/>
  <c r="J74" i="1"/>
  <c r="I74" i="1"/>
  <c r="H74" i="1"/>
  <c r="J73" i="1"/>
  <c r="I73" i="1"/>
  <c r="H73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3" i="1"/>
  <c r="J64" i="1"/>
  <c r="I64" i="1"/>
  <c r="H64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J83" i="1" s="1"/>
  <c r="I47" i="1"/>
  <c r="H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47" i="1"/>
  <c r="B92" i="1"/>
  <c r="B92" i="2" l="1"/>
  <c r="C72" i="2" l="1"/>
  <c r="D41" i="2"/>
  <c r="D40" i="2"/>
  <c r="D36" i="2"/>
  <c r="K36" i="2" s="1"/>
  <c r="D37" i="2"/>
  <c r="K37" i="2" s="1"/>
  <c r="D38" i="2"/>
  <c r="K38" i="2" s="1"/>
  <c r="D35" i="2"/>
  <c r="K35" i="2" s="1"/>
  <c r="D84" i="2"/>
  <c r="D83" i="2"/>
  <c r="D180" i="2"/>
  <c r="K180" i="2" s="1"/>
  <c r="D181" i="2"/>
  <c r="K181" i="2" s="1"/>
  <c r="D182" i="2"/>
  <c r="K182" i="2" s="1"/>
  <c r="D183" i="2"/>
  <c r="K183" i="2" s="1"/>
  <c r="D184" i="2"/>
  <c r="K184" i="2" s="1"/>
  <c r="D185" i="2"/>
  <c r="K185" i="2" s="1"/>
  <c r="D186" i="2"/>
  <c r="K186" i="2" s="1"/>
  <c r="D187" i="2"/>
  <c r="K187" i="2" s="1"/>
  <c r="D188" i="2"/>
  <c r="K188" i="2" s="1"/>
  <c r="D189" i="2"/>
  <c r="K189" i="2" s="1"/>
  <c r="D190" i="2"/>
  <c r="K190" i="2" s="1"/>
  <c r="D191" i="2"/>
  <c r="K191" i="2" s="1"/>
  <c r="D192" i="2"/>
  <c r="K192" i="2" s="1"/>
  <c r="D193" i="2"/>
  <c r="K193" i="2" s="1"/>
  <c r="D194" i="2"/>
  <c r="K194" i="2" s="1"/>
  <c r="D195" i="2"/>
  <c r="K195" i="2" s="1"/>
  <c r="D196" i="2"/>
  <c r="K196" i="2" s="1"/>
  <c r="D197" i="2"/>
  <c r="K197" i="2" s="1"/>
  <c r="D198" i="2"/>
  <c r="K198" i="2" s="1"/>
  <c r="D199" i="2"/>
  <c r="K199" i="2" s="1"/>
  <c r="D200" i="2"/>
  <c r="K200" i="2" s="1"/>
  <c r="D201" i="2"/>
  <c r="K201" i="2" s="1"/>
  <c r="D202" i="2"/>
  <c r="K202" i="2" s="1"/>
  <c r="D203" i="2"/>
  <c r="K203" i="2" s="1"/>
  <c r="D204" i="2"/>
  <c r="K204" i="2" s="1"/>
  <c r="D205" i="2"/>
  <c r="K205" i="2" s="1"/>
  <c r="D206" i="2"/>
  <c r="K206" i="2" s="1"/>
  <c r="D207" i="2"/>
  <c r="K207" i="2" s="1"/>
  <c r="D208" i="2"/>
  <c r="K208" i="2" s="1"/>
  <c r="D209" i="2"/>
  <c r="K209" i="2" s="1"/>
  <c r="D210" i="2"/>
  <c r="K210" i="2" s="1"/>
  <c r="D211" i="2"/>
  <c r="K211" i="2" s="1"/>
  <c r="D212" i="2"/>
  <c r="K212" i="2" s="1"/>
  <c r="D213" i="2"/>
  <c r="K213" i="2" s="1"/>
  <c r="D215" i="2"/>
  <c r="D216" i="2"/>
  <c r="D179" i="2"/>
  <c r="K179" i="2" s="1"/>
  <c r="D136" i="2"/>
  <c r="K136" i="2" s="1"/>
  <c r="D137" i="2"/>
  <c r="K137" i="2" s="1"/>
  <c r="D138" i="2"/>
  <c r="K138" i="2" s="1"/>
  <c r="D139" i="2"/>
  <c r="K139" i="2" s="1"/>
  <c r="D140" i="2"/>
  <c r="K140" i="2" s="1"/>
  <c r="D141" i="2"/>
  <c r="K141" i="2" s="1"/>
  <c r="D142" i="2"/>
  <c r="K142" i="2" s="1"/>
  <c r="D143" i="2"/>
  <c r="K143" i="2" s="1"/>
  <c r="D144" i="2"/>
  <c r="K144" i="2" s="1"/>
  <c r="D145" i="2"/>
  <c r="K145" i="2" s="1"/>
  <c r="D146" i="2"/>
  <c r="K146" i="2" s="1"/>
  <c r="D147" i="2"/>
  <c r="K147" i="2" s="1"/>
  <c r="D148" i="2"/>
  <c r="K148" i="2" s="1"/>
  <c r="D149" i="2"/>
  <c r="K149" i="2" s="1"/>
  <c r="D150" i="2"/>
  <c r="K150" i="2" s="1"/>
  <c r="D151" i="2"/>
  <c r="K151" i="2" s="1"/>
  <c r="D152" i="2"/>
  <c r="K152" i="2" s="1"/>
  <c r="D153" i="2"/>
  <c r="K153" i="2" s="1"/>
  <c r="D154" i="2"/>
  <c r="K154" i="2" s="1"/>
  <c r="D155" i="2"/>
  <c r="K155" i="2" s="1"/>
  <c r="D156" i="2"/>
  <c r="K156" i="2" s="1"/>
  <c r="D157" i="2"/>
  <c r="K157" i="2" s="1"/>
  <c r="D158" i="2"/>
  <c r="K158" i="2" s="1"/>
  <c r="D159" i="2"/>
  <c r="K159" i="2" s="1"/>
  <c r="D160" i="2"/>
  <c r="K160" i="2" s="1"/>
  <c r="D161" i="2"/>
  <c r="K161" i="2" s="1"/>
  <c r="D162" i="2"/>
  <c r="K162" i="2" s="1"/>
  <c r="D163" i="2"/>
  <c r="K163" i="2" s="1"/>
  <c r="D164" i="2"/>
  <c r="K164" i="2" s="1"/>
  <c r="D165" i="2"/>
  <c r="K165" i="2" s="1"/>
  <c r="D166" i="2"/>
  <c r="K166" i="2" s="1"/>
  <c r="D167" i="2"/>
  <c r="K167" i="2" s="1"/>
  <c r="D168" i="2"/>
  <c r="K168" i="2" s="1"/>
  <c r="D169" i="2"/>
  <c r="K169" i="2" s="1"/>
  <c r="D171" i="2"/>
  <c r="D172" i="2"/>
  <c r="D135" i="2"/>
  <c r="K135" i="2" s="1"/>
  <c r="D92" i="2"/>
  <c r="K92" i="2" s="1"/>
  <c r="D93" i="2"/>
  <c r="K93" i="2" s="1"/>
  <c r="D94" i="2"/>
  <c r="K94" i="2" s="1"/>
  <c r="D95" i="2"/>
  <c r="K95" i="2" s="1"/>
  <c r="D96" i="2"/>
  <c r="K96" i="2" s="1"/>
  <c r="D97" i="2"/>
  <c r="K97" i="2" s="1"/>
  <c r="D98" i="2"/>
  <c r="K98" i="2" s="1"/>
  <c r="D99" i="2"/>
  <c r="K99" i="2" s="1"/>
  <c r="D100" i="2"/>
  <c r="K100" i="2" s="1"/>
  <c r="D101" i="2"/>
  <c r="K101" i="2" s="1"/>
  <c r="D102" i="2"/>
  <c r="K102" i="2" s="1"/>
  <c r="D103" i="2"/>
  <c r="K103" i="2" s="1"/>
  <c r="D104" i="2"/>
  <c r="K104" i="2" s="1"/>
  <c r="D105" i="2"/>
  <c r="K105" i="2" s="1"/>
  <c r="D106" i="2"/>
  <c r="K106" i="2" s="1"/>
  <c r="D107" i="2"/>
  <c r="K107" i="2" s="1"/>
  <c r="D108" i="2"/>
  <c r="K108" i="2" s="1"/>
  <c r="D109" i="2"/>
  <c r="K109" i="2" s="1"/>
  <c r="D110" i="2"/>
  <c r="K110" i="2" s="1"/>
  <c r="D111" i="2"/>
  <c r="K111" i="2" s="1"/>
  <c r="D112" i="2"/>
  <c r="K112" i="2" s="1"/>
  <c r="D113" i="2"/>
  <c r="K113" i="2" s="1"/>
  <c r="D114" i="2"/>
  <c r="K114" i="2" s="1"/>
  <c r="D115" i="2"/>
  <c r="K115" i="2" s="1"/>
  <c r="D116" i="2"/>
  <c r="K116" i="2" s="1"/>
  <c r="D117" i="2"/>
  <c r="K117" i="2" s="1"/>
  <c r="D118" i="2"/>
  <c r="K118" i="2" s="1"/>
  <c r="D119" i="2"/>
  <c r="K119" i="2" s="1"/>
  <c r="D120" i="2"/>
  <c r="K120" i="2" s="1"/>
  <c r="D121" i="2"/>
  <c r="K121" i="2" s="1"/>
  <c r="D122" i="2"/>
  <c r="K122" i="2" s="1"/>
  <c r="D123" i="2"/>
  <c r="K123" i="2" s="1"/>
  <c r="D124" i="2"/>
  <c r="K124" i="2" s="1"/>
  <c r="D125" i="2"/>
  <c r="K125" i="2" s="1"/>
  <c r="D127" i="2"/>
  <c r="D128" i="2"/>
  <c r="D91" i="2"/>
  <c r="K91" i="2" s="1"/>
  <c r="D48" i="2"/>
  <c r="K48" i="2" s="1"/>
  <c r="D49" i="2"/>
  <c r="K49" i="2" s="1"/>
  <c r="D50" i="2"/>
  <c r="K50" i="2" s="1"/>
  <c r="D51" i="2"/>
  <c r="K51" i="2" s="1"/>
  <c r="D52" i="2"/>
  <c r="K52" i="2" s="1"/>
  <c r="D53" i="2"/>
  <c r="K53" i="2" s="1"/>
  <c r="D54" i="2"/>
  <c r="K54" i="2" s="1"/>
  <c r="D55" i="2"/>
  <c r="K55" i="2" s="1"/>
  <c r="D56" i="2"/>
  <c r="K56" i="2" s="1"/>
  <c r="D57" i="2"/>
  <c r="K57" i="2" s="1"/>
  <c r="D58" i="2"/>
  <c r="K58" i="2" s="1"/>
  <c r="D59" i="2"/>
  <c r="K59" i="2" s="1"/>
  <c r="D60" i="2"/>
  <c r="K60" i="2" s="1"/>
  <c r="D61" i="2"/>
  <c r="K61" i="2" s="1"/>
  <c r="D62" i="2"/>
  <c r="K62" i="2" s="1"/>
  <c r="D63" i="2"/>
  <c r="K63" i="2" s="1"/>
  <c r="D64" i="2"/>
  <c r="K64" i="2" s="1"/>
  <c r="D65" i="2"/>
  <c r="K65" i="2" s="1"/>
  <c r="D66" i="2"/>
  <c r="K66" i="2" s="1"/>
  <c r="D67" i="2"/>
  <c r="K67" i="2" s="1"/>
  <c r="D68" i="2"/>
  <c r="K68" i="2" s="1"/>
  <c r="D69" i="2"/>
  <c r="K69" i="2" s="1"/>
  <c r="D70" i="2"/>
  <c r="K70" i="2" s="1"/>
  <c r="D71" i="2"/>
  <c r="K71" i="2" s="1"/>
  <c r="D72" i="2"/>
  <c r="K72" i="2" s="1"/>
  <c r="D73" i="2"/>
  <c r="K73" i="2" s="1"/>
  <c r="D74" i="2"/>
  <c r="K74" i="2" s="1"/>
  <c r="D75" i="2"/>
  <c r="K75" i="2" s="1"/>
  <c r="D76" i="2"/>
  <c r="K76" i="2" s="1"/>
  <c r="D77" i="2"/>
  <c r="K77" i="2" s="1"/>
  <c r="D78" i="2"/>
  <c r="K78" i="2" s="1"/>
  <c r="D79" i="2"/>
  <c r="K79" i="2" s="1"/>
  <c r="D80" i="2"/>
  <c r="K80" i="2" s="1"/>
  <c r="D81" i="2"/>
  <c r="K81" i="2" s="1"/>
  <c r="D47" i="2"/>
  <c r="K47" i="2" s="1"/>
  <c r="D34" i="2"/>
  <c r="K34" i="2" s="1"/>
  <c r="D33" i="2"/>
  <c r="K33" i="2" s="1"/>
  <c r="D32" i="2"/>
  <c r="K32" i="2" s="1"/>
  <c r="D31" i="2"/>
  <c r="K31" i="2" s="1"/>
  <c r="D30" i="2"/>
  <c r="K30" i="2" s="1"/>
  <c r="D29" i="2"/>
  <c r="K29" i="2" s="1"/>
  <c r="D28" i="2"/>
  <c r="K28" i="2" s="1"/>
  <c r="D27" i="2"/>
  <c r="K27" i="2" s="1"/>
  <c r="D26" i="2"/>
  <c r="K26" i="2" s="1"/>
  <c r="D25" i="2"/>
  <c r="K25" i="2" s="1"/>
  <c r="D24" i="2"/>
  <c r="K24" i="2" s="1"/>
  <c r="D23" i="2"/>
  <c r="K23" i="2" s="1"/>
  <c r="D22" i="2"/>
  <c r="K22" i="2" s="1"/>
  <c r="D21" i="2"/>
  <c r="K21" i="2" s="1"/>
  <c r="D20" i="2"/>
  <c r="K20" i="2" s="1"/>
  <c r="D19" i="2"/>
  <c r="K19" i="2" s="1"/>
  <c r="D18" i="2"/>
  <c r="K18" i="2" s="1"/>
  <c r="D17" i="2"/>
  <c r="K17" i="2" s="1"/>
  <c r="D16" i="2"/>
  <c r="K16" i="2" s="1"/>
  <c r="D15" i="2"/>
  <c r="K15" i="2" s="1"/>
  <c r="D14" i="2"/>
  <c r="K14" i="2" s="1"/>
  <c r="D13" i="2"/>
  <c r="K13" i="2" s="1"/>
  <c r="D12" i="2"/>
  <c r="K12" i="2" s="1"/>
  <c r="D11" i="2"/>
  <c r="K11" i="2" s="1"/>
  <c r="D10" i="2"/>
  <c r="K10" i="2" s="1"/>
  <c r="D9" i="2"/>
  <c r="K9" i="2" s="1"/>
  <c r="D8" i="2"/>
  <c r="K8" i="2" s="1"/>
  <c r="D7" i="2"/>
  <c r="K7" i="2" s="1"/>
  <c r="D6" i="2"/>
  <c r="K6" i="2" s="1"/>
  <c r="D5" i="2"/>
  <c r="K5" i="2" s="1"/>
  <c r="D4" i="2"/>
  <c r="K4" i="2" s="1"/>
  <c r="C214" i="2"/>
  <c r="B214" i="2"/>
  <c r="D214" i="2" s="1"/>
  <c r="K214" i="2" s="1"/>
  <c r="C170" i="2"/>
  <c r="B170" i="2"/>
  <c r="D170" i="2" s="1"/>
  <c r="K170" i="2" s="1"/>
  <c r="C126" i="2"/>
  <c r="B126" i="2"/>
  <c r="D126" i="2" s="1"/>
  <c r="K126" i="2" s="1"/>
  <c r="C82" i="2"/>
  <c r="B82" i="2"/>
  <c r="D82" i="2" s="1"/>
  <c r="C39" i="2"/>
  <c r="B39" i="2"/>
  <c r="D39" i="2" s="1"/>
  <c r="K39" i="2" s="1"/>
  <c r="E216" i="1"/>
  <c r="E215" i="1"/>
  <c r="D214" i="1"/>
  <c r="C214" i="1"/>
  <c r="B214" i="1"/>
  <c r="E214" i="1" s="1"/>
  <c r="E213" i="1"/>
  <c r="E212" i="1"/>
  <c r="E211" i="1"/>
  <c r="E210" i="1"/>
  <c r="H210" i="1" s="1"/>
  <c r="E209" i="1"/>
  <c r="H209" i="1" s="1"/>
  <c r="E208" i="1"/>
  <c r="H208" i="1" s="1"/>
  <c r="E207" i="1"/>
  <c r="H207" i="1" s="1"/>
  <c r="E206" i="1"/>
  <c r="H206" i="1" s="1"/>
  <c r="E205" i="1"/>
  <c r="H205" i="1" s="1"/>
  <c r="E204" i="1"/>
  <c r="H204" i="1" s="1"/>
  <c r="E203" i="1"/>
  <c r="H203" i="1" s="1"/>
  <c r="E202" i="1"/>
  <c r="H202" i="1" s="1"/>
  <c r="E201" i="1"/>
  <c r="H201" i="1" s="1"/>
  <c r="E200" i="1"/>
  <c r="H200" i="1" s="1"/>
  <c r="E199" i="1"/>
  <c r="H199" i="1" s="1"/>
  <c r="E198" i="1"/>
  <c r="H198" i="1" s="1"/>
  <c r="E197" i="1"/>
  <c r="H197" i="1" s="1"/>
  <c r="E196" i="1"/>
  <c r="H196" i="1" s="1"/>
  <c r="E195" i="1"/>
  <c r="H195" i="1" s="1"/>
  <c r="E194" i="1"/>
  <c r="H194" i="1" s="1"/>
  <c r="E193" i="1"/>
  <c r="H193" i="1" s="1"/>
  <c r="E192" i="1"/>
  <c r="H192" i="1" s="1"/>
  <c r="E191" i="1"/>
  <c r="H191" i="1" s="1"/>
  <c r="E190" i="1"/>
  <c r="H190" i="1" s="1"/>
  <c r="E189" i="1"/>
  <c r="H189" i="1" s="1"/>
  <c r="E188" i="1"/>
  <c r="H188" i="1" s="1"/>
  <c r="E187" i="1"/>
  <c r="H187" i="1" s="1"/>
  <c r="E186" i="1"/>
  <c r="H186" i="1" s="1"/>
  <c r="E185" i="1"/>
  <c r="H185" i="1" s="1"/>
  <c r="E184" i="1"/>
  <c r="H184" i="1" s="1"/>
  <c r="E183" i="1"/>
  <c r="H183" i="1" s="1"/>
  <c r="E182" i="1"/>
  <c r="H182" i="1" s="1"/>
  <c r="E181" i="1"/>
  <c r="H181" i="1" s="1"/>
  <c r="E180" i="1"/>
  <c r="H180" i="1" s="1"/>
  <c r="E179" i="1"/>
  <c r="H179" i="1" s="1"/>
  <c r="E172" i="1"/>
  <c r="E171" i="1"/>
  <c r="D170" i="1"/>
  <c r="C170" i="1"/>
  <c r="B170" i="1"/>
  <c r="E170" i="1" s="1"/>
  <c r="E169" i="1"/>
  <c r="E168" i="1"/>
  <c r="E167" i="1"/>
  <c r="E166" i="1"/>
  <c r="H166" i="1" s="1"/>
  <c r="E165" i="1"/>
  <c r="H165" i="1" s="1"/>
  <c r="E164" i="1"/>
  <c r="H164" i="1" s="1"/>
  <c r="E163" i="1"/>
  <c r="H163" i="1" s="1"/>
  <c r="E162" i="1"/>
  <c r="H162" i="1" s="1"/>
  <c r="E161" i="1"/>
  <c r="H161" i="1" s="1"/>
  <c r="E160" i="1"/>
  <c r="H160" i="1" s="1"/>
  <c r="E159" i="1"/>
  <c r="H159" i="1" s="1"/>
  <c r="E158" i="1"/>
  <c r="H158" i="1" s="1"/>
  <c r="E157" i="1"/>
  <c r="H157" i="1" s="1"/>
  <c r="E156" i="1"/>
  <c r="H156" i="1" s="1"/>
  <c r="E155" i="1"/>
  <c r="H155" i="1" s="1"/>
  <c r="E154" i="1"/>
  <c r="H154" i="1" s="1"/>
  <c r="E153" i="1"/>
  <c r="H153" i="1" s="1"/>
  <c r="E152" i="1"/>
  <c r="H152" i="1" s="1"/>
  <c r="E151" i="1"/>
  <c r="H151" i="1" s="1"/>
  <c r="E150" i="1"/>
  <c r="H150" i="1" s="1"/>
  <c r="E149" i="1"/>
  <c r="H149" i="1" s="1"/>
  <c r="E148" i="1"/>
  <c r="H148" i="1" s="1"/>
  <c r="E147" i="1"/>
  <c r="H147" i="1" s="1"/>
  <c r="E146" i="1"/>
  <c r="H146" i="1" s="1"/>
  <c r="E145" i="1"/>
  <c r="H145" i="1" s="1"/>
  <c r="E144" i="1"/>
  <c r="H144" i="1" s="1"/>
  <c r="E143" i="1"/>
  <c r="H143" i="1" s="1"/>
  <c r="E142" i="1"/>
  <c r="H142" i="1" s="1"/>
  <c r="E141" i="1"/>
  <c r="H141" i="1" s="1"/>
  <c r="E140" i="1"/>
  <c r="H140" i="1" s="1"/>
  <c r="E139" i="1"/>
  <c r="H139" i="1" s="1"/>
  <c r="E138" i="1"/>
  <c r="H138" i="1" s="1"/>
  <c r="E137" i="1"/>
  <c r="H137" i="1" s="1"/>
  <c r="E136" i="1"/>
  <c r="H136" i="1" s="1"/>
  <c r="E135" i="1"/>
  <c r="H135" i="1" s="1"/>
  <c r="E128" i="1"/>
  <c r="E127" i="1"/>
  <c r="D126" i="1"/>
  <c r="C126" i="1"/>
  <c r="B126" i="1"/>
  <c r="E126" i="1" s="1"/>
  <c r="E125" i="1"/>
  <c r="E124" i="1"/>
  <c r="E123" i="1"/>
  <c r="E122" i="1"/>
  <c r="E121" i="1"/>
  <c r="I121" i="1" s="1"/>
  <c r="E120" i="1"/>
  <c r="I120" i="1" s="1"/>
  <c r="E119" i="1"/>
  <c r="I119" i="1" s="1"/>
  <c r="E118" i="1"/>
  <c r="I118" i="1" s="1"/>
  <c r="E117" i="1"/>
  <c r="I117" i="1" s="1"/>
  <c r="E116" i="1"/>
  <c r="I116" i="1" s="1"/>
  <c r="E115" i="1"/>
  <c r="I115" i="1" s="1"/>
  <c r="E114" i="1"/>
  <c r="I114" i="1" s="1"/>
  <c r="E113" i="1"/>
  <c r="I113" i="1" s="1"/>
  <c r="E112" i="1"/>
  <c r="I112" i="1" s="1"/>
  <c r="E111" i="1"/>
  <c r="I111" i="1" s="1"/>
  <c r="E110" i="1"/>
  <c r="I110" i="1" s="1"/>
  <c r="E109" i="1"/>
  <c r="I109" i="1" s="1"/>
  <c r="E108" i="1"/>
  <c r="I108" i="1" s="1"/>
  <c r="E107" i="1"/>
  <c r="I107" i="1" s="1"/>
  <c r="E106" i="1"/>
  <c r="I106" i="1" s="1"/>
  <c r="E105" i="1"/>
  <c r="I105" i="1" s="1"/>
  <c r="E104" i="1"/>
  <c r="I104" i="1" s="1"/>
  <c r="E103" i="1"/>
  <c r="I103" i="1" s="1"/>
  <c r="E102" i="1"/>
  <c r="I102" i="1" s="1"/>
  <c r="E101" i="1"/>
  <c r="I101" i="1" s="1"/>
  <c r="E100" i="1"/>
  <c r="I100" i="1" s="1"/>
  <c r="E99" i="1"/>
  <c r="I99" i="1" s="1"/>
  <c r="E98" i="1"/>
  <c r="I98" i="1" s="1"/>
  <c r="E97" i="1"/>
  <c r="I97" i="1" s="1"/>
  <c r="E96" i="1"/>
  <c r="I96" i="1" s="1"/>
  <c r="E95" i="1"/>
  <c r="I95" i="1" s="1"/>
  <c r="E94" i="1"/>
  <c r="I94" i="1" s="1"/>
  <c r="E93" i="1"/>
  <c r="I93" i="1" s="1"/>
  <c r="E92" i="1"/>
  <c r="I92" i="1" s="1"/>
  <c r="E91" i="1"/>
  <c r="I91" i="1" s="1"/>
  <c r="E84" i="1"/>
  <c r="E83" i="1"/>
  <c r="D82" i="1"/>
  <c r="C82" i="1"/>
  <c r="B82" i="1"/>
  <c r="E82" i="1" s="1"/>
  <c r="E81" i="1"/>
  <c r="E80" i="1"/>
  <c r="E79" i="1"/>
  <c r="E78" i="1"/>
  <c r="E77" i="1"/>
  <c r="E76" i="1"/>
  <c r="L76" i="1" s="1"/>
  <c r="E75" i="1"/>
  <c r="L75" i="1" s="1"/>
  <c r="E74" i="1"/>
  <c r="L74" i="1" s="1"/>
  <c r="E73" i="1"/>
  <c r="L73" i="1" s="1"/>
  <c r="E72" i="1"/>
  <c r="L72" i="1" s="1"/>
  <c r="E71" i="1"/>
  <c r="L71" i="1" s="1"/>
  <c r="E70" i="1"/>
  <c r="L70" i="1" s="1"/>
  <c r="E69" i="1"/>
  <c r="L69" i="1" s="1"/>
  <c r="E68" i="1"/>
  <c r="L68" i="1" s="1"/>
  <c r="E67" i="1"/>
  <c r="L67" i="1" s="1"/>
  <c r="E66" i="1"/>
  <c r="L66" i="1" s="1"/>
  <c r="E65" i="1"/>
  <c r="L65" i="1" s="1"/>
  <c r="E64" i="1"/>
  <c r="L64" i="1" s="1"/>
  <c r="E63" i="1"/>
  <c r="L63" i="1" s="1"/>
  <c r="E62" i="1"/>
  <c r="L62" i="1" s="1"/>
  <c r="E61" i="1"/>
  <c r="L61" i="1" s="1"/>
  <c r="E60" i="1"/>
  <c r="L60" i="1" s="1"/>
  <c r="E59" i="1"/>
  <c r="L59" i="1" s="1"/>
  <c r="E58" i="1"/>
  <c r="L58" i="1" s="1"/>
  <c r="E57" i="1"/>
  <c r="L57" i="1" s="1"/>
  <c r="E56" i="1"/>
  <c r="L56" i="1" s="1"/>
  <c r="E55" i="1"/>
  <c r="L55" i="1" s="1"/>
  <c r="E54" i="1"/>
  <c r="L54" i="1" s="1"/>
  <c r="E53" i="1"/>
  <c r="L53" i="1" s="1"/>
  <c r="E52" i="1"/>
  <c r="L52" i="1" s="1"/>
  <c r="E51" i="1"/>
  <c r="L51" i="1" s="1"/>
  <c r="E50" i="1"/>
  <c r="L50" i="1" s="1"/>
  <c r="E49" i="1"/>
  <c r="L49" i="1" s="1"/>
  <c r="E48" i="1"/>
  <c r="L48" i="1" s="1"/>
  <c r="E47" i="1"/>
  <c r="L47" i="1" s="1"/>
  <c r="E41" i="1"/>
  <c r="E40" i="1"/>
  <c r="D39" i="1"/>
  <c r="C39" i="1"/>
  <c r="B39" i="1"/>
  <c r="E39" i="1" s="1"/>
  <c r="E38" i="1"/>
  <c r="E37" i="1"/>
  <c r="E36" i="1"/>
  <c r="E35" i="1"/>
  <c r="E34" i="1"/>
  <c r="H34" i="1" s="1"/>
  <c r="E33" i="1"/>
  <c r="H33" i="1" s="1"/>
  <c r="E32" i="1"/>
  <c r="H32" i="1" s="1"/>
  <c r="E31" i="1"/>
  <c r="H31" i="1" s="1"/>
  <c r="E30" i="1"/>
  <c r="H30" i="1" s="1"/>
  <c r="E29" i="1"/>
  <c r="H29" i="1" s="1"/>
  <c r="E28" i="1"/>
  <c r="H28" i="1" s="1"/>
  <c r="E27" i="1"/>
  <c r="H27" i="1" s="1"/>
  <c r="E26" i="1"/>
  <c r="H26" i="1" s="1"/>
  <c r="E25" i="1"/>
  <c r="H25" i="1" s="1"/>
  <c r="E24" i="1"/>
  <c r="H24" i="1" s="1"/>
  <c r="E23" i="1"/>
  <c r="H23" i="1" s="1"/>
  <c r="E22" i="1"/>
  <c r="H22" i="1" s="1"/>
  <c r="E21" i="1"/>
  <c r="H21" i="1" s="1"/>
  <c r="E20" i="1"/>
  <c r="H20" i="1" s="1"/>
  <c r="E19" i="1"/>
  <c r="H19" i="1" s="1"/>
  <c r="E18" i="1"/>
  <c r="H18" i="1" s="1"/>
  <c r="E17" i="1"/>
  <c r="H17" i="1" s="1"/>
  <c r="E16" i="1"/>
  <c r="H16" i="1" s="1"/>
  <c r="E15" i="1"/>
  <c r="H15" i="1" s="1"/>
  <c r="E14" i="1"/>
  <c r="H14" i="1" s="1"/>
  <c r="E13" i="1"/>
  <c r="H13" i="1" s="1"/>
  <c r="E12" i="1"/>
  <c r="H12" i="1" s="1"/>
  <c r="E11" i="1"/>
  <c r="H11" i="1" s="1"/>
  <c r="E10" i="1"/>
  <c r="H10" i="1" s="1"/>
  <c r="E9" i="1"/>
  <c r="H9" i="1" s="1"/>
  <c r="E8" i="1"/>
  <c r="H8" i="1" s="1"/>
  <c r="E7" i="1"/>
  <c r="H7" i="1" s="1"/>
  <c r="E6" i="1"/>
  <c r="H6" i="1" s="1"/>
  <c r="E5" i="1"/>
  <c r="H5" i="1" s="1"/>
  <c r="E4" i="1"/>
  <c r="H4" i="1" s="1"/>
  <c r="L83" i="1" l="1"/>
  <c r="I127" i="1"/>
  <c r="I172" i="1"/>
  <c r="K82" i="2"/>
  <c r="B199" i="4"/>
  <c r="D199" i="4" s="1"/>
  <c r="J199" i="4" s="1"/>
  <c r="D188" i="4"/>
  <c r="J188" i="4"/>
</calcChain>
</file>

<file path=xl/sharedStrings.xml><?xml version="1.0" encoding="utf-8"?>
<sst xmlns="http://schemas.openxmlformats.org/spreadsheetml/2006/main" count="3314" uniqueCount="972">
  <si>
    <t>FECHA</t>
  </si>
  <si>
    <t>VENTA DEL DIA</t>
  </si>
  <si>
    <t>GASTOS</t>
  </si>
  <si>
    <t>COMPRAS</t>
  </si>
  <si>
    <t>VENTA TOTAL</t>
  </si>
  <si>
    <t>CENTRAL</t>
  </si>
  <si>
    <t>OBRADOR</t>
  </si>
  <si>
    <t>20,000.00 EXTRAVIADOS</t>
  </si>
  <si>
    <t>DEPOSITOS</t>
  </si>
  <si>
    <t>OK</t>
  </si>
  <si>
    <t>CHEQUES</t>
  </si>
  <si>
    <t>DIFERENCIAS</t>
  </si>
  <si>
    <t>Sobrante de $ 15,928.00 a favor de Proledo</t>
  </si>
  <si>
    <t>CHEQUES DEV</t>
  </si>
  <si>
    <t>3 Sep $4,869.20/6 Sep $4,869.20</t>
  </si>
  <si>
    <t>Sobrante de $ 15,165.50 a favor de Caferra</t>
  </si>
  <si>
    <t>Sobrante de $ 14,048.06 a favor de Proledo</t>
  </si>
  <si>
    <t>Pagado con sobrante anterior</t>
  </si>
  <si>
    <t>Sobrante en corte</t>
  </si>
  <si>
    <t>RECEPCION DE PRODUTO</t>
  </si>
  <si>
    <t>.</t>
  </si>
  <si>
    <t>Pagado con el sobrante de Proledo del dia 30 Sep $15,928.00</t>
  </si>
  <si>
    <t xml:space="preserve"> </t>
  </si>
  <si>
    <t>los depositos de $50,000.00 y de 25,161.50 estan combinados con el dia 10 Nov 14</t>
  </si>
  <si>
    <t>Los $110.00 faltante de casetas estan en el corte del dia 10 Nov 14</t>
  </si>
  <si>
    <t>Los sobrantes de 10,000.00 es de Proledo del dia 11 Nov 14,De $110.00 es del dia 7 Nov 14,El de $618.00 es del dia 3 Nov 14 complemento del cheque de$ 6,660.00</t>
  </si>
  <si>
    <t>22 oct $17,463.60</t>
  </si>
  <si>
    <t>3 nov $22,566.40</t>
  </si>
  <si>
    <t>Falta rem $75,534.40 para agregar a su pago</t>
  </si>
  <si>
    <t>Este dia estuvo sola Argelia y no anoto el precio correcto en tiket $1,109.00 ya hablo con la sra NLP y firmo justificando el faltante</t>
  </si>
  <si>
    <t>Reparacion bora $ 1,000.00,$caja de direccion $6,500.00</t>
  </si>
  <si>
    <t>Deposito de 10,000.00 este faltante esta en el dia 10 nov,$20.00 PESOS DE MAS EN GASTO DE HOTEL</t>
  </si>
  <si>
    <t>$10.00 pesos de mas en gasto de hotel,El sobrante de 5,982.80 va a ser pago parcial del cheque de 6,660.00 del dia 3 Nov 14,$50,000 de los 531,000.00 estan combinados en un deposito del dia 10 de Nov 14 con valor de $175,161.50</t>
  </si>
  <si>
    <t>Sobrante de 1,836.68</t>
  </si>
  <si>
    <t>Reposicion del cheque $6660.00 de Valerio Aurelio los dias 8 y 10 Nov $5,982.80+$618.00,$60.00 3 nov 14</t>
  </si>
  <si>
    <t>Fondo de Gastos en casa de Sra. Norma Ledo subio a $6,000.00 firmado por la Sra. Angeles</t>
  </si>
  <si>
    <t>El faltante de $816.00 Se pago en la nota #102682 del dia 23 nov 14</t>
  </si>
  <si>
    <t>Sobrante de $50.00</t>
  </si>
  <si>
    <t>NO LABORADO</t>
  </si>
  <si>
    <t>VENTA GENERAL MES DE AGOSTO 2014</t>
  </si>
  <si>
    <t>VENTA GENERAL MES DE SEPTIEMBRE 2014</t>
  </si>
  <si>
    <t>VENTA GENERAL MES DE OCTUBRE 2014</t>
  </si>
  <si>
    <t>VENTA GENERAL MES DE NOVIEMBRE 2014</t>
  </si>
  <si>
    <t>VENTA GENERAL MES DE DICIEMBRE 2014</t>
  </si>
  <si>
    <t>VENTA GENERAL DEL MES ENERO 2015</t>
  </si>
  <si>
    <t>NO SE LABORO</t>
  </si>
  <si>
    <t>$30.00 pagados con sobrantes anteriores de hoteles 8 y 11 Nov 14</t>
  </si>
  <si>
    <t>Faltante pagado el dia  11 Dic 14 $17.00 Lety</t>
  </si>
  <si>
    <t xml:space="preserve"> Transferencia $6,743.60 fue pagada con el sobrante Caferra del dia 16 Dic 14</t>
  </si>
  <si>
    <t>Faltante en NV $98.00 Idalia</t>
  </si>
  <si>
    <t>12522.6 Gourmet</t>
  </si>
  <si>
    <t>Faltan gastos Capotero bernardo $1,020.00,Capotero Salvador $980.00</t>
  </si>
  <si>
    <t>Deposito $100,000.00 Esta en el dia 30 Dic 14</t>
  </si>
  <si>
    <t>VENTA GENERAL MES DE ENERO 2015</t>
  </si>
  <si>
    <t>VENTA GENERAL MES DE FEBRERO 2015</t>
  </si>
  <si>
    <t>VENTA GENERAL MES DE MARZO 2015</t>
  </si>
  <si>
    <t>VENTA GENERAL MES DE ABRIL 2015</t>
  </si>
  <si>
    <t>VENTA GENERAL MES DE MAYO 2015</t>
  </si>
  <si>
    <t>GOURMET</t>
  </si>
  <si>
    <t>VENTA GENERAL DEL MES FEBRERO 2015</t>
  </si>
  <si>
    <t>VENTA GENERAL DEL MES MARZO 2015</t>
  </si>
  <si>
    <t>VENTA GENERAL DEL MES ABRIL 2015</t>
  </si>
  <si>
    <t>VENTA GENERAL DEL MES MAYO 2015</t>
  </si>
  <si>
    <t>Buscar un faltante en una transfer de $16.00</t>
  </si>
  <si>
    <t xml:space="preserve"> las 4 llantas con valor de $7,413.83 FUERON PARA CENTRAL P-SK01241</t>
  </si>
  <si>
    <t xml:space="preserve">En este dia estan las rem #07906 $3,748.00,# 07921 $87,801.15 </t>
  </si>
  <si>
    <t>Efectivo NLP $90,450.00 Arquitecto</t>
  </si>
  <si>
    <t>Faltante Pagado con sobrante del dia 8 Enero $1,500.00</t>
  </si>
  <si>
    <t>Faltante pagado con sobrante del 17 Enero 2 basculas $90.00,adelanto a sueldo Benito $1000.00,Sobrante Alfonso Ruiz $95,450.00-$35,982.00= sobran $59,468.00</t>
  </si>
  <si>
    <t>Faltante de $18,461.53 pagado con el sobrante del dia 7 Enero,Sobrante $3,260.00 en transfer de $59,572,Sobrante $1,880.00 - $1,500.00=sobran$380.00</t>
  </si>
  <si>
    <t>Rem #08186 $133,000.00 A/C. en 2 dep $60,000.00+$73,000.00</t>
  </si>
  <si>
    <t>Rem #08102 $77,732.19),(#08163 $20,397.30),(#08113 $20,405.00),(#08186 $80,000.00 A/C)</t>
  </si>
  <si>
    <t>Rem #08385 $70,000.00 en 2 pagos $50,000.00+$20,000.00 A/C.),(Rem #08368 $32,010.60 pagada 12/01/15)</t>
  </si>
  <si>
    <t>REMISIONES PAGADAS A OBRADOR</t>
  </si>
  <si>
    <t>Rem (#08385 $30,598.00 resto el dia 12/01/15),(#08463 $14,600.65 pagada 12/01/015),(#08494 $101,414.74),(#08578 $127.50)</t>
  </si>
  <si>
    <t>Rem (#08577 $117,511.24),(#08661 $19,522.50),(#08704 $25,765.04)</t>
  </si>
  <si>
    <t>Rem (#8748 #168,000.00 en 2 pagos $85,000.00+$83,000.00 A/C.)</t>
  </si>
  <si>
    <t>Rem (#08807 $18,391.45 pagada en obrador 12/01/15),(#08760 $17,028.75 pagada en obrador 12/01/15),(#08748 $60,311.47 Resto pagado en obrador el 13/01/15)</t>
  </si>
  <si>
    <t>Rem (#08980 $75,000.00 A/C.)</t>
  </si>
  <si>
    <t>Rem (#08980 $3,181.00 resto pagado en obrador 17/01/15),(#09071 $16,750.40),(#09181 $20,042.90),(#09164 $45,000.00 A/C.)</t>
  </si>
  <si>
    <t>Rem (#09164 $54,808.00 pagado en obrador 17/01/15)</t>
  </si>
  <si>
    <t>Rem #08186 $75,364.00 Resto pagado el 12/01/15),(Rem #08187 $6,562.50),(#08287 $19,201.40),(#08304 $7,164.80)</t>
  </si>
  <si>
    <t>Rem (#08980 $35,000.00 A/C.),(#08974 $24,355.52 pagada en obrador 14/01/15),(#08988 $23,672.60 pagada en obrador 14/01/15)</t>
  </si>
  <si>
    <t>Rem(#09366 $50,000.00 A/C.), (#09280 $27,453.40 pagada en obrador 19/01/15),(#09442 $30,106.90)</t>
  </si>
  <si>
    <t>Rem (#09535 $14,154.40),(#09366 $41,105.67 resto pagado)</t>
  </si>
  <si>
    <t>Sobrante en gasto Kodiak $188.00,Sobrante Luis Manuel Gomez $45.00</t>
  </si>
  <si>
    <t xml:space="preserve">Sobrante $833,100.00 a favor de PROLEDO </t>
  </si>
  <si>
    <t>Faltan rem $3,259.60 para poner con su pago</t>
  </si>
  <si>
    <t>En este dia esta la Rem (#09353 $37,996.00 esta esta dividido en 2 pagos $22,000.00 y $15,996.00 en el 19/01/15),(#08750 $196,000.00 A/C.)</t>
  </si>
  <si>
    <t>Faltante de $15,996.00 pagado en transfer de $65,996.00 esta en el dia 21 Enero 2015</t>
  </si>
  <si>
    <t>42,427.50 pago a obrador del dia 23 Enero 15</t>
  </si>
  <si>
    <t>Faltante de $300.00 esta en el dia anterior</t>
  </si>
  <si>
    <t>Sobrante de Lety $99.00 caseta</t>
  </si>
  <si>
    <t>Pagado con sobrante del dia 3 Enero 2015 $35,982.00</t>
  </si>
  <si>
    <t>En este dia estan las rem (#08027  $127,651.67),( #08111  $125,032.10 )</t>
  </si>
  <si>
    <t>En este dia estan las rem (#08162 $10,512.00),(#08169  $25069.10),(#08243  $2,660.00),(#08238  $6,668.90),(#08239  $196,402.31 )</t>
  </si>
  <si>
    <t>en este dia estan las rem (#08308 $10,437.00),(#08289 $16,786.20),(#08239 $100,000.00 pago parcial)</t>
  </si>
  <si>
    <t>En este dia esta la rem (#08493 $103,196.06),( #08256  $71,033.40)</t>
  </si>
  <si>
    <t xml:space="preserve">En este dia estan las rem (#08626 $8,237.50),(#08362 $188,666.56),(#08607 $63,168.45 en obrador los dias 9 y 13 Enero) </t>
  </si>
  <si>
    <t>Esta rem esta dividida en  3 pagos #08007 $56,500.00,($185,000.00 16/01/15)=$241,500.00 A/C. rem valor original $372,712.32</t>
  </si>
  <si>
    <t>En este dia esta esta rem (#08007 $372,712.32  resto $131,212.32 en obrador 12 Enero 15),(Esta rem esta dividida en 2 pagos #08237  $110,000.00 + 162913.45=$272,913.50)</t>
  </si>
  <si>
    <t>En este dia estan las Rem (#09061 $186,989.11 con A/C. $46,537.11 Restan $30,452.00),(#09112 $265,471.44)</t>
  </si>
  <si>
    <t>$34,836.00 pago a obrador el dia 23 Enero 15</t>
  </si>
  <si>
    <t>En este dia esta esta rem (#08975 $95,730.10 cubierta en 3 pagos $26,200.00 en obrador el 23 Enero 15,($34,836.00 en obrador el 23 Enero 15),($34,694.10 en obrador el 23 Enero 15),Rem (#8982 $100,000.00 A/C. en 2 depositos $75,000.00+$25,000.00 en el dia 23 Enero 15)</t>
  </si>
  <si>
    <t>En este dia estan las Rem (#09788 $17,283.96 en obrador el 22 Enero 15),(#09796 $5,111.00 en obrador el 22 Enero 15),(#09485 $34,286.25 en obrador 23 Enero 15),(#09688 $17,569.60 en obrador el 22 Enero 15),(#09749 $6,705.60 en obrador el 22 Enero 15),(#09727 $2,760.00 en obrador el 22 Enero 15),(#08982 $190,326.01-($47,898.50 A/C.en Obrador 23 Enero 15),(#09061 $110,000.00 A/C.)</t>
  </si>
  <si>
    <t>En este dia esta la rem (#08237 $272,913.45)</t>
  </si>
  <si>
    <t>En este dia estan las rem (#08650 $45,045.00),(#08885 $69,409.10),(#08943 $36,733.80),(#08951 $8,380.00)</t>
  </si>
  <si>
    <t>En este dia esta la rem (#08803 $109,011.15)</t>
  </si>
  <si>
    <t>En este dia estan las rem (#08425 $189,479.42),(#09135 $45,395.32),(#09136 $19,434.30 pendiente checar que dia fueron pagadas en obrador)</t>
  </si>
  <si>
    <t>Faltante Idalia $200.00,En este dia estan las remisiones (#08752 $82,385.30),(#08636 $225,354.10)</t>
  </si>
  <si>
    <t>En este dia estan las rem #09533 $7,932.00,#09565 $85,071.80,(#08850 $132,951.24 en tres pagos $32,832.00 en central+$47,000.00,$53,119.00)</t>
  </si>
  <si>
    <t>$30,124.00 pago a Obrador</t>
  </si>
  <si>
    <t>$27,762.00,$41,000.00,$120,000.00 pagos a Obrador</t>
  </si>
  <si>
    <t>Pagos a Obrador</t>
  </si>
  <si>
    <t>En este dia estan la rem (#09339 $12,255.00 pagada en obrador 19 Enero 15),(#09238 $59,136.45 pagada en Obrador 19 Enero 15),(#09169 $54,185.00 pagada en Obrador 19 Enero 15),(#08716 $98,594.10 pagada el 19 Enero 15 en Obrador)</t>
  </si>
  <si>
    <t>Rem (#09579 $5,829.60),(#09635 $26,081.70),(#09652 $10,759.20)</t>
  </si>
  <si>
    <t>Rem (#09639 $35,000.00 A/C.),(#09561 $19,754.30 pagada a Obrador el 23 Enero 15)</t>
  </si>
  <si>
    <t>Vale $45,000.00 pago a Remisiones,Rem (#09840 $31,853.60 pagada a Obrador 31 Enero 15)</t>
  </si>
  <si>
    <t>vale de $50,000.00 pago a Remisiones,Rem (09639 $35,000.00 A/C.)</t>
  </si>
  <si>
    <t>vale de $30,000.00 pago a Remisiones, Rem (#09733 $23,032.50),(#09939 $14,166.00),(#09639 $41,951.00 resto pagado en Obrador) el 25 Enero 15</t>
  </si>
  <si>
    <t>vale $95,000.00 pago a Remisiones,</t>
  </si>
  <si>
    <t>vale $55,000.00 pago a Remisiones,Rem (#09690 $53,228.40)</t>
  </si>
  <si>
    <t>$30,452.00 pago a Obrador</t>
  </si>
  <si>
    <t>pago a obrador</t>
  </si>
  <si>
    <t>$32,832.00 pago a Obrador</t>
  </si>
  <si>
    <t>Rem pagadas en Obrador (#09723 $43,531.40),(#09782 $53,297.68),(#09907 $8,622.00),(#09925 $108,204.00),(#09932 $53,482.00),(#09995 $31,299.20),(#10026 $316,061.80),(#10037 $24,869.60),(#10057 $65,461.60),(#10076 $3,553.20),(#10092 $69,618.80),(#10160 $233,792.12),(#10232 $77,073.00),(#10233 $911.40),(#10237 $6,778.80),(#10272 $150,836.93),(#10276 $45,110.40),(#10321 $62,273.28),(#10345 $13,706.40),(#10351 $93,849.40),(#10433 $119,316.25),(#10464 $64,743.50),(#10466 $20,336.00),(#10567 $3,372.52)</t>
  </si>
  <si>
    <t>vale $105,000.00 pago a Remisiones</t>
  </si>
  <si>
    <t>Vale de $100,000.00 sra NLP,Sobrante de $1,000.00 A/C rem #406 E1 Vero</t>
  </si>
  <si>
    <t>Sobrante de $15,996.00 es del dia 19 Enero 2015</t>
  </si>
  <si>
    <t>Sobrantes de Caferra $6,743.60,Luis Herrera $356.55</t>
  </si>
  <si>
    <t>En este dia esta la Rem (#09372 $261,668.67 - Resto $52,544.50)Falta agregar pago de $30,124.17)</t>
  </si>
  <si>
    <t>En este dia estan las rem (#09422 $45,078.20),(#08750 $314338.34 dividida en pagos $86,566.50,$31,772.00 pagadas en obrador el 21 Enero 15)</t>
  </si>
  <si>
    <t>$3.45 SOBRANTE DE GASTOS SRA nlp</t>
  </si>
  <si>
    <t>Pagos a obrador</t>
  </si>
  <si>
    <t>Rem pagadas en Obrador (#09352 $270,568.59),(#09460 $67,562.80),(#09643 $235,729.36),(#09641 $106,179.60),(#09687 $274,781.33),(#09834 $107,330.20),(#10584 $130,856.00),(#10581 $5,056.40),(#10579 $263,084.26),(#10575 $105,990.86),(#10547 $3,886.00),(#10516 $6,696.00),(#10510 $1,959.84),(#10565 $5,174.40),(#10560 $496.00),(#10597 $727.60),(#10632 $2,748.00),(#10633 $268,021.66),(#11079 $29,615.54),(#11371 $1,716.00),(#10671 $409.40)</t>
  </si>
  <si>
    <t>Depositado en Efectivo $101,376.90, Faltante $1,231.20 esta en eldia Anterior</t>
  </si>
  <si>
    <t>Sobrante $1,231.20 a favor de Ricardo Deleita</t>
  </si>
  <si>
    <t>Lic pago predial $22,000.00 Ingeniero Bonilla</t>
  </si>
  <si>
    <t xml:space="preserve">Sobrante $300.00 </t>
  </si>
  <si>
    <t>Vale de $100,000.00 sra NLP,Faltante $56,395.20 con el dia 3</t>
  </si>
  <si>
    <t xml:space="preserve">   </t>
  </si>
  <si>
    <t>Sobrante de $56,395.20 del dia 2 Febrero</t>
  </si>
  <si>
    <t>Sobrante $200.00</t>
  </si>
  <si>
    <t>En este dia esta la Rem (#09269 $129,665.80 pago Resto $92,048.00 Falta agregar el pago de $37,617.80 ),Rem (#09372 $261,668.67-179,000.00 A/C.) Remisiones pagadas a Obrador (#08459 $53504.00),(#09112 $265,471.44),(#09372 $261,668.67),(#10031 $6,130.80),(#10393 $1,108.80),(#10438 $840.00),(#10841 $620.00)</t>
  </si>
  <si>
    <t>Faltante $200.00 estan en el dia anterior</t>
  </si>
  <si>
    <t>(pagos rem comercio $345,168.50,pagos rem herradura $268,868.00,pagos rem central $1,890,533.50)</t>
  </si>
  <si>
    <t>Rem pagadas a Obrador  el 21 Feb 15(#10678 $126,251.80),(#10710 $45,779.60),(#10779 $14,788.00),(#10787 $65,231.90),(#10903 $71,322.80),(#10955 $41,944.00),(#10998 $340,525.70),(#11002 $143,472.40),(#11097 $51,227.90),(#11174 $13,971.00),(#11203 $68,727.40),(#11205 $208,952.99),(#11219 $4,446.14),(#11306 $247,456.10),(#11310 $69874.60),(#11315 $12,143.60),(#11639 $56,815.60),(#11677 $217669.19),(#11772 $108,931.20),(#11809 $6,707.20),(#12080 $4,572.96),(#12110 A/C $27,443.42)</t>
  </si>
  <si>
    <t>Remisiones pagadas a Obrador el sabado 28 Febrero 2015 (#11475 $69,010.78),(#12110 $28,374.80),(#11373 $198,447.53),(#11425 $69,667.20),(#12091 $190,084.13),(#11576 $83,640.50),(#11777 $183,657.94),(#11857 $132,333.64),(#11890 $90,910.40),(#11941 $18,329.40),(#11988 $135,185.97),(#11999 $89,820.40),(#12081 $204,056.26),(#12159 $68,932.80),(#12303 $13,507.20),(#12361 $23,290.72),(#12367 $109,647.98),(#12369 $133,430.35),(#12384 $39,348.80),(#12411 $99,330.00),(#12433 $124,693.92),(#12520 $3,510.00),(#12572 $2,944.40)</t>
  </si>
  <si>
    <t>Vale de $45,000.00 pago a remisiones Obrador</t>
  </si>
  <si>
    <t>Vale de $85,000.00 pago a remisiones Obrador</t>
  </si>
  <si>
    <t>Vale de $40,000.00 pago a remisiones Obrador</t>
  </si>
  <si>
    <t>Vale de $90,000.00 pago a remisiones Obrador</t>
  </si>
  <si>
    <t>Vale de $80,000.00 pago a remisiones Obrador</t>
  </si>
  <si>
    <t>Vale de $100,000.00 pago a remisiones Obrador</t>
  </si>
  <si>
    <t>Vale de $60,000.00 pago a remisiones Obrador</t>
  </si>
  <si>
    <t>Faltante $35,962.64</t>
  </si>
  <si>
    <t>SUELDO LUPITA</t>
  </si>
  <si>
    <t>Remisiones pagadas a Obrador 11 Marzo 2015 (#13467 $278.40),(#13517 $332.00),(#11495 $167,236.96),(#12275 $63,597.60),(#12221 $154,486.12),(#12226 $56,070.60),(#12549 $52,467.50),(#12551 $111,405.14),(#12618 $222,971.46),(#12668 $59,855.40),(#12783 $196,183.71),(#12769 $21,109.70),(#12738 $70,825.90),(#12856 $27,412.60),(#12835 $21,054.40),(#12947 $72,914.75),(#12964 $66,056.40),(#12965 $626.60),(#12949 $118,406.00),(#12873 $4,801.60),(#12861 $49,522.90),(#13141 $2,560.00),(#13050 $40,375.70),(#13059 $126,334.50),(#13069 $29,779.20)</t>
  </si>
  <si>
    <t>Sobrante $2,668.00 del dia 28 Febrero 15</t>
  </si>
  <si>
    <t>Falta checar dposito $147.00 en bancos</t>
  </si>
  <si>
    <t>Obrador</t>
  </si>
  <si>
    <t>Remisiones pagadas a Obrador (#13100 $207,823.11),(#13153 $88,702.70),(#13218 $99,399.06),(#13253 $198,308.60),(#13254 $42,688.58),(#13392 $395,169.25),(#13449 $4,626.00),(#13508 $266,603.94),(#13510 $41,837.00),(#13572 $69,655.70),(#13651 $183,511.84),(#13697 $14,261.70),(#13720 $54,341.40),(#13765 $40.28),(#13774 $161,563.70),(#13787 $17,601.10),(#13838 $24,858.60),(#13865 $46,480.40),(#13892 $15,271.60),(#13981 $696.00),(#14023 $2,003.40),(#14088 $58,578.00),(#14112 $5,060.00),(#14235 $40,504.10)</t>
  </si>
  <si>
    <t>Sobrante $280,000.00 a favor sra NLP</t>
  </si>
  <si>
    <t>Sobrante $1,000.00 Vero,$14,397.54 morralla de dia 14 Marzo</t>
  </si>
  <si>
    <t>Faltante $2,668.00 de Ricardo Deleita Esta en el dia 6 Marzo</t>
  </si>
  <si>
    <t>Sobrante $2,000.00,Este faltante es del Robo $66,813.25</t>
  </si>
  <si>
    <t>Remisiones pagadas a Obrador (#11743 $600.00),(#12230 resto $3,581.02),(#13936 $242301.11),(#13945 $203,468.10),(#14079 $146,182.30),(#14170 $237,947.53),(#14247 $53,976.90),(#14248 $68,230.35),(#14414 $21,687.80),(#14466 $182,130.79),(#14477 $22,703.00),(#14531 $311.60),(#14536 $646.40),(#14557 $148,202.45),(#14571 $656.00),(#14651 $193,745.75),(#14723 $178,965.36),(#14759 $10,608.60),(#14769 $30,287.60),(#14864 $2,000.00),(#14866 $11,486.80)</t>
  </si>
  <si>
    <t>Vale de $100,000.00 sra NLP pago a rem Obrador</t>
  </si>
  <si>
    <t>Vale de 35,000.00 sra NLP pago a remisiones Obrador</t>
  </si>
  <si>
    <t>Vale sra NLP $70,000.00 ya lo firmo la sra</t>
  </si>
  <si>
    <t>Sobrante a favor de Proledo $24,437.00</t>
  </si>
  <si>
    <t>Remisiones pagadas a Obrador (#12436 $43,549.10),(#12787 $8,800.00),(#14020 $3,462.40),(#14342 $145.60),(#14343 $2,440.20),(#14667 $66,448.90),(#14727 $42,286.00),(#14753 $128,150.40),(#14863 $286,703.40),(#14939 $57,972.30),(#15059 $89,920.60),(#15060 $132,538.61),(#15087 $2,746.80),(#15132 $3,264.00),(#15255 $21,475.40),(#15330 $257,587.16),(#15578 $196,108.42),(#15597 $11,659.20),(#15650 $58,863.00)</t>
  </si>
  <si>
    <t xml:space="preserve">REPARACION DE BOMBA </t>
  </si>
  <si>
    <t>DESCRIPCION</t>
  </si>
  <si>
    <t>FACTURA</t>
  </si>
  <si>
    <t>COSTO</t>
  </si>
  <si>
    <t>Reparacion de motor sumergible franklin 1 h.p 115 y caja de control $3,000.00 + IVA</t>
  </si>
  <si>
    <t>#94                                 #95</t>
  </si>
  <si>
    <t>REPARACION DE PATIN</t>
  </si>
  <si>
    <t>B 5128</t>
  </si>
  <si>
    <t>Kit de reparacion para patin intrupa $301.73 + IVA</t>
  </si>
  <si>
    <t>Los $213,100.00,$100,000.00 fueron entregados a la sra NLP firmo vales</t>
  </si>
  <si>
    <t>Vale de $75,000.00 firmado por la sra NLP</t>
  </si>
  <si>
    <t>Rueda de Nylamid de 2"x 1"x 1"x1/4" cap de carga 75 kg 4pzas x $27.59=$110.36,Rueda de patin Nylamid para patin hidraulico ,trasera de 3 1/4"x 4" con baleros 6204 cap. De carga 500kg 2pzas x $170.69=$341.38,Baleros ECO 10pzas x $18.10=$181.04,Aflojatodo loctite $64.65,Grasa bat 3 $30.17,Spirol 7/32-1 3-/8  5pzas x $2.59=$12.93 + IVA</t>
  </si>
  <si>
    <t>A20605                36072</t>
  </si>
  <si>
    <t>Vale de $5,000.00 para gastos firmado por sra NLP</t>
  </si>
  <si>
    <t>Vale de $50,000.00 sra NLP pago a remisiones obrador</t>
  </si>
  <si>
    <t>NO HUBO LABORES</t>
  </si>
  <si>
    <t xml:space="preserve">SOLDAR BUJE </t>
  </si>
  <si>
    <t>N.V 119</t>
  </si>
  <si>
    <t>NO SE LAVORO</t>
  </si>
  <si>
    <t>Faltante de Lety $200.00 esta en el 2 Abril,Sobrante $18,461.53,Deposito correspondiente al dia 6 Enero $6,082.00</t>
  </si>
  <si>
    <t>Pago a rem obrador</t>
  </si>
  <si>
    <t>Sobrante de $1,000.00 pertenece al dia 7 Abril</t>
  </si>
  <si>
    <t>Faltante de $1,000.00 esta en el dia 4 Abril</t>
  </si>
  <si>
    <t>REPARACION DE MONTACARGA</t>
  </si>
  <si>
    <t>A 538                        A 537</t>
  </si>
  <si>
    <t>Cubeta aceite Hidraulico $1,000.00,Filtro de retorno $160.00,Dielectrico $100.00,Cubeta de aceite Hidraulico $1,000.00,Filtro hidraulico $450.00 + IVA (+ servicio general $1,700.00)</t>
  </si>
  <si>
    <t>($100,000.00,$90,000.00 fueron entregados a la sra NLP y firmo de Recibido)</t>
  </si>
  <si>
    <t>Depositos $50,000.00,$50,000.00 entregados a sra NLP firmo de recibido</t>
  </si>
  <si>
    <t>Depositos $50,000.00,$100,000.00 estregados a sra NLP firmo de recibido</t>
  </si>
  <si>
    <t>Deposito $100,000.00 entregados a sra NLP  firmo de recibido,Los $24,437.05 se pago con el sobrante del 21 Abril</t>
  </si>
  <si>
    <t>Los 25.50 estan en el dia 4 abril</t>
  </si>
  <si>
    <t>Sobrante de Albicia $36,494.55,Sobrante de Proledo $94,504.40,$25.50 sobrante del dia 5 Abril</t>
  </si>
  <si>
    <t>$10 pesos sra Angeles en gastos sra NLP los pago el dia 31 Marzo en Obrador</t>
  </si>
  <si>
    <t>sobrante de $10 del dia 19 Febrero en Central</t>
  </si>
  <si>
    <t>Sobrante de $1,000.00</t>
  </si>
  <si>
    <t>Sobrante $200.00 pago de Argelia  Remision mal calculada</t>
  </si>
  <si>
    <t>$83.00 son degastos sra NLP del dia 7 Abril en Obrador</t>
  </si>
  <si>
    <t>Cheque $164,110.27 Fue cambiado por el efectivo,Gasto casa sra NLP $83.00 se pago en Central el dia 6 Abril</t>
  </si>
  <si>
    <t>deposito $500.00 gasto devuelto por Lic la sra NLP tomo el efectivo</t>
  </si>
  <si>
    <t>Remisiones pagadas a Obrador (#15137 $24,567.10),(#15153 $167,272.16),(#15258 $145,783.80),(#15369 $26,692.40),(#15458 $153,763.40),(#15567 $132,603.60),(#15744 $195,822.48),(#15838 $34,519.60),(#15860 $236,570.87),(#15863 $20,742.00),(#15934 $2,530.80),(#15936 $114,788.32),(#16026 $317,412.93),(#16135 $800),(#16148 $25,859.80),(#16162 $193,430.86),(#16313 $8,689.40),(#16417 $9,126.00),(#16516 $10,606.70)</t>
  </si>
  <si>
    <t>El sobrante $94,504.40 del dia 4 abril se aplico este dia ,Sobrante Proledo $331.70</t>
  </si>
  <si>
    <t>Sobrante a favor de Nu3 $12,775.00</t>
  </si>
  <si>
    <t>Los $305.00 sobrantes del dia 18 Abril se aplican este dia</t>
  </si>
  <si>
    <t>Sobrante $2,200.00 porque Idalia invirtio las fichas</t>
  </si>
  <si>
    <t>Faltante de $2,200.00 esta en dia anterior por el error de Idalia</t>
  </si>
  <si>
    <t>El movimiento de $61,943.02 no es real ya que Norma aplico dos veces la morralla que en realidad es de $30,971.00</t>
  </si>
  <si>
    <t>Remisiones pagadas a Obrador el 1 Mayo (#16835 4184,631.54),(#16697 $255,833.72),(#16822 $6,255.00),(#16838 $58,688.70),(#16930 $40,138.75),(#17015 $64,572.47),(#17050 $36,360.15),(#17118 $28,432.20),(#17148 $1,484.00),(#17185 $13,266.00),(#17186 $384),(#17221 $123,473.17),(#17145 $15,140.15),(#17220 $35,721.00),(#17135 $222,741.02),(#17313 $197,022.47),(#17304 $1,716.80),(#17420 $151,863.44),(#17455 $53,617.80),(#17572 $123,134.80),(#17534 $30,892.70),(#17535 $8,316.00),(#17567 $55,155.80),(#17570 $12,364.80),(#14374 $59,072.40),(#15030 $6,260.40),(#15265 $38,617.60)</t>
  </si>
  <si>
    <t>sem 25 abril al 2 mayo</t>
  </si>
  <si>
    <t>Adelanto de 3 sem 9 mayo,16 mayo,23 mayo</t>
  </si>
  <si>
    <t>VENTA GENERAL DEL MES JUNIO 2015</t>
  </si>
  <si>
    <t>VENTA GENERAL DEL MES JULIO 2015</t>
  </si>
  <si>
    <t>VENTA GENERAL DEL MES AGOSTO 2015</t>
  </si>
  <si>
    <t>Sobrante $43,669.60</t>
  </si>
  <si>
    <t>Deposito $150,000.00 vale firmado por sra NLP</t>
  </si>
  <si>
    <t>los sobrantes de Proledo se aplican este dia $9,031.40 y $5,518.00</t>
  </si>
  <si>
    <t>Me faltan los tikets #25574,#25577,#25578,#25579,#25580,#25582,#25583,#25572,#25584,$25592,#25598,#25599,#25600,#25602,#25597,#25659,#25660</t>
  </si>
  <si>
    <t>El sobrante $331.70 de Proledo se aplica este dia,Se hizo el deposito de $1,442.00 del gasto que habian duplicado</t>
  </si>
  <si>
    <t>Certificados para Veracruz $508.00</t>
  </si>
  <si>
    <t>Dif $130.00</t>
  </si>
  <si>
    <t>Luis Gomez  debe aun ($23,215.86-$12,104.00=$11,111.86) que tomaron en documento como bueno,Pago guia y certificados $402.00,Sobrante de $200.00 pago de Lety Del Faltante del 7 Febrero</t>
  </si>
  <si>
    <t>Finiquito Sr. Alejandro Palma $7,955.77</t>
  </si>
  <si>
    <t xml:space="preserve">Mano de obra montacarga de Lorena </t>
  </si>
  <si>
    <t>VALE</t>
  </si>
  <si>
    <t>Manguera de alta presion #8 con terminal $550.00,Manguera de alta presion #9 $650.00 montacarga Lorena,Mano de obra $1,700.00</t>
  </si>
  <si>
    <t>Rem 20461,VALE</t>
  </si>
  <si>
    <t>Brocha con mango de plastico $8.62,Brocha con mango de plastico 1 1/2" $13.36,Sellador para altas temperaturas $28.45,T-HEXMM-8X30X1.25 $12.80,TG5NF-5/8X2-1/2 4 pzas x 414.37=$57.50,Arandela de presion 5/8 8pzas x $1.49=$11.96,TCA-IAT-50-5/8 4pzas x $11.57=$46.31,Estopa por bolsa $17.00,cUBETA DE ACEITE HIDRAULICO $1,000.0 + IVA</t>
  </si>
  <si>
    <t>E 6669    A 600</t>
  </si>
  <si>
    <t>Vale de proteccion civil $17,000.00 firmado por la sra NLP</t>
  </si>
  <si>
    <t>Morralla del dia anterior por error la tomo como saldo inicial</t>
  </si>
  <si>
    <t>Se cobro en efectivo el cheque de Nely $91,255.88</t>
  </si>
  <si>
    <t>pago a cuadritos $335.00</t>
  </si>
  <si>
    <t>Vale $50,000.00 sra NLP</t>
  </si>
  <si>
    <t>Cobraron de mas a Miguel Ramirez Muñoz $147.20</t>
  </si>
  <si>
    <t>Sobrante de Lety $100.00,Sobrante a favor de proledo $5,518.00,pago a proveedores de $305.00 se pago de mas porque corrigieron despues la remision</t>
  </si>
  <si>
    <t>Faltante Lety $100.00 pagado con el sobrante del dia 18 Abril,El sobrante de Cristian-Graciela $43,669.60 se aplica este dia</t>
  </si>
  <si>
    <t>Sobrante Proledo $7,346.36</t>
  </si>
  <si>
    <t>Adelanto para reparacion Samsun $100.00 el resto esta en el dia 18 Mayo</t>
  </si>
  <si>
    <t>Sobrante a favor Proledo $12,040.00</t>
  </si>
  <si>
    <t xml:space="preserve">Capotero Enrique faltan $20 en su pago de $450.00 se los dio Lety a la sra NLP </t>
  </si>
  <si>
    <t>Sobrante a favor de Proledo $1,353.00,Sobrante a favor de Raul $6,437.80</t>
  </si>
  <si>
    <t>A 22616</t>
  </si>
  <si>
    <t>Rueda de Nylamid trasera de 3" x 2 3/4" con baleros 6204 2 pzas x $146.55=$293.10 + IVA</t>
  </si>
  <si>
    <t>VENTA GENERAL DEL MES SEPTIEMBRE 2015</t>
  </si>
  <si>
    <t>VENTA GENERAL DEL MES OCTUBRE 2015</t>
  </si>
  <si>
    <t>VENTA GENERAL DEL MES NOVIEMBRE 2015</t>
  </si>
  <si>
    <t>VENTA GENERAL DEL MES DICIEMBRE 2015</t>
  </si>
  <si>
    <t>Remisiones pagadas a Obrador (#17829 $2,250.30),(#18296 $35,190.00),(#18313 $285977.14),(#18485 $92,821.65),(#18530 $37,615.29),(#18593 $53,147.70),(#18602 $207,958.20),(#18662 $45,092.00),(#18652 $3,835.00),(#18695 $135,688.88),(#18697 $28,218.40),(#18702 $37,443.60),(#18744 $628.20),(#18789 $5,557.83),(#18797 $278,366.43),(#18798 $63,272.00),(#18913 $23,292.909,(#18928 $34,234.00),(#18940 $189,273.25),(#18941 $39,792.80),(#18942 $7,695.00),(#18975 $45,591.40),(#19064 $258,451.41),(#19065 $28,061.40),(#19119 $14,214.30),(#19148 $56,736.50),(#19186 $4,055.40),(#19190 $516.00),(#19254 $235,756.06),(#19269 $4,785.00),(#19314 $85,662.55),(#19335 $5,761.90),(#19336 $11,608.00),(#19383 $56,691.80),(#19384 $149,529.26),(#19443 $226,200.50),(#19447 $42,993.60),(#19449 $4,160.00),(319456 $4,024.89),(#19471 $44,281.65),(#19543 $1,104.00),(#19546 $121,237.02),(#19602 $4,815.60),(#19612 $4,246.60),(#19623 $12,616.80),(#19632 $1,646.40),(#19634 $7,575.96)</t>
  </si>
  <si>
    <t>Remisiones pagadas a Obrador (#19696 $287,183.90),(#19698 $100,500.10),(#19817 $213,399.30),(#19818 $19,609.60),(#19820 $43,073.10),(#19843 $33,671.10),(#19853 $4,210.80),(#19932 $44,511.70),(#19979 $1,332.00),(#19994 $117,230.26),(#20006 $33,728.90),(#20033 $36,495.40),(#20094 $112,914.80),(#20097 $3,660.80),(#20100 $80,764.12),(#20118 $26,531.40),(#20180 $14,507.20),(#20200 $50,473.10),(#20204 $227,402.54),(#20236 $6,906.60),(#20318 $210,138.27),(#20321 $102,010.96),(#20325 $147.00),(#20446 $188,497.10),(#20447 $35,203.90),(#20454 $81,685.80)</t>
  </si>
  <si>
    <t>Remisiones pagadas a Obrador (#20481 $59,948.70),(#20508 $61,964.30),(#20587 $253,170.50),(#20589 $58,558.00),(#20616 $2,534.40),(#20633 $46,569.20),(#20665 $78,254.60),(#20696 $109,853.20),(#20725 $1,406.80),(#20774 $16,155.00),(#20832 $69,318.40),(#20860 $110,964.48),(#20864 $206,752.00),(#20942 $20,187.60),(#20957 $6,000.00),(#20959 $153,747.28),(#20985 $58,446.80),(#20986 $3,014.40),(#20989 $1,137.60),(#21061 $281,746.28),(#21072 $78,241.20),(#21138 $9,230.10),(#21154 $400.00),(#21191 $19,035.10),(#21194 $15,391.80),(#21208 $285,646.65),(#21286 $7,219.20)</t>
  </si>
  <si>
    <t>VENTA GENERAL MES DE JUNIO 2015</t>
  </si>
  <si>
    <t>VENTA GENERAL MES DE JULIO 2015</t>
  </si>
  <si>
    <t>VENTA GENERAL MES DE AGOSTO 2015</t>
  </si>
  <si>
    <t>VENTA GENERAL MES DE SEPTIEMBRE 2015</t>
  </si>
  <si>
    <t>VENTA GENERAL MES DE OCTUBRE 2015</t>
  </si>
  <si>
    <t>VENTA GENERAL MES DE NOVIEMBRE 2015</t>
  </si>
  <si>
    <t>VENTA GENERAL MES DE DICIEMBRE 2015</t>
  </si>
  <si>
    <t>Faltante de $100.00 en Cheque de Valerio Aurelio</t>
  </si>
  <si>
    <t>Deposito  $14,397.54 estan con el dia 15 Marzo 2015,Estos   $1,000.00 estan con el dia 15 Marzo 2015</t>
  </si>
  <si>
    <t>El sobrante de Proledo del dia anterior se aplica este dia $ 7,346.36</t>
  </si>
  <si>
    <t>Sobrante a favor Proledo $49,863.00</t>
  </si>
  <si>
    <t>Gastos casa sra NLP $3,000.00 esta pagado junto con lo del dia 25 Mayo,Sobrante a favor Proledo $5,575.00,Faltante de $6,437.80 se cubre con el sobrante del dia 19 Mayo</t>
  </si>
  <si>
    <t xml:space="preserve">Faltante de $1,230.00 </t>
  </si>
  <si>
    <t>Sobrante $1,230.00 del dia anterior</t>
  </si>
  <si>
    <t>Sobrante de $10.00 sr Jesus,Vale de $50,000.00 entregado y firmado sra NLP,Sobrantes de proledo $12,040.00 11 Mayo,$1,353.50 19 Mayo,$5,575.00 23 Mayo aplicados este dia</t>
  </si>
  <si>
    <t xml:space="preserve">Vale de $50,000.00 efectivo recibido por sra NLP </t>
  </si>
  <si>
    <t xml:space="preserve">Vale de $50,000.00 sra NLP </t>
  </si>
  <si>
    <t>Faltante Idalia en pago de Remisiones $304.50 aclarado con el sobrante del dia 18 Abril en Obrador</t>
  </si>
  <si>
    <t>Resorte y barrenado FRENO</t>
  </si>
  <si>
    <t>sobrante de $20.00 pesos de gastos a Mexico sr. Jesus</t>
  </si>
  <si>
    <t>Sobrante $40.00 pago Argelia el faltante en Remision #0582</t>
  </si>
  <si>
    <t>Remisiones pagadas a Obrador (#21316 $378,670.70),(#21318 $13,923.40),(#21383 $25,724.40),(#21394 $35,079.65),(#21412 $23,361.80),(#21480 $9,490.50),(#21524 $51,426.90),(#21527 $4,812.00),(#21531 $113,047.30),(#21588 $19,909.50),(#21589 $6,260.60),(#21604 $76,168.00),(#21605 $84,796.80),(#21607 $1,313.00),(#21609 $5,508.00),(#21678 $6,868.50),(#21705 $81,782.20),(#21707 $8,002.00),(#21711 $237,925.82),(#21724 $68,974.00),(#21773 $7,376.40),(#21795 $246,805.93),(#21797 $78,103.60),(#21827 $6,000.00),(#21889 $15,016.05),(#21932 $147,208.70),(#21933 $100,985.30),(#21953 $100,893.70),(#21965 $17,721.80),(#22025 $271,497.35),(#22026 $34,906.40),(#22059 $9,384.00),(#22061 $28,755.80),(#22105 $9,352.40),(#22117 $1,416.00),(#22132 $67,618.80)</t>
  </si>
  <si>
    <t>Vale de Gastos por $82,000.00 firmado por sra. NLP Utilidades</t>
  </si>
  <si>
    <t>Complemento deGastos sra. NLP $88,000.00 vale firmado por ella Utilidades</t>
  </si>
  <si>
    <t>Hay 2 cheques en este corte no los anote en la libreta</t>
  </si>
  <si>
    <t>Ayuda a Eduardo $2,000.00</t>
  </si>
  <si>
    <t>Remisiones pagadas a obrador (#22222 $196,068.75),(#22249 $13,574.40),(#22270 $19,896.80),(#22321 $58,520.40),(#22322 $202,131.42),(#22356 $9,051.60),(#22423 $34,758.34),(#22433 $62,658.00),(#22463 $33,576.50),(#22499 $176,348.10),(#22533 $76,880.50),(#22537 $5,661.00),(#22545 $10,082.40),(#22600 $3,154.40),(#22658 $223,209.20),(#22664 $186,433.90),(#22734 $15,339.80),(#22737 $2,620.46),(#22762 $17,805.80),(#22767 $273,495.60),(#22775 $173,626.76),(#22789 $8,010.00),(#22848 $13,212.60),(#22857 $8,408.40),(#22871 $134,052.10),(#22943 $140,815.98),(#22944 $9,806.80),(#22978 $5,684.60)</t>
  </si>
  <si>
    <t>Fue ROBO$21,340.80</t>
  </si>
  <si>
    <t>Mano de obra freno</t>
  </si>
  <si>
    <t>Remisiones pagadas a aobrador (#23018 $94,099.50),(#23035 $3,456.00),(#23054 $86,144.33),(#23093 $5,860.80),(#23099 $43,925.40),(#23144 $229,872.57),(#23147 $61,530.00),(#23179 $133,426.40),(#23210 $1,962.10),(#23243 $191,709.12),(#23300 $3,181.40),(#23307 $129,004.20),(#23321 $5,382.00),(#23345 $141,487.87),(#23352 $10,143.00),(#23404 $171,380.20),(#23447 $249,250.15),(#23450 $106,168.30),(#23451 $4,653.60),(#23474 $5,301.80),(#23505 $53,753.30),(#23560 $224,748.60),(#23561 $36,792.40),(#23650 $48,077.60)</t>
  </si>
  <si>
    <t xml:space="preserve">Faltante $10.00 </t>
  </si>
  <si>
    <t>Sobrante $10.00 es del dia 11 Junio</t>
  </si>
  <si>
    <t>Remisiones pagadas a Obrador (#23693 $69,334.40),(#23706 $215,950.18),(#23744 $83,928.20),(#23793 $206,995.24),(#23798 $1,685.00),(#23799 $1,554.80),(#23870 $5,280.00),(#23872 $38,632.60),(#23875 $6,305.80),(#23914 $150,438.77),(#23915 $99,688.00),(#23960 $31,193.20),(#23970 $6,246.00),(#24017 $800.00),(#24022 $50,641.76),(#24032 $176,844.60),(#24081 $23,258.20),(#24085 $3,289.00),(#24119 $52,205.50),(#24131 $195,687.30),(#24132 $4,540.00),(#24172 $27,717.30),(#24185 $24,608.00),(#24194 $7,470.00),(#24197 $62,004.60),(#24277 $51,732.00),(#24311 $42,558.40),(#24329 $7,028.00),(#24400 $13,798.40)</t>
  </si>
  <si>
    <t>Sobrante $20.00</t>
  </si>
  <si>
    <t>Los $340.00 de diferencia en utiles escolares fueron entregados a la sra. NLP</t>
  </si>
  <si>
    <t>TIKETS #33511 C al #033517 C</t>
  </si>
  <si>
    <t>TIKETS #033501 C al #033510 C,(#033047 al #033069 C=$859.00,#033469 C y #033488 C=$33.00)</t>
  </si>
  <si>
    <t>TIKETS #033091 C al #033100 C</t>
  </si>
  <si>
    <t>TIKETS #033078 C al #033090 C</t>
  </si>
  <si>
    <t>TIKETS #033074 C al #033077 C</t>
  </si>
  <si>
    <t>Gourmet #33012 al #33046 C=$1,126.00,#33438 C al #33450 C=$219.00,#33451 C al #33500 C=$2468.50</t>
  </si>
  <si>
    <t>Gourmet #033344 C al #33370 C=$401.00,#33371 C al #33400 C=$751.50,#33412 C al #33437 C=$579.50</t>
  </si>
  <si>
    <t>Gourmet #033145 C al #033200 C y #033301 C al #033343 C</t>
  </si>
  <si>
    <t>Gourmet #32560-#32600 C=$1264.00 y #33201 C-#33222 C=$619.50</t>
  </si>
  <si>
    <t>Numeracion de tikets para gourmet #33101 C-#33900 C y #34001 C-#34900 C,Remisiones pagadas a obrador (#17548 $147,945.20),(#17593 $41,415.70),(317644 $42,961.70),(#17659 $45,990.35),(#17746 $15,221.70),(#17722 $270.00),(#17738 $99,700.10),(#17807 $55,046.70),(#17857 $130,286.43),(#17893 $53,172.90),(#17972 $16,338.40),(#17970 $240,323.18),(#18082 $15,972.60),(#18095 $9,048.60),(318057 $8,840.40),(#18053 $109,959.16),(#17989 $53,206.20),(#18058 $2,898.00),(#18209 $27,454.80),(#18206 $123,128.80),(#18134 $46,637.35),(#18169 $158,479.15),(#18327 $13,582.70),(#18355 $28,425.20),(#18376 $3,488.20),(#18387 $40,150.00),(#18393 $70,289.91),(#15661 $30,847.60),(#15946 $50,879.40),(#16002 $2,454.00),(#16061 $3,061.60),(#16076 $8,166.00),(#16171 $5,345.60),(#16202 $12,004.02),(#16317 $13,406.80),(#17317 $17,687.40),(#17827 $2,781.00)</t>
  </si>
  <si>
    <t>Pago de transfer $5,348.00 esta en Obrador el dia 20 Junio 2015 en la transf $25,692.90</t>
  </si>
  <si>
    <t>Vale Elias y Pepe $6,500.00</t>
  </si>
  <si>
    <t>Nomina $95,598.53</t>
  </si>
  <si>
    <t>tikets #033542 C,#033562 C al #033576 C</t>
  </si>
  <si>
    <t>TIKETS #033577 C al #033585 C,Remisiones pagadas a Obrador (#24377 $86,106.80),(#24384 $92,365.06),(#24388 $99,205.24),(#24488 $1,834.80),(#24491 $42,744.10),(#24492 $124,877.00),(#24500 $141,491.08),(#24513 $2,797.20),(#24578 $27,660.30),(#24583 $109,551.10),(#24609 $200,601.05),(#24701 $132,230.54),(#24702 $40,615.50),(#24708 $100,981.10),(#24797 $7,902.80),(#24799 $3,135.60),(#24810 $199,740.75),(#24837 $179,777.72),(#24863 $187,664.17),(#24897 $2,653.60),(#24905 $52,302.25),(#24906 $694.60),(#24922 $131,970.72),(#24925 $4,120.90),(#24927 $124,695.22),(#A 00018 $2,667.60)</t>
  </si>
  <si>
    <t>TIKETS #033544 C al #033561 C</t>
  </si>
  <si>
    <t>TIKETS #033518 C al #033524 C</t>
  </si>
  <si>
    <t>TIKETS #033525 C al #033534 C</t>
  </si>
  <si>
    <t>TIKETS #033535 C al #033543 C</t>
  </si>
  <si>
    <t>sem 24 mayo al 30 MAYO</t>
  </si>
  <si>
    <t>sem 31 mayo al 6 junio</t>
  </si>
  <si>
    <t>sem 7 junio al 13 junio</t>
  </si>
  <si>
    <t>sem 14 junio al 20 junio</t>
  </si>
  <si>
    <t>Sobrante a favor de proledo $9,031.40</t>
  </si>
  <si>
    <t>GASTOS Y PROVEEDORES</t>
  </si>
  <si>
    <t>TIKETS #033602 C al #033609 C</t>
  </si>
  <si>
    <t>TIKETS #033592 Cal #033601 C</t>
  </si>
  <si>
    <t>A14429</t>
  </si>
  <si>
    <t>Aceite direccion hidraulica 4lts x $56.03=$224.14 + IVA</t>
  </si>
  <si>
    <t>TIKETS #033586 C al #033591 C,Remisiones pagadas a Obrador (#24125 $187,530.46),(#A 00036 $88,479.30),(#A00100 $7,415.10),(#A 00117 $216,924.24),(#A 00120 $74,491.90),(#A 00135 $1,360.00),(#A 00209 $145,392.56),(#A 00224 $116,634.56),(#A 00236 $15,291.00),(#A 00312 $138,708.80),(#A 00316 $130,299.10),(#A 00317 $2,523.20),(#A 00332 $720.44),(#A 00429 $200,017.30),(#A 00437 $3,795.00),(#A 00438 $6,498.00),(#A 00448 $23,669.80),(#A 00449 $11,856.00),($A 00459 $151,258.25),(#A 00489 $4,233.10),(#A 00555 $210,441.70),(#A 00556 $121,610.92),(#A 00559 $3,762.00),(#A 00571 $9,326.80),(#A 00616 $71,226.50),(#A 00654 $5,446.00),(#A 00711 $145,896.35),(#A 00718 $80,727.05),(#A 00756 $14,383.40),(#A 00809 $1,725.00),(#A 00818 $147,959.47),(#A 00828 $920.40),(#A 00829 $1,144.80),(#A 00910 $651.20),(#A 00924 $1,192.60)</t>
  </si>
  <si>
    <t>TIKETS #033610 C al #033615 C</t>
  </si>
  <si>
    <t>TIKETS #033616 C al #033623 C</t>
  </si>
  <si>
    <t>Vale Elias y Pepe $6,000.00,En este dia Karen duplico la marralla $29,169.00 diciendo que no conoce el sisitema</t>
  </si>
  <si>
    <t>Sele pago al de transito los $1,200.00 mensuales</t>
  </si>
  <si>
    <t>TIKETS #033624 C al #033632 C</t>
  </si>
  <si>
    <t>Nomina $84,358.28</t>
  </si>
  <si>
    <t>TIKETS #033633 C al #033646 C</t>
  </si>
  <si>
    <t>TIKETS #033647 C al #033654 C</t>
  </si>
  <si>
    <t>Faltante $48.00 en transfer de $45,598.00</t>
  </si>
  <si>
    <t>Depositos $4,824.00</t>
  </si>
  <si>
    <t>Faltante $6,936.00 este deposito esta en el dia 27 Junio con deposito $38,544.00</t>
  </si>
  <si>
    <t>Deposito faltante de $17,662.00 esta convinado en el deposito de $74,379.00 que esta en el dia 9 Julio 2015 y los $102.80 faltantes estan en el  deposito de $986.00 de este dia</t>
  </si>
  <si>
    <t>Faltante $20.00</t>
  </si>
  <si>
    <t>hotel benito fac 48</t>
  </si>
  <si>
    <t>deposito de Valerio $20,815.50 para que lo firme sra NLP</t>
  </si>
  <si>
    <t>Pepe $3,000.00,Pipas de Agua $1,740.00</t>
  </si>
  <si>
    <t>Nomina $82,794.29</t>
  </si>
  <si>
    <t>TIKETS #033679 C al #033683 C</t>
  </si>
  <si>
    <t>PUBLICIDAD CIC 2</t>
  </si>
  <si>
    <t>11 SUR</t>
  </si>
  <si>
    <t>BENITO</t>
  </si>
  <si>
    <t>Estándar</t>
  </si>
  <si>
    <t>KODIAK</t>
  </si>
  <si>
    <t xml:space="preserve">NISSAN </t>
  </si>
  <si>
    <t>P/-SJ-79887</t>
  </si>
  <si>
    <t xml:space="preserve">NISSAN  </t>
  </si>
  <si>
    <t xml:space="preserve"> P/SK-01264</t>
  </si>
  <si>
    <t xml:space="preserve">ISUZU 400 </t>
  </si>
  <si>
    <t xml:space="preserve"> P/-SK-09441</t>
  </si>
  <si>
    <t xml:space="preserve">ISUZU 600 </t>
  </si>
  <si>
    <t xml:space="preserve"> P/-SK-09450</t>
  </si>
  <si>
    <t xml:space="preserve">KENWORTH </t>
  </si>
  <si>
    <t xml:space="preserve">MARCH 1 Blanco </t>
  </si>
  <si>
    <t>P/-TXS 1563</t>
  </si>
  <si>
    <t xml:space="preserve">MARCH 2         Azul </t>
  </si>
  <si>
    <t>VAE 2996</t>
  </si>
  <si>
    <t>SM 39218</t>
  </si>
  <si>
    <t>SM 39219</t>
  </si>
  <si>
    <t>SM 39220</t>
  </si>
  <si>
    <t>SM 39221</t>
  </si>
  <si>
    <t>SM 39222</t>
  </si>
  <si>
    <t>SL-53584</t>
  </si>
  <si>
    <t>P/SL-84490</t>
  </si>
  <si>
    <t>SL-84560</t>
  </si>
  <si>
    <t>P/-SK-92777</t>
  </si>
  <si>
    <t>SL-53363</t>
  </si>
  <si>
    <t>SL-53766</t>
  </si>
  <si>
    <t>SL-53422</t>
  </si>
  <si>
    <t>NP 300 # SERIE 3N6DD25X0FK072130</t>
  </si>
  <si>
    <t>NP 300 #SERIE 3N6DD25X1FK071438</t>
  </si>
  <si>
    <t>NP 300 #SERIE 3N6DD25X3FK071733</t>
  </si>
  <si>
    <t>NP 300 # SERIE 3N6DD25X7FK072075</t>
  </si>
  <si>
    <t>NP 300 # SERIE 3N6DD25X3FK071571</t>
  </si>
  <si>
    <t>Ford F-350 bca 1FDEF3G65FEC06776</t>
  </si>
  <si>
    <t>Ford F-350 1FDEF3G6XFEC48778</t>
  </si>
  <si>
    <t>REGISTRO DE KILOMETRAJE  X SEMANA</t>
  </si>
  <si>
    <t>ALBERTO VENTAS 1</t>
  </si>
  <si>
    <t>TIKETS #033670 C al #033678 C</t>
  </si>
  <si>
    <t>TIKETS #033684 C al #033692 C,#033693 C al #033700 C</t>
  </si>
  <si>
    <t>Elias y Pepe $6,000.00</t>
  </si>
  <si>
    <t>TIKETS #033701 C al #033708 C</t>
  </si>
  <si>
    <t>TIKETS #033720 C al #033728 C</t>
  </si>
  <si>
    <t>TIKETS #033729 C al #033744 c falta el #033742</t>
  </si>
  <si>
    <t>Nomina $81,284.77</t>
  </si>
  <si>
    <t>TIKETS #033742 C,#033745 C al #033764 C</t>
  </si>
  <si>
    <t>sem 21 junio al 27 junio y sem 28 junio al 3 julio</t>
  </si>
  <si>
    <t>sem 4 julio al 10 Julio y sem 11 Julio al 17 Julio</t>
  </si>
  <si>
    <t>Daniel Arenas</t>
  </si>
  <si>
    <t xml:space="preserve">sem 18 Julio al 24 Julio </t>
  </si>
  <si>
    <t>Prestamo Julio $5,000.00,Sobrante a favor Proledo $810.48</t>
  </si>
  <si>
    <t>TIKETS #033709 C al #033719 C, Remisiones pagadas a Obrador (A 01542 $132,770.90),(#A 01546 $244,852.05),(#A 01549 $60,729.50),(#A 01671 $258,907.18),(#A 01673 $96,855.20),(#A 01748 $14,615.00),(#A 01757 $3,580.80),(#A 01779 $23,665.60),(#A 01780 $126,144.80),(#A 01859 $2,484.00),(#A 01862 $17,312.80)</t>
  </si>
  <si>
    <t>TIKETS #033765 C al #033782 C,#033783 C al #033795 C</t>
  </si>
  <si>
    <t>$22,679.05,$27,354.50,$14,953.20</t>
  </si>
  <si>
    <t xml:space="preserve">TIKETS #033796 C al #033800 C </t>
  </si>
  <si>
    <t>Pepe y Elias $6,000.00</t>
  </si>
  <si>
    <t>Pepe $1,164.00</t>
  </si>
  <si>
    <t>TIKETS #033801 C al #033808 C,#033809 C al #033818 C</t>
  </si>
  <si>
    <t>TIKETS #033655 C al #033659 C,Remisiones pagadas a Obrador (#A 00934 $159,578.86),(#A 0935 $7,670.40),(#A 00945 $4,288.00),(# A 00992 $8,191.80),(#A 00996 $9,732.80),(#A 01002 $3,717.00),(#A 01020 $81,088.85),(#01046 $3,068.60),(#A 01057 $21,252.00),(#A 01116 $5,030.00),(#A 01156 $125,230.80)</t>
  </si>
  <si>
    <t>TIKETS #033660 C al #033669 C,Remisiones pagadas a Obrador (#A 01147 $209,117.00),(#A 01152 $158,669.20),(#A 01158 $225,591.89),(#A 01166 $62,015.60),(#A 01207 $610.00),(#A 01208 $403.20),(#A 01269 $64,357.80),(#A 01277 $9,805.80),(#A 01325 $1,397.20),(#A 01341 $26,441.00),(#A 01387 $36,467.40),(#A 01392 $8,000.00),($A 01414 $223,066.00),(#A 01419 $80,934.40),(#A 01422 $93,626.52),(#A 01435 $20,595.00),(#A 01535 $11,620.80),(#A 01536 $4,977.00)</t>
  </si>
  <si>
    <t>Nomina $92,046.45</t>
  </si>
  <si>
    <t>Pepe $2,800.00</t>
  </si>
  <si>
    <t>Angel Gutierrez Ayon</t>
  </si>
  <si>
    <t xml:space="preserve">Abraham </t>
  </si>
  <si>
    <t>Julio</t>
  </si>
  <si>
    <t>Edith Ramirez</t>
  </si>
  <si>
    <t>Cesar Contreras</t>
  </si>
  <si>
    <t>Prestamo a Angel Gutierrez Ayon $2,000.00,Se Aplica sobrante $810.48 del dia 25 Julio a favor de Proledo</t>
  </si>
  <si>
    <t>sem 25 julio al 31 julio</t>
  </si>
  <si>
    <t>TIKETS #033850 C al #033864 C</t>
  </si>
  <si>
    <t>TIKETS #033871 C al #033879 C</t>
  </si>
  <si>
    <t>TIKETS #033880 C al #033887 C</t>
  </si>
  <si>
    <t>TIKETS #033888 C al #033891 C</t>
  </si>
  <si>
    <t>Nomina $97,979.23</t>
  </si>
  <si>
    <t>TIKETS #034001 C al #034009 C</t>
  </si>
  <si>
    <t>TIKETS # 033892 C al #033900 C</t>
  </si>
  <si>
    <t>Luis Araus $3,500.00</t>
  </si>
  <si>
    <t>TIKETS #034010 C al #034020 C</t>
  </si>
  <si>
    <t>TIKETS #034021 C al #034031 C</t>
  </si>
  <si>
    <t>Sobrante $13,694.80 de una nota que pago Lety y estaba cancelada</t>
  </si>
  <si>
    <t>TIKETS # 034032 C al #034043 C</t>
  </si>
  <si>
    <t>Faltante $13,694.80 esta en el dia anterior</t>
  </si>
  <si>
    <t>Adelanto Filemon $3,500.00</t>
  </si>
  <si>
    <t>$12,471.52 SE DEVOLVIO 2 VECES</t>
  </si>
  <si>
    <t xml:space="preserve"> $22,168.4 se devolvio 2 veces</t>
  </si>
  <si>
    <t>Pago seguridad autorizado por Elias $2,950.00</t>
  </si>
  <si>
    <t>Elias $3,000.00</t>
  </si>
  <si>
    <t>Sobrante $16.50 a favor de Elvia</t>
  </si>
  <si>
    <t>Fecha Pago</t>
  </si>
  <si>
    <t>Prestamo a Sra Lupita EZETERA</t>
  </si>
  <si>
    <t xml:space="preserve">Pago EZETERA $11,893.00 SRA Lupita,Sobrante $15.00 reposicion de tarjeton a favor sr Jesus </t>
  </si>
  <si>
    <t>sem 1 Agosto al 7 Agosto</t>
  </si>
  <si>
    <t>TIKETS #034052 C al #034060 C</t>
  </si>
  <si>
    <t>Nomina $93,119.21,Pepe $3,000.00</t>
  </si>
  <si>
    <t>TIKETS #034071 C al #034078 C</t>
  </si>
  <si>
    <t>TIKETS #034061 C al #034070 C</t>
  </si>
  <si>
    <t>TIKETS #034079 C al #034085 C</t>
  </si>
  <si>
    <t>TIKETS #034086 C al #034094 C</t>
  </si>
  <si>
    <t>1 cedazo rentificador $120.00,navaja rectificadora $60.00</t>
  </si>
  <si>
    <t>TIKETS #034106 C al #034116 C</t>
  </si>
  <si>
    <t>Vigilancia $3,950.00</t>
  </si>
  <si>
    <t>sem 8 Agosto al 14 Agosto</t>
  </si>
  <si>
    <t xml:space="preserve">Prestamos </t>
  </si>
  <si>
    <t>Pagos a Arquitecto por remodelacion Central</t>
  </si>
  <si>
    <t>EFECTIVO</t>
  </si>
  <si>
    <t>Salida de dinero</t>
  </si>
  <si>
    <t>Agua Desminiralizada</t>
  </si>
  <si>
    <t>rem 7562</t>
  </si>
  <si>
    <t xml:space="preserve">Se aplica el sobrante de 11 sur $6,901.90 del dia 31 Julio </t>
  </si>
  <si>
    <t>Faltante $56,677.30,($44,219.00,$12,458.30 estos dos depositos estan el dia 23 Junio en la transfer de $102,350.00)</t>
  </si>
  <si>
    <t>depositoS de $125,493.00 de Cristian,de $74,379.00 de Oscar Zoquiapan y de $4,000.00 de Javier Herrera a la sra NLP,Sobrante de $17,662.00 del dia anterior,Dif $40.00 en gastos Mexico sr  Jesus</t>
  </si>
  <si>
    <t>Sobrante $2,501.00 a favor de Albicia en recepcion de producto</t>
  </si>
  <si>
    <t>Se aplica el sobrante $2,501.00 de Albicia del dia 16 Julio</t>
  </si>
  <si>
    <t xml:space="preserve">4 garafones de agua Desminiralizada </t>
  </si>
  <si>
    <t>rem 7585</t>
  </si>
  <si>
    <t>TIKETS #034117 C al #034125 C</t>
  </si>
  <si>
    <t>Nomina $97,945.76</t>
  </si>
  <si>
    <t>TIKETS #034126 C al #034136 C</t>
  </si>
  <si>
    <t>TIKETS #034152 C al #034156 C</t>
  </si>
  <si>
    <t>TIKETS #034157 C al #034168 C</t>
  </si>
  <si>
    <t>TIKETS #034169 C al #034177 C</t>
  </si>
  <si>
    <t>Sobrante $1,385.00 de una nota que no ingreso Norma</t>
  </si>
  <si>
    <t>TIKETS #034179 C al #034187 C</t>
  </si>
  <si>
    <t>Pepe $3,500.00</t>
  </si>
  <si>
    <t>TIKETS $034189 C al #034197 C</t>
  </si>
  <si>
    <t>Nomina $97,735.75</t>
  </si>
  <si>
    <t>Pepe $3,000.00</t>
  </si>
  <si>
    <t>TIKETS #034209 C al #034226 C,TIKETS #034227 C al #034238 C</t>
  </si>
  <si>
    <t>#</t>
  </si>
  <si>
    <r>
      <rPr>
        <b/>
        <u/>
        <sz val="14"/>
        <color theme="5" tint="-0.249977111117893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</si>
  <si>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IMPORTE</t>
  </si>
  <si>
    <t>Fecha de pago</t>
  </si>
  <si>
    <t>IMPORTE D/PAGO</t>
  </si>
  <si>
    <t>SALDO</t>
  </si>
  <si>
    <t>CHOFER</t>
  </si>
  <si>
    <t>COMERCIO</t>
  </si>
  <si>
    <t>CONCHITA</t>
  </si>
  <si>
    <t>S/N</t>
  </si>
  <si>
    <t>RAFAEL PRADO</t>
  </si>
  <si>
    <t>ROBERTO BARRERA</t>
  </si>
  <si>
    <t>,2406</t>
  </si>
  <si>
    <t>VENTA DE MOSTRADOR</t>
  </si>
  <si>
    <t>,2517</t>
  </si>
  <si>
    <t>11 sur las pago el 27/08/15</t>
  </si>
  <si>
    <t>,2611</t>
  </si>
  <si>
    <t>,2718</t>
  </si>
  <si>
    <t>ANGEL FLORES</t>
  </si>
  <si>
    <t>,2858</t>
  </si>
  <si>
    <t>,2892</t>
  </si>
  <si>
    <t>,2927</t>
  </si>
  <si>
    <t>,2928</t>
  </si>
  <si>
    <t>REMISIONES DE AGOSTO  2 0 1 5</t>
  </si>
  <si>
    <t>Prestamo Daniel Arenas $1,000.00</t>
  </si>
  <si>
    <t>Prestamo Abraham $3,500.00</t>
  </si>
  <si>
    <t>Sobrante 11 sur $6,901.90</t>
  </si>
  <si>
    <t xml:space="preserve">              </t>
  </si>
  <si>
    <t>Anticipo trabajo carpinteria $250.00 sra angeles dijo que solo con el vale</t>
  </si>
  <si>
    <t>Sobrantes proledo $49,863.08 del dia 9 Mayo 2015,$833,090.87  del dia 31 Diciembre 2014</t>
  </si>
  <si>
    <t>Trabajo herreria Tonatihu $3,500.00,Pago a A.C.X $3,000.00</t>
  </si>
  <si>
    <t>TIKETS #033819 C al #033834 C, Remisiones pagadas a Obrador (#23085 $65,285.50),(#A 01890 $45,179.92),(#A 01908 $258,397.70),(#A 01930 $155,648.49),(#A 01992 $44,306.70),(#A 02039 $166,349.25),(#A 02051 $72,224.40),(#A 02052 $8,762.40),(#A 02060 $2,490.80),(#A 02113 $196,770.33),(#A 02187 $207,572.82),(#A 02189 $107,072.80),(#A 02199 $753.00),(#A 02215 $42,859.00),(#A 02224 $29,750.40),(#A 02252 $5,556.40),(#A 02283 $30,802.35),(#A 02292 $30,621.90),(#A 02312 $50,617.25),(#A 02320 $46,709.62),(#A 02328 $46,844.10),(#A 02386 $95,870.81),(#A 02434 $313,068.63),(#A 02435 $26,709.40),(#A 02463 $12,028.80)</t>
  </si>
  <si>
    <t xml:space="preserve">CENTRAL </t>
  </si>
  <si>
    <t>Pepe y Elias</t>
  </si>
  <si>
    <t xml:space="preserve">Pepe   </t>
  </si>
  <si>
    <t>Pepe</t>
  </si>
  <si>
    <t>Elias</t>
  </si>
  <si>
    <t>Elias $2,500.00</t>
  </si>
  <si>
    <t>TIKETS #034247 C al #034256 C</t>
  </si>
  <si>
    <t>TIKETS #034257 C al #034261 C</t>
  </si>
  <si>
    <t>TIKETS #034239 C al #034246 C,Remisiones pagadas a Obrador (#A 06846 $7,823.20),(#A 06885 $1,060.80),(#A 06893 $537.00),(#A 06902 $262,624.40),(#A 06903 $25,511.40),(#A 06908 $1,183.00),(#A 06913 $15,777.30),(#A 06928 $4,669.90),(#A 06938 $1,306.60),(#A 07006 $316,779.70),(#A 07092 $7,245.00),(#A 07096 $1,984.40),(#A 07129 $256,655.20),(#A 07214 $3,794.50),(#A 07238 $6,269.20),(#A 07254 $55,113.15),(#A 07257 $6,553.00),(#A 07258 $11,367.40)</t>
  </si>
  <si>
    <t>27 y 28-ago-15</t>
  </si>
  <si>
    <t>Ganchos Tonatihu $2,700.00</t>
  </si>
  <si>
    <t>sem 15 Agosto al 21 Agosto</t>
  </si>
  <si>
    <t>sem 22 Agosto al 29 Agosto</t>
  </si>
  <si>
    <t>Gustavo Fernandez $104,000.00</t>
  </si>
  <si>
    <t xml:space="preserve">Faltante de $33,760.00 esta en el dia 26 Agosto en deposito de Cristian-Graciela </t>
  </si>
  <si>
    <t>Nomina $97,454.27</t>
  </si>
  <si>
    <t>TIKETS #034271 C al #034276 C</t>
  </si>
  <si>
    <t>TIKETS #034262 al #034270 C,Remisiones pagadas a Obrador (#A 07260 $234,894.90),(#A 07294 $59,852.40),(#A 07302 $10,930.70),(#A 07335 $4,901.60),(#A 07368 $352.00),(#A 07378 $290,292.35),(#A 07387 $152,064.05),(#A 07466 $101,130.70),(#A 07494 $54,169.50),(#A 07496 $10,260.20),(#A 07567 $2,016.00),(#A 07601 $19,979.70),(#A 07602 $128,069.15),(#A 07694 $17,651.40),(#A 07706 $26,591.00),(#A 07719 $1,751.40),(#A 07720 $203.00),(#A 07723 $42,653.00),(#A 07728 $168,176.12),(#A 07744 $45,470.70),(#A 07748 $4,510.00),(#A 07828 $35,262.10),(#A 07834 $4,000.00),(#A 07897 $42,345.60),(#A 07919 $6,369.90),(#A 07936 $228,003.00),(#A 07937 $37,437.70),(#A 07939 $301.50),(#A 07940 $1,918.40)</t>
  </si>
  <si>
    <t>TIKETS #034277 C,#034279 C al #034282 C</t>
  </si>
  <si>
    <t xml:space="preserve">Faltante $1,391.60 es de la nota que no habia ingresado Norma porque la habian cancelado por error se paga con el sobrante del dia 4 Agosto </t>
  </si>
  <si>
    <t>4 focos 36V 54365136 $130.00,2 focos 36 V 54360-6936 $120.00</t>
  </si>
  <si>
    <t xml:space="preserve">Rem #7575                                   </t>
  </si>
  <si>
    <t>Sobrante Ricardo Deleita $4,811.43,pago a central nota #0830 de Ricardo Medina $5,348.00 este pago esta en transfer de $25,692.90 de Deleita</t>
  </si>
  <si>
    <t>Sobrante de $56,677.30 son del dia 22 Junio</t>
  </si>
  <si>
    <t>Deposito $86,550.01 ROBO Checar con sra anita</t>
  </si>
  <si>
    <t>Deposito $35,700.00 ROBO Checar con sra Anita,Pago de derechos$95.00 fac #3451105,Hay una dif de $40.00 se le pago mas adelante</t>
  </si>
  <si>
    <t>Sobrante $51,760 a favor Cristian-Graciela,Se aplica el dia de hoy el sobrante de $38,724.88 de Proledo del dia 20 Agosto</t>
  </si>
  <si>
    <t>Sobrante de $200.00 pesos a favor de sr Jesus en gasto Certificado zoo,hay $100.00 de mas en tiket de pescado que no se aplico,Sobrante a favor de Proledo $38,725.49</t>
  </si>
  <si>
    <t>pago de derechos #6267383,A/C Kenworth $8,500.00 a Filemon Mecanico</t>
  </si>
  <si>
    <t>Sobrante de $19,998.90 a favor de Proledo</t>
  </si>
  <si>
    <t xml:space="preserve"> Sobrante $243.20 correspondiente al dia 31 agosto,Faltante de $19,998.90 se cubre con el sobrante de Proledo del dia 1 Septiembre </t>
  </si>
  <si>
    <t>TIKETS #034278 C,#034283 C al #034290 C</t>
  </si>
  <si>
    <t>TIKETS #034291 C al #034295 C</t>
  </si>
  <si>
    <t>TIKETS #033835 C al #033849 C,Remisiones pagadas a Obrador (#A02530 $204,460.39),(#A02533 $118,437.60),(#A02554 $72,083.40),(#A02574 $2,815.20),(#A02670 $134,791.75),(#A02672 $130,271.70),(#A02685 $21,168.00),(#A02721 $115,648.30),(#A02728 $86,851.20),(#A02785 $110,248.65),(#A02844 $31,925.35),(#A02853 $57,927.60),(#A02862 $126,602.75),(#A02965 $39,163.50),(#A02974 $47,368.90),(#A02978 $35,821.52),(#A02979 $64,217.80),(#A03019 $4,748.80),(#A03050 $572.70),(#A03078 $9,651.60),(#A03088 $50,886.40),(#A03093 $142,058.13),(#A03165 $3,348.80),(#A03195 $188,088.63),(#A03220 $147,246.44),(#A03219 $48,743.40),(#A03244 $159.00),(#A03256 $670.80),(#A03277 $2,447.30),(#A03296 $2,581.80)</t>
  </si>
  <si>
    <t>TIKETS #033865 C al #033870 C,Remisiones pagadas a Obrador (#A03308 $176,438.57),(#A03311 $51,341.20),(#A03332 $43,338.32),(#A03337 $67,336.95),(#A03344 $30,802.80),(#A03470 $180,922.07),(#A03479 $127,823.40),(#A03494 $39,965.00),(#A03520 $61,493.30),(#A03523 $1,915.20),(#A03576 $15,116.60),(#A03577 $175,039.80),(#A03587 $214,450.27),(#A03651 $133,461.40),(#A03725 $1,255.90),(#A03746 $96,983.30),(#A03764 $47,524.94),(#A03782 $30,470.80),(#A03784 $1,992.80),(#A03829 $588.60),(#A03850 $42,627.48),(#A03853 $153,091.96),(#A03891 $74,907.90),(#A03956 $73,492.40),(#A03979 $78,093.70),(#A03981 $55,926.50),(#A04064 $218,239.32)</t>
  </si>
  <si>
    <t>TIKETS #034044 C al #034051 C,Remisiones pagadas a Obrador (#A04683 $86,252.60),(#A04790 $247,381.80),(#A04791 $1,852.50)(#A04808 $72,241.20),(#A04834 $699.20),(#A04973 $15,300.80),(#A05009 $2,092.20),(#A04070 4237,626.75),(#A04091 $10,902.60),(#A04126 $8,274.50),($A04197 $127,350.00),(#A04198 $86,807.60),(#A04206 $14,672.00),(#A04236 $21,470.40),(#A04269 $3,845.80),(#A04283 $61,174.30),(#A04284 $3,657.10),(#A04288 $269,421.60),(#A04319 $64,469.40),(#A04345 $1,469.20),(#A04350 $1,372.80),(#A04392 $208,185.62),(#A04393 $209,449.31),(#A04402 $57,129.60),(#A04454 $30,755.50),(#A04522 $109,442.30),(#A04584 $166,017.58),(#A04588 478,617.60),(#A04680 $268,998.28)</t>
  </si>
  <si>
    <t>TIKETS #034095 C al #034105 C,Remisiones pagadas a Obrador (#A04937 $207,544.40),(#A04945 $52,789.74),(#A04946 $25,980.40),(#A05052 $175,008.22),(#A05063 $47,759.80),(#A05078 $23,537.60),(#A05125 $1,673.00),(#A05127 $1,821.60),(#A05131 $204.00),(#A05133 $1,930.00)(,#A05137 $46,289.20),(#A05141 $276,995.06),(#A05248 $218,058.10),(#A05267 $49,378.80),(#A05350 $58,991.40),(#A05351 $19,567.60),(#A05352 $223,688.10),(#A05395 $1,344.00),(#A05444 $18,843.30),(#A05453 $118,252.40),(#A05534 $18,459.00),(#A05622 $150.80),($A05684 $369,919.18),(#A05692 $27,880.40),(#A05720 $56,070.40),(#A05736 $14,214.20),(#A05742 $4,208.00),(#A05743 $1,389.50),(#A05792 $2,674.00)</t>
  </si>
  <si>
    <t>TIKETS #034178 C Y #034188 C,Remisiones pagadas a Obrador (#A05575 $39,554.40),(#A05576 $227,383.47),(#A05577 $16,961.00),(#A05808 $282,744.80),(#A05832 $67,241.60),(#A05897 $36,200.20),(#A05917 $114,174.50),(#A06028 $102,321.70),(#A06037 $8,771.00),(#A06048 $230,549.18),(#A06061 $7,524.00),(#A06111 $2,681.00),(#A06127 $41,408.80),(#A06128 $30,864.20),(#A06135 $4,520.00),(#A06170 $16,119.40),(#A06199 $78,797.60),(#A06229 $653.28),(#A06241 $224,088.35),(#A06243 $22,273.00),(#A06265 $42,237.50),(#A06269 $14,436.70),(#A06325 $2,204.00),(#A06364 $277,069.10),(#A06365 $49,412.80),(#A06368 $70,080.00),(#A06422 $13,450.40)</t>
  </si>
  <si>
    <t>TIKETS #034198 C al #034208 C,Remisiones pagadas a Obrador (#A06438 $194,497.92),(#A06499 $1,218.80),(#A06505 $761.20),(#A06529 $13,060.12),(#A06598 $4,161.32),(#A06604 $40,757.80),(#A06605 $279.00),(#A06608 $8,995.50),(#A06609 $11,611.35),(#A06620 $315,128.20),(#A06625 $3,870.00),(#A06629 $99,938.00),(#A06639 $5,481.00),(#A06689 $892.80),(#A06722 $45,240.50),(#A06761 $13,062.90),(#A06797 $59,878.40)</t>
  </si>
  <si>
    <t>sem 30 Agosto al 5 Septiembre</t>
  </si>
  <si>
    <t>Rueda de Nylamid para patin hidraulico trasera de 3"x 2 3/4" con baleros 6204 cap de carga 400 kgs 11pzas x $146.55=$1,612.05,Rueda de Nylamid para patin hidraulico trasera de 3"x 2 3/4" con baleros 6204 cap. De carga 400 kgs 5pzas x 146.55=$732.75,Rueda de Nylamid para patin hidraulico delantera de 7"x 2" con baleros 6204 cap. de carga 650 kgs 2pzas x $392.24=$784.48 + IVA</t>
  </si>
  <si>
    <t># 25026                                #25043</t>
  </si>
  <si>
    <t>Gastos de viajes a Tehuacan Isuzu 600</t>
  </si>
  <si>
    <t>Fecha</t>
  </si>
  <si>
    <t>Litros</t>
  </si>
  <si>
    <t>Casetas</t>
  </si>
  <si>
    <t>Tiempo</t>
  </si>
  <si>
    <t>$$$ Gasolina</t>
  </si>
  <si>
    <t>11:55 a 23:00</t>
  </si>
  <si>
    <t>11:32 a 22:30</t>
  </si>
  <si>
    <t>10:38 a 22:50</t>
  </si>
  <si>
    <t>12:33 a 00:15</t>
  </si>
  <si>
    <t>11:16 a 22:00</t>
  </si>
  <si>
    <t>12:16 a 00:15</t>
  </si>
  <si>
    <t>12:56 a 24:00</t>
  </si>
  <si>
    <t>11:36 a 23:15</t>
  </si>
  <si>
    <t>12:35 a 23:50</t>
  </si>
  <si>
    <t>Gastos viajes Tehuacan Isuzu 600 y Nissan Cristobal</t>
  </si>
  <si>
    <t>12:40 a 20:50</t>
  </si>
  <si>
    <t>11:54 a 21:28.35</t>
  </si>
  <si>
    <t>El 4 Agosto volvio a cargar 86.90 L $1,233.98</t>
  </si>
  <si>
    <t>Cargo los 2 dias anteriores 12 Ago. 90.16 L$1280.27 y el 13 Ago. 70.43 L $1000.11</t>
  </si>
  <si>
    <t>La Carga la hizo el martes 18 Agosto</t>
  </si>
  <si>
    <t>La Carga la hizo desde el dia 8 Agosto</t>
  </si>
  <si>
    <t>La Carga la hizo el Jueves 20 Agosto</t>
  </si>
  <si>
    <t>La Carga la hizo el martes 25 Agosto</t>
  </si>
  <si>
    <t>La Carga la hizo el Jueves 27 Agosto</t>
  </si>
  <si>
    <t>La Carga la hizo en la harinera</t>
  </si>
  <si>
    <t>La Nissan cargo gas 3 y 5 sep 9.75 L $132.31</t>
  </si>
  <si>
    <t>La Ford cargo gas el 4 y 5 sep 67.18 L $911.63</t>
  </si>
  <si>
    <t>Depositos $58,000.00,$15,000.00,$35,000.00,$45,000.00 fichas robadas</t>
  </si>
  <si>
    <t>Depositos $26,800.00 ficha robada</t>
  </si>
  <si>
    <t>Depositos $62,500.00,$3,861.00 fichas robadas</t>
  </si>
  <si>
    <t>Depositos $22,500.00,$38,000.00,$75,696.00,$12,357.00 fichas robadas</t>
  </si>
  <si>
    <t>Depositos $45,000.00,$40,000.00,$55,000.00 fichas robadas,Sobrante de $6,936.00 del dia 21 junio</t>
  </si>
  <si>
    <t>Sobrante $48.00 del dia 4 de Julio,Faltante $30,555.00</t>
  </si>
  <si>
    <t>Pagos a rem Obrador</t>
  </si>
  <si>
    <t>Sobrante $92,398.00 del dia 1 Agosto</t>
  </si>
  <si>
    <t>Faltante $92,398.50</t>
  </si>
  <si>
    <t>Remisiones pagadas a Obrador (#A06552 $293,968.00),(#A06909 $38,108.00),(#A06930 $14,144.00),(#A07019 $25,258.00),(#A07199 $16,610),(#A07249 $70,625.60),(#A07281 $29,530.70),(#A07370 $120,834.50),(#A07479 $10,081.50),(#A07499 $59,670.20),(#A07542 $4,609.60),(#A07612 $29,480.00),(#A07636 $28,977.00)</t>
  </si>
  <si>
    <t>Faltante $474.00 pagado el 7 Septiembre</t>
  </si>
  <si>
    <t>Faltante de $20.00 pesos en nota de venta #189199 pagada el 17 Agosto</t>
  </si>
  <si>
    <t>TIKETS #034296 C al #034300 C</t>
  </si>
  <si>
    <t>12:05 a 21:30</t>
  </si>
  <si>
    <t>ISUZU</t>
  </si>
  <si>
    <t>NISSAN</t>
  </si>
  <si>
    <t>FORD ALMACEN</t>
  </si>
  <si>
    <t>TIKETS #034301 C al #034305 C</t>
  </si>
  <si>
    <t>TIKETS #034306 C al #034316 C,Remisiones pagadas a Obrador (#A06654 476,478.85),(#A06954 $44,721.90),(#A07963 $37,484.60),(#A07965 $20,390.70),(#A08040 $4,059.20),(#A08075 $2,769.60),(#A08084 $20,252.80),(#A08085 $271,352.64),(#A08086 $113,000.30),(#A08092 $765.50),(#A08097 $816.60),(#A08122 $400.00),(#A08188 $3,461.20),(#A08193 $825.00),(#A08206 $310,866.00),(#A08207 $60,249.20),(#A08208 $13,623.60),(#A08214 $144,049.00),(#A08220 $9,158.00),(#A08282 $63,061.40),(#A08401 $16,562.20),(#A08433 $52,418.40),(#A08512 $15,687.60),(#A08514 $268,489.60),(#A08515 $12,148.20),(#A08516 $34,874.40)</t>
  </si>
  <si>
    <t>Cargo el dia 8 Septiembre</t>
  </si>
  <si>
    <t>Cargo el dia 10 Septiembre</t>
  </si>
  <si>
    <t>Ayudante</t>
  </si>
  <si>
    <t>Muebles &amp; Arquitecture $82,224.00</t>
  </si>
  <si>
    <t>Muebles &amp; Arquitecture $30,000.00</t>
  </si>
  <si>
    <t>10:39 a 19:00</t>
  </si>
  <si>
    <t>Muebles &amp;Arquitecture $5,000.00</t>
  </si>
  <si>
    <t>sem 6 Septiembre al 12 Septiembre</t>
  </si>
  <si>
    <t>Anticipo a Archivaldo $4,000.00 trabajos detallados en Obrador</t>
  </si>
  <si>
    <t>Nomina $97,805.43</t>
  </si>
  <si>
    <t>TIKETS #034317 C al #034324 C</t>
  </si>
  <si>
    <t>11:32 a 21:00</t>
  </si>
  <si>
    <t>A 25172</t>
  </si>
  <si>
    <t>Rueda de Nylamid para patin hidraulico delantera de 7" x 2" con baleros 6204 cap. De carga 650 kgs $392.24 + IVA</t>
  </si>
  <si>
    <t>15:42 a 21:00</t>
  </si>
  <si>
    <t>Pago A/C $250,000.00 Arq. Carlos Castro mes sep  obras central</t>
  </si>
  <si>
    <t>13.18 a 22:50</t>
  </si>
  <si>
    <t>TIKETS #034325 C al #034336 C</t>
  </si>
  <si>
    <t>TIKETS #034337 C al #034342 C</t>
  </si>
  <si>
    <t>TIKETS #034343 C al #034362 C</t>
  </si>
  <si>
    <t>A/C Archivaldo x plancha Obrador</t>
  </si>
  <si>
    <t>Sobrante $235.00 cubre el faltante del dia 23 Junio</t>
  </si>
  <si>
    <t>sobrante $16.00</t>
  </si>
  <si>
    <t>Sobrante a $2,850.00 falta aclarar con Elias</t>
  </si>
  <si>
    <t>VENTA GENERAL DEL MES NOVIEMBRE  2015</t>
  </si>
  <si>
    <t>VENTA GENERAL DEL MES DICIEMBRE  2015</t>
  </si>
  <si>
    <t>Pago de nota #1676 de obrador $199.20 que perdio Norma flores</t>
  </si>
  <si>
    <t>13:48 a 20:55</t>
  </si>
  <si>
    <t>sem 13 septiembre al 19 septiembre</t>
  </si>
  <si>
    <t>TIKETS #034363 C al #034373 C</t>
  </si>
  <si>
    <t>TIKETS #034374 C al #034379 C,Remisiones pagadas a Obrador (#A 08232 $840.00),(#A 08584 $6,659.60),(#A 08624 $167,378.36),(#A 08632 $118,668.48),(#A 08633 $1,051.00),(#A 08664 $5,955.20),(#A08723 $372.00),(#A08724 $445.00),(#A 08738 $182,793.46),(#A 08747 $8,740.60),(#A 08749 $103,217.50),(#A 08858 $21,888.76),(#A 08869 $1,130.40),(#A 08885 $64,178.50)</t>
  </si>
  <si>
    <t>Nomina $125,406.55</t>
  </si>
  <si>
    <t>TIKETS #034380 C al #034387 C</t>
  </si>
  <si>
    <t>TIKETS #034388 C al #034392 C</t>
  </si>
  <si>
    <t>Faltante $243.20</t>
  </si>
  <si>
    <t>Remisiones pagadas a Obrador(#A 06766 $81,274.66),(#A 06961 $4,679.40),(#A 07018 $12,313.00),(#A 07048 $94,413.92),(#A 07233 $31,110.00)</t>
  </si>
  <si>
    <t>Falta pago de 2 remisiones que tiene Elias</t>
  </si>
  <si>
    <t>Faltante $12,000.00 que debe Elias</t>
  </si>
  <si>
    <t>TIKETS #034393 C al #034396 C,Remisiones pagadas a Obrador (#A 08905 $48,156.25),(#A 08906 $303,364.05),(#A 08940 $48,918.05),(#A 08994 $8,602.80),(#A 09001 $3,000.40),(#A 0909 $4,620.00),(#A 09026 $3,840.00),(#A 09032 $223,003.70),(#A 09033 $84,150.75)</t>
  </si>
  <si>
    <t>11:00 a 16:30</t>
  </si>
  <si>
    <t>BENITO-NISSAN</t>
  </si>
  <si>
    <t>11:25 a 17:15</t>
  </si>
  <si>
    <t>12:44 a 19:15</t>
  </si>
  <si>
    <t>13:53 a 19:00</t>
  </si>
  <si>
    <t>10:58 a 19:00</t>
  </si>
  <si>
    <t>12:43 a 23:15</t>
  </si>
  <si>
    <t>TIKETS #034397 C al #034400 C,Remisiones pagadas a Obrador(#A 09038 $53,280.06),(#A 09045 $20,776.20),(#A 09082 $1,200.00),(#A 09128 $184,803.42),(#A 09140 $26,145.32),(#A 09160 $4,635.00),(#A 09207 $7,011.00),(#A 09222 $89,600.00),(#A 09267 $37,046.40),(#A 09287 $39,851.30),(#A 09294 $224,364.39),(#A 09295 $22,483.68),(#A 09296 $98,402.00),(#A 09400 $225,290.06),(#A 09408 $7,266.20),(#A 09416 $59,653.80),(#A 09451 $17,590.40),(#A 09456 $63,092.00)</t>
  </si>
  <si>
    <t>Remisiones pagadas a Obrador (#A 09565 $146,267.60),(#A 09586 $167,005.98),(#A 09674 $50,093.20),(#A 09689 $6,583.20),(#A 09690 $8,100.00),(#A 09706 $11,466.80),(#A 09718 $265,591.45),(#A 09734 $30,164.80),(#A 09825 $246,687.40),(#A 09826 $5,514.60),(#A 09930 $144,078.55),(#A 09931 $2,053.80),(#A 09960 $53,618.00),(#A 010009 $17,276.00)</t>
  </si>
  <si>
    <t>TIKETS #034401 C al #034407 C,Remisiones pagadas a Obrador(#A 10042 $11,764.60),(#A 10058 $64,545.40),(#A 10090 $58,318.80),(#A 10136 $18,306.00),(#A 10155 $1,917.60),(#A 10162 $142,402.16)</t>
  </si>
  <si>
    <t>Faltante $12.00</t>
  </si>
  <si>
    <t>Saldo trabajos Obrador $8,612.00 Archibaldo ,Trabajo Tonatiuh $6,000.00</t>
  </si>
  <si>
    <t>CIC-6 ANGEL</t>
  </si>
  <si>
    <t>CIC-4 COMODIN</t>
  </si>
  <si>
    <t>VENTAS 2 NESTOR</t>
  </si>
  <si>
    <t>CIC 7 ALMACEN</t>
  </si>
  <si>
    <t>DANIEL</t>
  </si>
  <si>
    <t>PACO</t>
  </si>
  <si>
    <t>MANUEL</t>
  </si>
  <si>
    <t>ROBERTO</t>
  </si>
  <si>
    <t>PABLO</t>
  </si>
  <si>
    <t>CRISTOBAL</t>
  </si>
  <si>
    <t>GONZALO</t>
  </si>
  <si>
    <t>SM 46572</t>
  </si>
  <si>
    <t>SM 46586</t>
  </si>
  <si>
    <t>FELIX</t>
  </si>
  <si>
    <t>JOSE LUIS</t>
  </si>
  <si>
    <t>ALMACEN</t>
  </si>
  <si>
    <t>Nomina $93,666.16</t>
  </si>
  <si>
    <t>TIKETS #034417 C al #034421 C</t>
  </si>
  <si>
    <t>TIKETS #034422 C al #034428 C</t>
  </si>
  <si>
    <t>Remisiones pagadas a Obrador (#A 10532 $25,667.60),(#A 10549 $40,882.70),(#A 10656 $26,111.60),(#A 10742 $26,978.70)</t>
  </si>
  <si>
    <t>Remisiones pagadas a Obrador (#A 09453 $268,755.20),(#A 09559 $177,099.92),(#A 09728 $30,074.60)</t>
  </si>
  <si>
    <t>Remisiones pagadas a Obrador (#A 09846 $219,651.08),(#A 09883 $5,755.30),(#A 09942 $15,742.00),(#A 09972 $6,065.10)</t>
  </si>
  <si>
    <t>Faltante $31.50 en transfer Lucero</t>
  </si>
  <si>
    <t>Remisiones pagadas a Obrador (#A 10072 $27,593.10),(#A 10407 $24,766.50),(#A 10519 $154,754.43),(#A 10525 $3,374.00)</t>
  </si>
  <si>
    <t>Remision pagada a Obrador (#A 10756 $13,996.50)</t>
  </si>
  <si>
    <t>TIKETS #034408 C al #034416 C,Remisiones pagadas a Obrador(#A 10034 $3,981.60),(#A 10164 $159,382.28),(#A 10198 $59,760.40),(#A 10203 $2,506.00),(#A 10266 $110,554.79),(#A 10270 $26,963.50),(#A 10297 $14,171.60),(#A 10415 $126,244.25),(#A 10450 $7,372.80),(#A 10497 $1,136.20),(#A 10523 $175,560.20),(#A 10524 $8,093.90)</t>
  </si>
  <si>
    <t>11:11 a 21:10</t>
  </si>
  <si>
    <t>sem 20 septiembre al 26 septiembre</t>
  </si>
  <si>
    <t>Faltante de $10.00 se pagan con sobrante del dia 10 Jul</t>
  </si>
  <si>
    <t>Pago Daniel $500.00 se lo entregue a la sra NLP</t>
  </si>
  <si>
    <t>Sobrante a favor de Proledo $4,800.00</t>
  </si>
  <si>
    <t>Sobrante $3,998.40 de una nota de Manuel</t>
  </si>
  <si>
    <t>Sobrante $76,736.50 Faltante $3,998.40 esta en el dia 19 Septiembre</t>
  </si>
  <si>
    <t xml:space="preserve">Sobrante Lety de $200.00-$190.00=$10.00 sobrantes en transfer de $92,200.00 #00813156 </t>
  </si>
  <si>
    <t>15:25 a 17:15</t>
  </si>
  <si>
    <t>Fue Gonzalo</t>
  </si>
  <si>
    <t xml:space="preserve"> 6 Pipas de agua $1,740.00</t>
  </si>
  <si>
    <t>TIKETS #034429 C al #034435 C,Remisiones pagadas aObrador (#A 10383 $168,895.45),(#A 10384 $2,562.80),(#A 10538 $259,046.60),(#A 10539 $337.50),(#A 10665 $267,945.79),(#A 10738 $45,145.30)</t>
  </si>
  <si>
    <t>TIKETS #034436 C al #034441 C,Remisiones pagadas a Obrador(#A 10643 $168,842.56),(#A 10772 $1,263.60),(#A 10879 $96,734.20),(#A 10880 $652.80),(#A 10881 $319.50),(#A 10918 $26,743.50),(#A 11065 $240,420.00)</t>
  </si>
  <si>
    <t>Nomina $88,924.11</t>
  </si>
  <si>
    <t>TIKETS #034446 C al #034458 C</t>
  </si>
  <si>
    <t>TIKETS #034442 C al #034445 C,Remisiones pagadas a Obrador(#A 11082 $111,602.50),(#A 11061 $38,058.60),(#A 11062 $1,879.60),(#A 11069 $12,857.60),(#A 11159 $66,104.40),(#A 11178 $146,972.40),(#A 11180 $25,724.30),(#A 11181 $37,348.00)</t>
  </si>
  <si>
    <t>Se quedo en Hotel este dia</t>
  </si>
  <si>
    <t>16:26 a 12:10</t>
  </si>
  <si>
    <t xml:space="preserve">ISUZU </t>
  </si>
  <si>
    <t>NISSAN ANGEL</t>
  </si>
  <si>
    <t>sem 27 septiembre al 3 octubre</t>
  </si>
  <si>
    <t>Los $18,000.00 faltantes estan en el deposito del dia 26 agosto de $145,350.00 cristian-graciela</t>
  </si>
  <si>
    <t>NISSAN-BENITO</t>
  </si>
  <si>
    <t>13:28 a 19:30</t>
  </si>
  <si>
    <t>NISSAN-ANGEL</t>
  </si>
  <si>
    <t>12:45 a 17:20</t>
  </si>
  <si>
    <t>13:31 a 19:40</t>
  </si>
  <si>
    <t>Verificacion y multa $1,779.00 checar porque esta en dos dias,GASTO DE GASOLINA DUPLICADO $100.00 y Faltante $90.00 se pagan con el sobrante del dia 19 agosto,Faltante $76,736.50 esta en el dia anterior</t>
  </si>
  <si>
    <t>13:46 a 23:00</t>
  </si>
  <si>
    <t>Se fueron Sr. Francisco,Benito y Moy</t>
  </si>
  <si>
    <t>Verificacion MULTA BMW $1,779.00</t>
  </si>
  <si>
    <t>faltante $10.00 se paga con sobrante del 19 Agosto</t>
  </si>
  <si>
    <t>13:30 a 17:15</t>
  </si>
  <si>
    <t>15:23 a 20:00</t>
  </si>
  <si>
    <t>10:51 a 21:00</t>
  </si>
  <si>
    <t>Anticipo Archivaldo ampliacion Obrador $50,000.00</t>
  </si>
  <si>
    <t>Faltante de $50.00 en transfer de $149,450.00 se cubre con sobrante del dia 10 de Julio</t>
  </si>
  <si>
    <t>05 y 6 Oct 15</t>
  </si>
  <si>
    <t>TIKETS #034459 C al #034463 C,Remisiones pagadas a Obrador(10971 A $177,341.66),(#A 10973 $10,158.80),(#A 10993 $19,923.80),(#A 11055 $42,350.00),(#A 11214 $48,679.20),(#A 11301 $1,928.40),(#A 11310 $4,496.80)</t>
  </si>
  <si>
    <t>TIKETS #034464 C al #034466 C,Remisiones pagadas a Obrador(#A 11346 $282,960.98),(#A 11347 $10,586.60),(#A 11354 $44,342.50),(#A 11444 $45,155.45),(#A 11446 $40,861.20),(#A 11447 $23,851.60),(#A 11467 $1,245.80)</t>
  </si>
  <si>
    <t>Remisiones pagadas a Obrador (#A 11468 $289,769.09),(#A 11545 $102,107.31),(#A 11546 $12,582.70)</t>
  </si>
  <si>
    <t>$55,000.00 Le fueron entregados a sra Lupita firmo vale</t>
  </si>
  <si>
    <t>11:56 a 22:40</t>
  </si>
  <si>
    <t>Faltante $7.00,Deposito $16,300 se los llevo Elias</t>
  </si>
  <si>
    <t>Faltante $9,285.00 los debe Elias</t>
  </si>
  <si>
    <t>Sobrante $20.00 cubre el faltante del dia 12 sep</t>
  </si>
  <si>
    <t>TIKETS #034467 C al #034475 C,Remisiones pagadas a Obrador (#A 11581 $65,120.40),(#A 11618 $606.60),(#A 11654 $96,853.00),(#A 11655 $7,588.00),(#A 11696 $3,297.60),(#A 11711 $61,272.22),(#A 11729 $63,254.40),(#A 11758 $1,886.00),(#A 11772 $35,307.70),(#A 11773 $61,960.50),(#A 11783 $16,047.00),(#A 11793 $236,170.91),(#A 11796 $5,010.20)</t>
  </si>
  <si>
    <t>Nomina $94,724.24</t>
  </si>
  <si>
    <t>TIKETS #034476 C al #034478 C</t>
  </si>
  <si>
    <t>TIKETS #034479 C al #034481 C</t>
  </si>
  <si>
    <t>12:07 a 22:30</t>
  </si>
  <si>
    <t>12:39 a 21:10</t>
  </si>
  <si>
    <t>11:24 a 20:20</t>
  </si>
  <si>
    <t>TIKETS #034482 C al #134486 C</t>
  </si>
  <si>
    <t>sem 4 octubre al 10 octubre</t>
  </si>
  <si>
    <t>15:29 a 19:00</t>
  </si>
  <si>
    <t>10:15 a 19:10</t>
  </si>
  <si>
    <t>12:12 a 22:10</t>
  </si>
  <si>
    <t>Pago mensualidad A/C de trabajos remodelacion Central mes Octubre Arq. Carlos Castro $250,000.00</t>
  </si>
  <si>
    <t>Remisions pagadas a Obrador(#A 11880 $27627.55),(#A 11885 $291,026.83),(#A 12014 $201,894.90),(#A 12028 $14,821.20),(#A 12126 $135,778.32),(#A 12129 $78,253.00),(#A 12130 $2,100.00),(#A 12142 $134,474.40),(#A 12216 $6,805.00),(#A 12233 $4,721.00)</t>
  </si>
  <si>
    <t>Remisiones pagadas a Obrador (#A 12236 $37,278.60),(#A 12250 $128,544.00),(#A 12268 $115,888.56),(#A 12342 $33,924.90),(#A 12367 $60,685.50),(#A 12407 $271,942.00),(#A 12443 $6,124.50),(#A 12512 $46,695.75),(#A 12560 $3,096.00),(#A 12578 $1,062.36),(#A 12590 $38,589.60),(#A 12604 $128,856.42),(#A 12624 $4,850.80)</t>
  </si>
  <si>
    <t>Sobrante Central $328,944.90</t>
  </si>
  <si>
    <t xml:space="preserve">Deposito de $223,000.00 ya se aplico desde el 26 Septiembre,Sobrante de $192,752.49 Rem Central </t>
  </si>
  <si>
    <t>Faltante de Proledo $1,000.00 se repuso el dia 1 Octubre</t>
  </si>
  <si>
    <t>Vale de $700.00 firmado por sra NLP</t>
  </si>
  <si>
    <t>Faltante pago de Central $328,944.90 estan en el dia 3 Octubre</t>
  </si>
  <si>
    <t>Gasto $2,000.00 se comprueban en el dia 16 oct,Sobrante $1,000.00 en tranfer $134,500.00</t>
  </si>
  <si>
    <t>Remisiones pagadas a Obrador(#A 12580 $505.20),(#A 12708 $56,894.80),(#A 12709 $5,009.20),(#A 12739 $295,718.88),(#A 12740 $122.40),(#A 12863 $173,020.50)</t>
  </si>
  <si>
    <t>Nomina $90,189.46</t>
  </si>
  <si>
    <t>Depositos $11,000.00-Abono $5,500.00=$5,500.00 Los debe Francisco Armenta(Paco),Sobrante en transfer $100.00  a favor de Lety</t>
  </si>
  <si>
    <t>28605.15,$23,724.00</t>
  </si>
  <si>
    <t>12:46 a 22:50</t>
  </si>
  <si>
    <t>Faltante $192,752.39 estan en el dia 8 octubre</t>
  </si>
  <si>
    <t>11:05 a 20:30</t>
  </si>
  <si>
    <t>Faltante $1,000.00 estan en el dia 13 Octubre</t>
  </si>
  <si>
    <t>Zara sem $1,000.00</t>
  </si>
  <si>
    <t>FORD</t>
  </si>
  <si>
    <t>13:18 a 23:20</t>
  </si>
  <si>
    <t>Pago A/C remodelacion Obrador $20,000.00</t>
  </si>
  <si>
    <t>PagoA/C remodelacion la central $40,000.00</t>
  </si>
  <si>
    <t>12:12 a 19:10</t>
  </si>
  <si>
    <t>13:46 a 23:30</t>
  </si>
  <si>
    <t>$51,010.00 sra NLP viaje a Mexico</t>
  </si>
  <si>
    <t>$10,000.00 sra NLP viaje a Mexico sta fe</t>
  </si>
  <si>
    <t>50,000.00 sra NLP</t>
  </si>
  <si>
    <t>TIKETS #034487 C al #034489 C</t>
  </si>
  <si>
    <t>Sra NLP(Gustavo Fernandez) $32,500.00,$10,000.00</t>
  </si>
  <si>
    <t>Abono de ASO $22,700.00 ($227,753.28) Nota #36575</t>
  </si>
  <si>
    <t>Sobrante Proledo $1,000.00 paga faltante del 26 septiembre</t>
  </si>
  <si>
    <t>Remisiones pagadas a Obrador(#A 13148 $884.00),(#A 13391 $120,519.10),(#A 13399 $9,144.00),(#A 13425 $94,645.95),(#A 13473 $1,577.60),(#A 13492 $72,248.80),(#A 13494 $8,183.00),(#A 13596 $3,992.50),(#A 13610 $266,388.91),(#A 13704 $1,950.40)</t>
  </si>
  <si>
    <t>Pago A/C trabajo remodelacion Obrador $20,000.00</t>
  </si>
  <si>
    <t>Nomina $90,197.46,Sra. NLP 50,000.00,Pepe $2,000.00 Lentes</t>
  </si>
  <si>
    <t>sem 11 octubre al 17 octubre</t>
  </si>
  <si>
    <t>3 semanas(18 oct al 24 Oct--25 Oct al 31 Oct--1 Nov al 7 Nov)</t>
  </si>
  <si>
    <t>Reparacion de patin enderezado y reforzado $1,320 + IVA</t>
  </si>
  <si>
    <t>#1021</t>
  </si>
  <si>
    <t>NISSAN MANUEL</t>
  </si>
  <si>
    <t>13:03 a 19:00</t>
  </si>
  <si>
    <t>Pago tarjetas sra NLP $20,000.00 Liverpool y PH</t>
  </si>
  <si>
    <t>2 notas que extravio Daniel $9,779.80 se pasaron a descuento con el Ingeniero Octavio</t>
  </si>
  <si>
    <t>10:24 a 18:50</t>
  </si>
  <si>
    <t>14:03 a 20:40</t>
  </si>
  <si>
    <t>Depositos $16,000.00,$15,000.00,$14,000.00,$10,000.00,$4,970.34</t>
  </si>
  <si>
    <t>Falta tiket de la devolucion $27.00,Faltan $600.00 en nomina,Deposito $53,405.00</t>
  </si>
  <si>
    <t>Pepe $3,000.00,$10,000.00 gasto sra NLP Tapiz</t>
  </si>
  <si>
    <t>TIKETS #034490 C al #034491 C,Remisiones pagadas a Obrador(#A 13189 $70,360.50),(#A 13711 $11,046.40),(#A 13734 $34,237.00),(#A 13739 $204,850.22),(#A 13760 $62,374.60),(#A 13786 $1,747.20),(#A 13901 $302,688.92),(#A 13903 $79,003.35),(#A 13926 $26,706.90),(#A 13999 $12,004.68),(#A 14033 $196,910.48),(#A 14046 $186,778.36),(#A 14051 $3,050.00),(#A 14058 $8,323.20),(#A 14131 $33,931.40),(#A 14165 $8,361.60)</t>
  </si>
  <si>
    <t>Remisiones pagadas a Obrador(#A 12840  $595.00),(#A 12865 $181,603.50),(#A 12880 $2,774.40),(#A 12913 $535.60),(#A 13041 $174,231.80),(#A 13045 $206,675.15),(#A 13061 $108,530.10),(#A 13170 $103,861.14),(#A 13171 $282,739.20),(#A 13255 $5,040.00),(#A 13372 $43,407.80)</t>
  </si>
  <si>
    <t>Remisiones pagadas a Obrador(#A 14245 $87,340.00),(#A 14269 $23,818.30),(#A 14298 $1,872.00),(#A 14361 $10,100.00),(#A 14378 $65,409.60)</t>
  </si>
  <si>
    <t>Sobrante del dia anterior</t>
  </si>
  <si>
    <t>Faltante de $356.55 de Luis Herrera se paga con sobrante del dia anterior</t>
  </si>
  <si>
    <t>(El Ing. Lo autorizo $19,862.22)</t>
  </si>
  <si>
    <t>Remisiones pagadas a Obrador(#A 14384 136,681.38),(#A 14385 $3,269.50),(#A 14413 $5,413.60),(#A 14531 $2,434.60),(#A 14533 $329,997.67),(#A 14545 $29,244.60),(#A 14607 $1,150.80),(#A 14654 $4,991.50)</t>
  </si>
  <si>
    <t>Deposito $400.00</t>
  </si>
  <si>
    <t>$20,000.00 gastos sra NLP</t>
  </si>
  <si>
    <t>Sobrantes $4,823.80 6 Julio y $30,555.00 del 9 Julio</t>
  </si>
  <si>
    <t>Muebles sra NLP $200,501.00</t>
  </si>
  <si>
    <t>Nomina $92,498.36</t>
  </si>
  <si>
    <t>Remisiones pagadas a Obrador(#A 14669 $182,435.90),(#A 14670 $54,247.20),(#A 14698 $26,631.00),(#A 14715 $43,404.40),(#A 14855 $312.00),(#A 14879 $254,827.46),(#A 14928 $9,092.00),(#A 14969 $19,455.50),(#A 14978 $2,598.85)</t>
  </si>
  <si>
    <t>$20,000.00 Pago A/C  de remodelacion Obrador</t>
  </si>
  <si>
    <t>13:01 a 02:00</t>
  </si>
  <si>
    <t>Deposito $2,500.00 debe Elias</t>
  </si>
  <si>
    <t>11:55 a 00:00</t>
  </si>
  <si>
    <t>12:49 a 22:40</t>
  </si>
  <si>
    <t>Faltante $32,204.20 esta en el dia anterior</t>
  </si>
  <si>
    <t>11:45 a 18:30</t>
  </si>
  <si>
    <t>Nissan</t>
  </si>
  <si>
    <t>Documento $45.00</t>
  </si>
  <si>
    <t>$20,000.00 sra NLP</t>
  </si>
  <si>
    <t>Sra NLP $88,000.00 Persia</t>
  </si>
  <si>
    <t>Sra NLP $50,000.00 Palacio Hierro</t>
  </si>
  <si>
    <t>Faltante en NV $25.72 falta checar en bancos</t>
  </si>
  <si>
    <t>Faltante en NV $26.50 falta checar en bancos</t>
  </si>
  <si>
    <t>se aplica la dif de los $100.00 del dia anterior del tiket</t>
  </si>
  <si>
    <t xml:space="preserve">Sobrante $80.00-$20.00 del dia 11 julio,-$10.00 del dia 14 sep=$80.00-$20.00-$10.00=$50.00 que se abonan al faltante del dia 11 Sep </t>
  </si>
  <si>
    <t>Prestamo a Edith Ramirez $2,000.00,$116.00 estan en deposito de  $350.00 en este dia</t>
  </si>
  <si>
    <t>$177.00 estan en el deposito de $350.00 con el dia 3 Agosto,Prestamo a Cesar Contreras $1,000.00</t>
  </si>
  <si>
    <t>Nomina $89,219.79,Sra NLP $30,000.00  Resto Palacio</t>
  </si>
  <si>
    <t>Remisiones pagadas a Obrador(#A 15239 $3,978.00),(#A 15373 $158,169.60),(#A 15379 $51,606.38),(#A 15509 $50,454.69),(#A 15520 $149,074.83),(#A 15627 $8,709.96),(#A 15629 $2,327.60),(#A 15647 $32,056.00),(#A 15649 $128,188.30),(#A 15666 $31,442.00)</t>
  </si>
  <si>
    <t>Remisiones pagadas a Obrador(#A 14995 $166,533.00),(#A 14999 $47,266.02),(#A 15009 $96,480.80),(#A 15032 $94,526.00),(#A 15115 $3,009.60),(#A 15191 $986.40),(#A 15215 $1,046.50),(#A 15247 $115,904.00),(#A 15254 $14,417.90),(#A 15268 $3,968.00),(#A 15 346 $102,128.65)</t>
  </si>
  <si>
    <t>12:12 a 00:23</t>
  </si>
  <si>
    <t>$20,000.00 Pago a Archivaldo A/C remodelacion Obrador</t>
  </si>
  <si>
    <t>12:43 a 22:25</t>
  </si>
  <si>
    <t>Trabajo herreria Tonatiuh portabotellas $5,000.00</t>
  </si>
  <si>
    <t>$50,000.00 sra NLP Sams</t>
  </si>
  <si>
    <t xml:space="preserve">$50,000.00 sra NLP Buen fin </t>
  </si>
  <si>
    <t xml:space="preserve">Sobrante $200.00 </t>
  </si>
  <si>
    <t>Faltante $200.00 esta en el dia anterior</t>
  </si>
  <si>
    <t>Pago DJ $5,000.00 ese pago lo hizo la sra NLP personalmente</t>
  </si>
  <si>
    <t>Sobrante a favor Proledo $770.00,Faltante $4,800.00 se paga con sobrante de Proledo del dia 18 Sep 15</t>
  </si>
  <si>
    <t>7 Pagos de no adeudo de infracc $665.00,Gastos a comprobar sr Jesus $200.00 vale firmado por la sra NLP</t>
  </si>
  <si>
    <t xml:space="preserve">$20,000.00 gastos sra NLP  </t>
  </si>
  <si>
    <t>Pagos de derechos $285.00,Gastos a comprobar sra Ceci $2,000.00,Sobrante $32,204.20 de pago a rem CIC se utilizara hasta el sig dia</t>
  </si>
  <si>
    <t>doña ceci $1,000.00 de gastos super pagados el dia siguiente</t>
  </si>
  <si>
    <t>9:54 a 18:00</t>
  </si>
  <si>
    <t>Sobrante 1,000.00 gastos sra Ceci del dia anterior</t>
  </si>
  <si>
    <t>10:05 a 19:40</t>
  </si>
  <si>
    <t>Cheque $204,384.15</t>
  </si>
  <si>
    <t>9 Pago de derechos $855.00</t>
  </si>
  <si>
    <t>solicitar fact de Verificacion camion Paco $250.00  a sr Jesus</t>
  </si>
  <si>
    <t>11:05 a 19:20</t>
  </si>
  <si>
    <t>pago ayudante del dia Vie 6 Nov</t>
  </si>
  <si>
    <t>pago ayudante del dia Lun 2 Nov</t>
  </si>
  <si>
    <t>pago ayudante del dia Vie 30 oct.</t>
  </si>
  <si>
    <t xml:space="preserve">Hay una dif a favor del sr Jesus $170.00 checar con don Jesus </t>
  </si>
  <si>
    <t>Sobrante $6,780.00 pago de Pablo por la Remision #656 de Loreto que debia desde el 29 Noviembre 2013</t>
  </si>
  <si>
    <t>Falta checar deposito $6.50 se hizo el dia 19 Nov y se engrapo a la transfer que se mando a apago de remisiones</t>
  </si>
  <si>
    <t>Nomina $91,700.18,$50,000.00 Buen fin</t>
  </si>
  <si>
    <t>Remisiones pagadas a Obrador(#A 16611 $257,561.83),(#A 16715 $1,372.00),(#A 16743 $2,862.00),(#A 16746 $2,808.00),(#A 16806 $1,000.80),(#A 16818 $42,405.00),(#A 16819 $42,589.80),(#A 16826 $1,087.20),(#A 16831 $59,829.98),(#A 16838 $30,039.88),(#A 16846 $160,561.40),(#A 16971 $101,815.00)</t>
  </si>
  <si>
    <t>$217,500 sra NLP Gustavo Fernandez</t>
  </si>
  <si>
    <t>Remisiones pagadas a Obrador(#A 17004 $381,835.90),(#A 17008 $18,170.60),(#A 17087 $58,547.20),(#A 17161 $1,200.00),(#A 17230 $16,948.90),(#A 17248 $209,040.73),(#A 17370 $161,661.90),(#A 17483 $44,246.62),(#A 17514 $166,422.00),(#A 17517 $6,271.20),(#A 17609 $695.50)</t>
  </si>
  <si>
    <t>pago ayudante del dia Lun 9 Nov</t>
  </si>
  <si>
    <t>11:30 a 23:00</t>
  </si>
  <si>
    <t>Diferencia $170.00 checar con sr Jesus como fue,Deposito Alfonso Ruiz $33,500.00,Transferencias $38,934.80,$54,180.40,$59,105.20,$68,468.40</t>
  </si>
  <si>
    <t xml:space="preserve">$50,000.00 sra NLP Buen Fin,$20,000.00 Pago A/C remodelacion Obrador </t>
  </si>
  <si>
    <t>Reparar maneral,cambiar bujes y soldadura $600.00 + IVA</t>
  </si>
  <si>
    <t>#41</t>
  </si>
  <si>
    <t>REMODELACION CENTRAL</t>
  </si>
  <si>
    <t>REMODELACION OBRADOR</t>
  </si>
  <si>
    <t xml:space="preserve">$200,000.00 A/C Remodelacion Central </t>
  </si>
  <si>
    <t>$100,000.00 Pago saldo mes de Noviembre Remodelacion Central</t>
  </si>
  <si>
    <t>Pago A/C  de remodelacion Obrador</t>
  </si>
  <si>
    <t>Pago a Archivaldo A/C remodelacion Obrador</t>
  </si>
  <si>
    <t xml:space="preserve">Pago A/C remodelacion Obrador </t>
  </si>
  <si>
    <t xml:space="preserve">Anticipo Archivaldo ampliacion Obrador </t>
  </si>
  <si>
    <t xml:space="preserve">Pago A/C trabajo remodelacion Obrador </t>
  </si>
  <si>
    <t xml:space="preserve">Pago mensualidad A/C de trabajos remodelacion Central mes Octubre </t>
  </si>
  <si>
    <t xml:space="preserve">PagoA/C remodelacion la central </t>
  </si>
  <si>
    <t>Pago saldo mes de Noviembre Remodelacion Central</t>
  </si>
  <si>
    <t xml:space="preserve">Pago A/C Remodelacion mes de Noviembre Central </t>
  </si>
  <si>
    <t>Pago A/C Arq. Carlos Castro mes sep  obras central</t>
  </si>
  <si>
    <t>Pago Arquitecto Castro remodelacion central</t>
  </si>
  <si>
    <t>Pago Arquitecto Castro $60,000.00 remodelacion central</t>
  </si>
  <si>
    <t>Sara $1,000.00</t>
  </si>
  <si>
    <t>sem 8 Noviembre al 14 Noviembre</t>
  </si>
  <si>
    <t>Hotel</t>
  </si>
  <si>
    <t>pago ayudante del dia Vie 13 Nov y el Hotel</t>
  </si>
  <si>
    <t>23 Guias y 11 certifi $6,496.00,8 Certif y 7 Guias $3,596.00</t>
  </si>
  <si>
    <t>10:42 a 22:00</t>
  </si>
  <si>
    <t>Cheque de Eduardo Justo $50,000.00 esta en este dia #0082</t>
  </si>
  <si>
    <t>$8,217.00 es el pago de una nota de ALBICIA que debia la central y se pago aquí</t>
  </si>
  <si>
    <t>Remisiones pagadas a Obrador(#A 17626 41,904.40),(#A 17688 $30.00),(#A 17699 $58,850.40),(#A 17694 $83,100.00),(#A 17653 $1,918.80),(#A 17936 $1,069.50),(#A 17988 $250,019.14),(#A 17990 $23,942.60),(#A 18011 $26,561.60),(#A 18026 $170,327.25),(#A 18095 $4,308.00)</t>
  </si>
  <si>
    <t>Faltante $1,000.00</t>
  </si>
  <si>
    <t>Deposito $34,440.50</t>
  </si>
  <si>
    <t>Retiro Elias $3,500.00 y Prestamo a Bety $3,500.00</t>
  </si>
  <si>
    <t>Deposito $5,000.00 debe Elias</t>
  </si>
  <si>
    <t>Depositos $15,000.00,$16,000.00,$12,095.00</t>
  </si>
  <si>
    <t>Depositos $28,000.00,$12,000.00,$22,000.00,$20,000.00,$17,351.50</t>
  </si>
  <si>
    <t>Nomina $114,337.92,$10,000.00 sra NLP Fin de semana</t>
  </si>
  <si>
    <t>TIKETS #034496 C al #034498 C</t>
  </si>
  <si>
    <t>Remisiones pagadas a Obrador(#A 17687 $129,672.66),(#A 17859 $233,544.60),(#A 18037 $7,158.90),(#A 18100 $1,646.14),(#A 18177 $20,148.00),(#A 18353 $254.40)</t>
  </si>
  <si>
    <t>REPARACION  COMERCIO</t>
  </si>
  <si>
    <t xml:space="preserve">Reparacion de piso </t>
  </si>
  <si>
    <t>Pago A/C remodelacion Obrador $20,000.00,Pago Liverpol sra NLP $22,000.00</t>
  </si>
  <si>
    <t>12:36 a 00:35</t>
  </si>
  <si>
    <t>Pago de no adeudos $190.00,Casetas Lic $300.00</t>
  </si>
  <si>
    <t>sem 15 Noviembre al 21 Noviembre</t>
  </si>
  <si>
    <t>Prestamo Angel Ayon $2,000.00 pagado por el Ingeniero Octavio el lo va a descontar,Sobrante a favor Proledo $770.00</t>
  </si>
  <si>
    <t>Cheque $46,686.20 Se repuso con transfers,Faltante $770.00 se paga con el sobrante del dia 20 Octubre</t>
  </si>
  <si>
    <t>Prestamo David $500.00,Prestamo Abraham $1,000.00 los pago el Ingeniero el los va a descontar,Prestamo Rosy Tellez $10,000.00</t>
  </si>
  <si>
    <t>7:05 a 13:15</t>
  </si>
  <si>
    <t>Pago proveedor.45,352.00,$3,945.00,$292.50,$2,345.50,$4,096.00,$812.50,$1,965.00,$3,783.50,$3,906.00,$7,942.50,Cheque $112,395.45</t>
  </si>
  <si>
    <t>Sr Benito debe $24.00 dif del Hotel la fact es por $464.00</t>
  </si>
  <si>
    <t>11:32 a 21:15</t>
  </si>
  <si>
    <t>Cheques $217,510.68,$117,292.90</t>
  </si>
  <si>
    <t>Certifi y Guia $427.00,Cheques $61,743.45,$60,469.20,$38,896.20,$47,287.60,$204,284.13,$5,103.60</t>
  </si>
  <si>
    <t xml:space="preserve">$10,000.00 sra NLP </t>
  </si>
  <si>
    <t>Depositos $62,000.00,$1,800.00,$38,106.51</t>
  </si>
  <si>
    <t>Deposito $32,002.50</t>
  </si>
  <si>
    <t>Depositos $85,000.00,$30,168.00</t>
  </si>
  <si>
    <t>Depositos $42,000.00,$44,511.50</t>
  </si>
  <si>
    <t>Depositos $10,746.00,$7,597.00,$6,764.00,$6,271.00,$30,544.00</t>
  </si>
  <si>
    <t>Deposito $26,504.00</t>
  </si>
  <si>
    <t>Deposito $70,000.00 falta checar en bancos</t>
  </si>
  <si>
    <t>Depositos $25,000.00,$12,000.00,$7,162.50</t>
  </si>
  <si>
    <t>Depositos $17,000.00,$20,000.00,$7,236.50</t>
  </si>
  <si>
    <t>Depositos $13,000.00,$14,000.00,$7,634.00</t>
  </si>
  <si>
    <t>Pago de luz $12,349.00,Depositos $14,000.00,$10,000.00,$7,312.50</t>
  </si>
  <si>
    <t>Deposito $112,000.00</t>
  </si>
  <si>
    <t>CANCION</t>
  </si>
  <si>
    <t>ARTISTA</t>
  </si>
  <si>
    <t>LOCA</t>
  </si>
  <si>
    <t>ALEJANDRA GUZMAN</t>
  </si>
  <si>
    <t>TE AMARE</t>
  </si>
  <si>
    <t>ALEJANDRO FERNANDEZ</t>
  </si>
  <si>
    <t>TE QUIERO,TE QUIERO</t>
  </si>
  <si>
    <t>CONCAVO Y CONVEXO</t>
  </si>
  <si>
    <t>ENCONTRARTE</t>
  </si>
  <si>
    <t>BANDA CARNAVAL</t>
  </si>
  <si>
    <t>MI MAYOR ANHELO</t>
  </si>
  <si>
    <t>BANDA MS</t>
  </si>
  <si>
    <t>MI RAZON DE SER</t>
  </si>
  <si>
    <t>SI NO TE HUBIERA CONOCIDO</t>
  </si>
  <si>
    <t>BOBBY PULIDO</t>
  </si>
  <si>
    <t>ENAMORADOS</t>
  </si>
  <si>
    <t>CRISTIAN</t>
  </si>
  <si>
    <t xml:space="preserve">TAN SOLO TU </t>
  </si>
  <si>
    <t>FRANCO DE VITA</t>
  </si>
  <si>
    <t>ESO Y MAS</t>
  </si>
  <si>
    <t>JOAN SEBASTIAN</t>
  </si>
  <si>
    <t>ME ESTOY ENAMORANDO</t>
  </si>
  <si>
    <t>LA MAFIA</t>
  </si>
  <si>
    <t>ME MUERO</t>
  </si>
  <si>
    <t>LA QUINTA ESTACION</t>
  </si>
  <si>
    <t>ALGO MAS</t>
  </si>
  <si>
    <t>ENAMORANDONOS</t>
  </si>
  <si>
    <t>LAUREANO BRIZUELA</t>
  </si>
  <si>
    <t>ENTRE TU Y YO</t>
  </si>
  <si>
    <t>AMOANDOTE</t>
  </si>
  <si>
    <t>EMOCIONES</t>
  </si>
  <si>
    <t>LOSTIGRES DEL NORTE</t>
  </si>
  <si>
    <t xml:space="preserve">TAN SOLO UN MINUTO </t>
  </si>
  <si>
    <t>RIO ROMA</t>
  </si>
  <si>
    <t>ESTOY ENAMORADA</t>
  </si>
  <si>
    <t>THALIA</t>
  </si>
  <si>
    <t>DEJA</t>
  </si>
  <si>
    <t>BANDA RECODO</t>
  </si>
  <si>
    <t>DELIRIO</t>
  </si>
  <si>
    <t>LUIS MIGUEL</t>
  </si>
  <si>
    <t>GRACIAS AMOR</t>
  </si>
  <si>
    <t>SONORA SANTANERA</t>
  </si>
  <si>
    <t>TENECESITO</t>
  </si>
  <si>
    <t>DIRECTO AL CORAZON</t>
  </si>
  <si>
    <t>DESDE QUE LLEGASTE</t>
  </si>
  <si>
    <t>REYLI</t>
  </si>
  <si>
    <t>NO SON PALABRITAS</t>
  </si>
  <si>
    <t>RIGO TOVAR</t>
  </si>
  <si>
    <t>MI FORMA DE SENTIR</t>
  </si>
  <si>
    <t>ME ESTOY ACOSTUMBRANDO A TI</t>
  </si>
  <si>
    <t>PEPE AGUILAR</t>
  </si>
  <si>
    <t>MI LUNA ,MI ESTRELLA</t>
  </si>
  <si>
    <t>BANDA MACHOS</t>
  </si>
  <si>
    <t>CHIQUITA BONITA</t>
  </si>
  <si>
    <t>Y VOLVERE</t>
  </si>
  <si>
    <t>ANGELES NEGROS</t>
  </si>
  <si>
    <t>TE AMO</t>
  </si>
  <si>
    <t>NICHO HINOJOSA</t>
  </si>
  <si>
    <t>OTRA COMO TU</t>
  </si>
  <si>
    <t>EROS RAMAZZOTTI</t>
  </si>
  <si>
    <t>COSA MAS BELLA</t>
  </si>
  <si>
    <t>DOS ENAMORADOS</t>
  </si>
  <si>
    <t>LA REVOLUCION DE EMILIANO ZAPATA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</si>
</sst>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;[Red]\-&quot;$&quot;#,##0.00"/>
    <numFmt numFmtId="164" formatCode="[$-C0A]dd\-mmm\-yy;@"/>
    <numFmt numFmtId="165" formatCode="&quot;$&quot;#,##0.00"/>
    <numFmt numFmtId="166" formatCode="[$$-80A]#,##0.00"/>
    <numFmt numFmtId="167" formatCode="[$-C0A]d\-mmm\-yy;@"/>
    <numFmt numFmtId="168" formatCode="[$-C0A]d\-mmm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9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164" fontId="2" fillId="0" borderId="0" xfId="0" applyNumberFormat="1" applyFont="1" applyFill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0" xfId="0" applyFill="1"/>
    <xf numFmtId="164" fontId="2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/>
    <xf numFmtId="0" fontId="1" fillId="2" borderId="1" xfId="0" applyFont="1" applyFill="1" applyBorder="1"/>
    <xf numFmtId="165" fontId="1" fillId="3" borderId="2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/>
    </xf>
    <xf numFmtId="165" fontId="5" fillId="0" borderId="0" xfId="0" applyNumberFormat="1" applyFont="1" applyFill="1"/>
    <xf numFmtId="165" fontId="1" fillId="0" borderId="3" xfId="0" applyNumberFormat="1" applyFont="1" applyFill="1" applyBorder="1"/>
    <xf numFmtId="0" fontId="1" fillId="0" borderId="0" xfId="0" applyFont="1" applyFill="1"/>
    <xf numFmtId="165" fontId="6" fillId="0" borderId="0" xfId="0" applyNumberFormat="1" applyFont="1" applyFill="1"/>
    <xf numFmtId="164" fontId="4" fillId="0" borderId="4" xfId="0" applyNumberFormat="1" applyFont="1" applyFill="1" applyBorder="1" applyAlignment="1">
      <alignment horizontal="center"/>
    </xf>
    <xf numFmtId="165" fontId="0" fillId="0" borderId="0" xfId="0" applyNumberFormat="1" applyFill="1"/>
    <xf numFmtId="165" fontId="7" fillId="0" borderId="0" xfId="0" applyNumberFormat="1" applyFont="1" applyFill="1"/>
    <xf numFmtId="165" fontId="1" fillId="0" borderId="0" xfId="0" applyNumberFormat="1" applyFont="1" applyFill="1"/>
    <xf numFmtId="166" fontId="0" fillId="0" borderId="0" xfId="0" applyNumberFormat="1" applyFill="1"/>
    <xf numFmtId="164" fontId="2" fillId="4" borderId="2" xfId="0" applyNumberFormat="1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8" borderId="0" xfId="0" applyFill="1"/>
    <xf numFmtId="0" fontId="1" fillId="0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5" fontId="0" fillId="8" borderId="0" xfId="0" applyNumberFormat="1" applyFill="1"/>
    <xf numFmtId="165" fontId="0" fillId="0" borderId="0" xfId="0" applyNumberFormat="1" applyFont="1" applyFill="1"/>
    <xf numFmtId="165" fontId="1" fillId="4" borderId="0" xfId="0" applyNumberFormat="1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165" fontId="9" fillId="7" borderId="0" xfId="0" applyNumberFormat="1" applyFont="1" applyFill="1"/>
    <xf numFmtId="165" fontId="1" fillId="5" borderId="0" xfId="0" applyNumberFormat="1" applyFont="1" applyFill="1" applyAlignment="1">
      <alignment horizontal="center"/>
    </xf>
    <xf numFmtId="0" fontId="0" fillId="11" borderId="0" xfId="0" applyFill="1"/>
    <xf numFmtId="0" fontId="0" fillId="0" borderId="0" xfId="0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1" fillId="0" borderId="0" xfId="0" applyFont="1" applyFill="1" applyAlignment="1"/>
    <xf numFmtId="0" fontId="10" fillId="10" borderId="0" xfId="0" applyFont="1" applyFill="1"/>
    <xf numFmtId="0" fontId="0" fillId="5" borderId="0" xfId="0" applyFill="1"/>
    <xf numFmtId="0" fontId="5" fillId="0" borderId="0" xfId="0" applyFont="1" applyFill="1"/>
    <xf numFmtId="165" fontId="0" fillId="13" borderId="0" xfId="0" applyNumberForma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14" borderId="0" xfId="0" applyFill="1"/>
    <xf numFmtId="166" fontId="0" fillId="14" borderId="0" xfId="0" applyNumberFormat="1" applyFill="1"/>
    <xf numFmtId="165" fontId="1" fillId="5" borderId="3" xfId="0" applyNumberFormat="1" applyFont="1" applyFill="1" applyBorder="1"/>
    <xf numFmtId="0" fontId="1" fillId="5" borderId="0" xfId="0" applyFont="1" applyFill="1"/>
    <xf numFmtId="165" fontId="0" fillId="5" borderId="0" xfId="0" applyNumberFormat="1" applyFill="1"/>
    <xf numFmtId="165" fontId="9" fillId="5" borderId="0" xfId="0" applyNumberFormat="1" applyFont="1" applyFill="1"/>
    <xf numFmtId="0" fontId="3" fillId="2" borderId="0" xfId="0" applyFont="1" applyFill="1" applyAlignment="1"/>
    <xf numFmtId="164" fontId="4" fillId="5" borderId="3" xfId="0" applyNumberFormat="1" applyFont="1" applyFill="1" applyBorder="1" applyAlignment="1">
      <alignment horizontal="center"/>
    </xf>
    <xf numFmtId="165" fontId="2" fillId="5" borderId="0" xfId="0" applyNumberFormat="1" applyFont="1" applyFill="1" applyAlignment="1">
      <alignment horizontal="center"/>
    </xf>
    <xf numFmtId="0" fontId="0" fillId="15" borderId="0" xfId="0" applyFill="1"/>
    <xf numFmtId="165" fontId="0" fillId="13" borderId="0" xfId="0" applyNumberFormat="1" applyFont="1" applyFill="1"/>
    <xf numFmtId="166" fontId="0" fillId="16" borderId="0" xfId="0" applyNumberFormat="1" applyFill="1"/>
    <xf numFmtId="166" fontId="0" fillId="11" borderId="0" xfId="0" applyNumberFormat="1" applyFill="1"/>
    <xf numFmtId="165" fontId="4" fillId="0" borderId="0" xfId="0" applyNumberFormat="1" applyFont="1" applyFill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165" fontId="1" fillId="8" borderId="3" xfId="0" applyNumberFormat="1" applyFont="1" applyFill="1" applyBorder="1"/>
    <xf numFmtId="0" fontId="1" fillId="16" borderId="0" xfId="0" applyFont="1" applyFill="1" applyAlignment="1">
      <alignment horizontal="center"/>
    </xf>
    <xf numFmtId="165" fontId="0" fillId="6" borderId="0" xfId="0" applyNumberFormat="1" applyFill="1"/>
    <xf numFmtId="0" fontId="0" fillId="6" borderId="0" xfId="0" applyFill="1"/>
    <xf numFmtId="0" fontId="0" fillId="4" borderId="0" xfId="0" applyFill="1"/>
    <xf numFmtId="165" fontId="0" fillId="4" borderId="0" xfId="0" applyNumberFormat="1" applyFill="1"/>
    <xf numFmtId="165" fontId="0" fillId="14" borderId="0" xfId="0" applyNumberFormat="1" applyFill="1"/>
    <xf numFmtId="165" fontId="0" fillId="17" borderId="0" xfId="0" applyNumberFormat="1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65" fontId="5" fillId="0" borderId="5" xfId="0" applyNumberFormat="1" applyFont="1" applyFill="1" applyBorder="1" applyAlignment="1"/>
    <xf numFmtId="165" fontId="5" fillId="0" borderId="6" xfId="0" applyNumberFormat="1" applyFont="1" applyFill="1" applyBorder="1" applyAlignment="1"/>
    <xf numFmtId="0" fontId="0" fillId="3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13" borderId="0" xfId="0" applyFill="1"/>
    <xf numFmtId="0" fontId="0" fillId="16" borderId="0" xfId="0" applyFill="1"/>
    <xf numFmtId="0" fontId="0" fillId="25" borderId="0" xfId="0" applyFill="1"/>
    <xf numFmtId="165" fontId="0" fillId="15" borderId="0" xfId="0" applyNumberFormat="1" applyFill="1"/>
    <xf numFmtId="165" fontId="0" fillId="9" borderId="0" xfId="0" applyNumberFormat="1" applyFill="1"/>
    <xf numFmtId="0" fontId="0" fillId="9" borderId="0" xfId="0" applyFill="1"/>
    <xf numFmtId="0" fontId="0" fillId="26" borderId="0" xfId="0" applyFill="1"/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" fontId="0" fillId="0" borderId="4" xfId="0" applyNumberFormat="1" applyFill="1" applyBorder="1" applyAlignment="1">
      <alignment horizontal="center" vertical="center"/>
    </xf>
    <xf numFmtId="165" fontId="0" fillId="0" borderId="4" xfId="0" applyNumberFormat="1" applyFill="1" applyBorder="1" applyAlignment="1">
      <alignment horizontal="center" vertical="center"/>
    </xf>
    <xf numFmtId="165" fontId="0" fillId="10" borderId="0" xfId="0" applyNumberFormat="1" applyFill="1" applyAlignment="1">
      <alignment horizontal="center"/>
    </xf>
    <xf numFmtId="165" fontId="0" fillId="10" borderId="0" xfId="0" applyNumberFormat="1" applyFill="1"/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" fontId="0" fillId="0" borderId="4" xfId="0" applyNumberFormat="1" applyBorder="1"/>
    <xf numFmtId="0" fontId="0" fillId="0" borderId="4" xfId="0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165" fontId="0" fillId="13" borderId="0" xfId="0" applyNumberFormat="1" applyFill="1"/>
    <xf numFmtId="165" fontId="5" fillId="8" borderId="0" xfId="0" applyNumberFormat="1" applyFont="1" applyFill="1" applyAlignment="1">
      <alignment horizontal="center"/>
    </xf>
    <xf numFmtId="165" fontId="9" fillId="8" borderId="0" xfId="0" applyNumberFormat="1" applyFont="1" applyFill="1"/>
    <xf numFmtId="165" fontId="0" fillId="8" borderId="0" xfId="0" applyNumberForma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" fontId="0" fillId="0" borderId="0" xfId="0" applyNumberFormat="1" applyBorder="1"/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5" fontId="0" fillId="0" borderId="4" xfId="0" applyNumberFormat="1" applyBorder="1"/>
    <xf numFmtId="165" fontId="0" fillId="0" borderId="4" xfId="0" applyNumberFormat="1" applyBorder="1" applyAlignment="1">
      <alignment horizontal="center" vertical="center" wrapText="1"/>
    </xf>
    <xf numFmtId="165" fontId="1" fillId="0" borderId="0" xfId="0" applyNumberFormat="1" applyFont="1"/>
    <xf numFmtId="0" fontId="0" fillId="27" borderId="0" xfId="0" applyFill="1"/>
    <xf numFmtId="0" fontId="13" fillId="6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16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1" fontId="14" fillId="0" borderId="0" xfId="0" applyNumberFormat="1" applyFont="1"/>
    <xf numFmtId="0" fontId="12" fillId="0" borderId="0" xfId="0" applyFont="1"/>
    <xf numFmtId="0" fontId="13" fillId="0" borderId="0" xfId="0" applyFont="1" applyFill="1" applyBorder="1" applyAlignment="1">
      <alignment horizontal="center" wrapText="1"/>
    </xf>
    <xf numFmtId="1" fontId="12" fillId="0" borderId="0" xfId="0" applyNumberFormat="1" applyFont="1"/>
    <xf numFmtId="0" fontId="13" fillId="0" borderId="0" xfId="0" applyFont="1" applyBorder="1" applyAlignment="1">
      <alignment wrapText="1"/>
    </xf>
    <xf numFmtId="0" fontId="13" fillId="0" borderId="16" xfId="0" applyFont="1" applyBorder="1" applyAlignment="1">
      <alignment vertical="center" wrapText="1"/>
    </xf>
    <xf numFmtId="0" fontId="13" fillId="0" borderId="16" xfId="0" applyFont="1" applyBorder="1" applyAlignment="1">
      <alignment wrapText="1"/>
    </xf>
    <xf numFmtId="0" fontId="13" fillId="28" borderId="16" xfId="0" applyFont="1" applyFill="1" applyBorder="1" applyAlignment="1">
      <alignment vertical="center" wrapText="1"/>
    </xf>
    <xf numFmtId="0" fontId="13" fillId="28" borderId="16" xfId="0" applyFont="1" applyFill="1" applyBorder="1" applyAlignment="1">
      <alignment wrapText="1"/>
    </xf>
    <xf numFmtId="0" fontId="13" fillId="28" borderId="16" xfId="0" applyFont="1" applyFill="1" applyBorder="1" applyAlignment="1">
      <alignment horizontal="center" wrapText="1"/>
    </xf>
    <xf numFmtId="0" fontId="13" fillId="0" borderId="16" xfId="0" applyFont="1" applyFill="1" applyBorder="1" applyAlignment="1">
      <alignment vertical="center" wrapText="1"/>
    </xf>
    <xf numFmtId="0" fontId="13" fillId="0" borderId="16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3" fillId="0" borderId="16" xfId="0" applyFont="1" applyFill="1" applyBorder="1" applyAlignment="1">
      <alignment horizontal="center" wrapText="1"/>
    </xf>
    <xf numFmtId="0" fontId="0" fillId="0" borderId="0" xfId="0" applyFill="1" applyBorder="1"/>
    <xf numFmtId="0" fontId="13" fillId="28" borderId="16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/>
    <xf numFmtId="0" fontId="12" fillId="0" borderId="0" xfId="0" applyFont="1" applyBorder="1"/>
    <xf numFmtId="0" fontId="0" fillId="0" borderId="17" xfId="0" applyBorder="1"/>
    <xf numFmtId="0" fontId="16" fillId="0" borderId="0" xfId="0" applyFont="1" applyFill="1"/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4" xfId="0" applyFill="1" applyBorder="1"/>
    <xf numFmtId="0" fontId="0" fillId="0" borderId="14" xfId="0" applyFill="1" applyBorder="1"/>
    <xf numFmtId="16" fontId="0" fillId="0" borderId="3" xfId="0" applyNumberFormat="1" applyFill="1" applyBorder="1"/>
    <xf numFmtId="165" fontId="0" fillId="0" borderId="3" xfId="0" applyNumberFormat="1" applyFill="1" applyBorder="1"/>
    <xf numFmtId="165" fontId="0" fillId="0" borderId="4" xfId="0" applyNumberFormat="1" applyFill="1" applyBorder="1"/>
    <xf numFmtId="0" fontId="0" fillId="0" borderId="12" xfId="0" applyFill="1" applyBorder="1"/>
    <xf numFmtId="0" fontId="0" fillId="0" borderId="17" xfId="0" applyFill="1" applyBorder="1"/>
    <xf numFmtId="165" fontId="0" fillId="0" borderId="17" xfId="0" applyNumberFormat="1" applyFill="1" applyBorder="1"/>
    <xf numFmtId="16" fontId="0" fillId="0" borderId="14" xfId="0" applyNumberFormat="1" applyFill="1" applyBorder="1"/>
    <xf numFmtId="16" fontId="0" fillId="0" borderId="14" xfId="0" applyNumberFormat="1" applyBorder="1"/>
    <xf numFmtId="167" fontId="0" fillId="0" borderId="4" xfId="0" applyNumberFormat="1" applyBorder="1" applyAlignment="1">
      <alignment horizontal="center"/>
    </xf>
    <xf numFmtId="15" fontId="2" fillId="0" borderId="0" xfId="0" applyNumberFormat="1" applyFont="1" applyFill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15" fontId="2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165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/>
    </xf>
    <xf numFmtId="0" fontId="19" fillId="29" borderId="0" xfId="0" applyFont="1" applyFill="1" applyAlignment="1">
      <alignment horizontal="center"/>
    </xf>
    <xf numFmtId="0" fontId="20" fillId="0" borderId="4" xfId="0" applyFont="1" applyFill="1" applyBorder="1" applyAlignment="1">
      <alignment horizontal="center"/>
    </xf>
    <xf numFmtId="16" fontId="1" fillId="0" borderId="0" xfId="0" applyNumberFormat="1" applyFont="1" applyFill="1"/>
    <xf numFmtId="0" fontId="0" fillId="0" borderId="0" xfId="0" applyFont="1" applyFill="1"/>
    <xf numFmtId="166" fontId="1" fillId="0" borderId="0" xfId="0" applyNumberFormat="1" applyFont="1" applyFill="1"/>
    <xf numFmtId="165" fontId="1" fillId="0" borderId="4" xfId="0" applyNumberFormat="1" applyFont="1" applyFill="1" applyBorder="1"/>
    <xf numFmtId="0" fontId="1" fillId="0" borderId="0" xfId="0" applyFont="1" applyFill="1" applyBorder="1" applyAlignment="1">
      <alignment horizontal="center"/>
    </xf>
    <xf numFmtId="15" fontId="0" fillId="0" borderId="0" xfId="0" applyNumberFormat="1" applyFont="1" applyFill="1"/>
    <xf numFmtId="0" fontId="1" fillId="0" borderId="4" xfId="0" applyFont="1" applyFill="1" applyBorder="1"/>
    <xf numFmtId="15" fontId="20" fillId="0" borderId="4" xfId="0" applyNumberFormat="1" applyFont="1" applyFill="1" applyBorder="1" applyAlignment="1">
      <alignment horizontal="center"/>
    </xf>
    <xf numFmtId="4" fontId="0" fillId="4" borderId="0" xfId="0" applyNumberFormat="1" applyFill="1"/>
    <xf numFmtId="167" fontId="0" fillId="0" borderId="4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16" fontId="0" fillId="0" borderId="4" xfId="0" applyNumberFormat="1" applyBorder="1" applyAlignment="1">
      <alignment horizontal="center"/>
    </xf>
    <xf numFmtId="165" fontId="2" fillId="0" borderId="4" xfId="0" applyNumberFormat="1" applyFont="1" applyBorder="1"/>
    <xf numFmtId="164" fontId="4" fillId="0" borderId="3" xfId="0" applyNumberFormat="1" applyFont="1" applyFill="1" applyBorder="1" applyAlignment="1">
      <alignment horizontal="center" wrapText="1"/>
    </xf>
    <xf numFmtId="165" fontId="5" fillId="0" borderId="0" xfId="0" applyNumberFormat="1" applyFont="1" applyFill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9" fillId="7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vertical="center"/>
    </xf>
    <xf numFmtId="0" fontId="1" fillId="0" borderId="4" xfId="0" applyFont="1" applyBorder="1" applyAlignment="1">
      <alignment horizontal="center"/>
    </xf>
    <xf numFmtId="0" fontId="0" fillId="0" borderId="14" xfId="0" applyBorder="1"/>
    <xf numFmtId="165" fontId="0" fillId="0" borderId="0" xfId="0" applyNumberFormat="1" applyFill="1" applyAlignment="1">
      <alignment horizontal="right" vertical="center"/>
    </xf>
    <xf numFmtId="0" fontId="14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20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/>
    <xf numFmtId="165" fontId="0" fillId="0" borderId="4" xfId="0" applyNumberFormat="1" applyBorder="1" applyAlignment="1"/>
    <xf numFmtId="165" fontId="2" fillId="0" borderId="4" xfId="0" applyNumberFormat="1" applyFont="1" applyBorder="1" applyAlignmen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" fontId="1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4" xfId="0" applyNumberForma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18" fontId="0" fillId="0" borderId="4" xfId="0" applyNumberFormat="1" applyBorder="1" applyAlignment="1">
      <alignment horizontal="center"/>
    </xf>
    <xf numFmtId="15" fontId="0" fillId="0" borderId="17" xfId="0" applyNumberFormat="1" applyBorder="1"/>
    <xf numFmtId="0" fontId="21" fillId="2" borderId="0" xfId="0" applyFont="1" applyFill="1" applyAlignment="1">
      <alignment horizontal="left"/>
    </xf>
    <xf numFmtId="0" fontId="15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15" fillId="2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164" fontId="4" fillId="0" borderId="3" xfId="0" applyNumberFormat="1" applyFont="1" applyFill="1" applyBorder="1" applyAlignment="1"/>
    <xf numFmtId="0" fontId="18" fillId="5" borderId="0" xfId="0" applyFont="1" applyFill="1" applyAlignment="1">
      <alignment horizontal="center"/>
    </xf>
    <xf numFmtId="165" fontId="0" fillId="0" borderId="0" xfId="0" applyNumberFormat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8" fontId="0" fillId="15" borderId="0" xfId="0" applyNumberFormat="1" applyFill="1"/>
    <xf numFmtId="166" fontId="0" fillId="15" borderId="0" xfId="0" applyNumberFormat="1" applyFill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8" fontId="0" fillId="10" borderId="0" xfId="0" applyNumberFormat="1" applyFill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ill="1" applyAlignment="1"/>
    <xf numFmtId="165" fontId="2" fillId="0" borderId="0" xfId="0" applyNumberFormat="1" applyFont="1"/>
    <xf numFmtId="165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165" fontId="5" fillId="5" borderId="5" xfId="0" applyNumberFormat="1" applyFont="1" applyFill="1" applyBorder="1" applyAlignment="1">
      <alignment horizontal="center"/>
    </xf>
    <xf numFmtId="165" fontId="5" fillId="5" borderId="0" xfId="0" applyNumberFormat="1" applyFont="1" applyFill="1" applyAlignment="1">
      <alignment horizontal="center"/>
    </xf>
    <xf numFmtId="165" fontId="5" fillId="5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5" fontId="5" fillId="8" borderId="5" xfId="0" applyNumberFormat="1" applyFont="1" applyFill="1" applyBorder="1" applyAlignment="1">
      <alignment horizontal="center"/>
    </xf>
    <xf numFmtId="165" fontId="5" fillId="8" borderId="0" xfId="0" applyNumberFormat="1" applyFont="1" applyFill="1" applyAlignment="1">
      <alignment horizontal="center"/>
    </xf>
    <xf numFmtId="165" fontId="5" fillId="8" borderId="6" xfId="0" applyNumberFormat="1" applyFon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16" borderId="9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165" fontId="5" fillId="8" borderId="7" xfId="0" applyNumberFormat="1" applyFont="1" applyFill="1" applyBorder="1" applyAlignment="1">
      <alignment horizontal="center"/>
    </xf>
    <xf numFmtId="165" fontId="5" fillId="8" borderId="8" xfId="0" applyNumberFormat="1" applyFont="1" applyFill="1" applyBorder="1" applyAlignment="1">
      <alignment horizontal="center"/>
    </xf>
    <xf numFmtId="165" fontId="1" fillId="8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</xdr:colOff>
      <xdr:row>59</xdr:row>
      <xdr:rowOff>85725</xdr:rowOff>
    </xdr:from>
    <xdr:to>
      <xdr:col>12</xdr:col>
      <xdr:colOff>238123</xdr:colOff>
      <xdr:row>62</xdr:row>
      <xdr:rowOff>133353</xdr:rowOff>
    </xdr:to>
    <xdr:sp macro="" textlink="">
      <xdr:nvSpPr>
        <xdr:cNvPr id="3" name="2 Flecha curvada hacia abajo"/>
        <xdr:cNvSpPr/>
      </xdr:nvSpPr>
      <xdr:spPr>
        <a:xfrm rot="5400000">
          <a:off x="10106022" y="12201527"/>
          <a:ext cx="647703" cy="209549"/>
        </a:xfrm>
        <a:prstGeom prst="curvedDownArrow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12</xdr:col>
      <xdr:colOff>28575</xdr:colOff>
      <xdr:row>64</xdr:row>
      <xdr:rowOff>47625</xdr:rowOff>
    </xdr:from>
    <xdr:to>
      <xdr:col>12</xdr:col>
      <xdr:colOff>171450</xdr:colOff>
      <xdr:row>65</xdr:row>
      <xdr:rowOff>133351</xdr:rowOff>
    </xdr:to>
    <xdr:sp macro="" textlink="">
      <xdr:nvSpPr>
        <xdr:cNvPr id="4" name="3 Flecha curvada hacia abajo"/>
        <xdr:cNvSpPr/>
      </xdr:nvSpPr>
      <xdr:spPr>
        <a:xfrm rot="5400000">
          <a:off x="10253662" y="13015913"/>
          <a:ext cx="285751" cy="142875"/>
        </a:xfrm>
        <a:prstGeom prst="curvedDownArrow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9</xdr:col>
      <xdr:colOff>28576</xdr:colOff>
      <xdr:row>92</xdr:row>
      <xdr:rowOff>66675</xdr:rowOff>
    </xdr:from>
    <xdr:to>
      <xdr:col>9</xdr:col>
      <xdr:colOff>161926</xdr:colOff>
      <xdr:row>93</xdr:row>
      <xdr:rowOff>133350</xdr:rowOff>
    </xdr:to>
    <xdr:sp macro="" textlink="">
      <xdr:nvSpPr>
        <xdr:cNvPr id="5" name="4 Flecha curvada hacia arriba"/>
        <xdr:cNvSpPr/>
      </xdr:nvSpPr>
      <xdr:spPr>
        <a:xfrm rot="16200000">
          <a:off x="8610601" y="18659475"/>
          <a:ext cx="266700" cy="133350"/>
        </a:xfrm>
        <a:prstGeom prst="curvedUpArrow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42862</xdr:colOff>
      <xdr:row>192</xdr:row>
      <xdr:rowOff>52388</xdr:rowOff>
    </xdr:from>
    <xdr:to>
      <xdr:col>8</xdr:col>
      <xdr:colOff>223837</xdr:colOff>
      <xdr:row>193</xdr:row>
      <xdr:rowOff>195263</xdr:rowOff>
    </xdr:to>
    <xdr:sp macro="" textlink="">
      <xdr:nvSpPr>
        <xdr:cNvPr id="6" name="5 Flecha curvada hacia arriba"/>
        <xdr:cNvSpPr/>
      </xdr:nvSpPr>
      <xdr:spPr>
        <a:xfrm rot="16200000">
          <a:off x="7762875" y="38719125"/>
          <a:ext cx="342900" cy="180975"/>
        </a:xfrm>
        <a:prstGeom prst="curvedUpArrow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333376</xdr:colOff>
      <xdr:row>74</xdr:row>
      <xdr:rowOff>190500</xdr:rowOff>
    </xdr:from>
    <xdr:to>
      <xdr:col>11</xdr:col>
      <xdr:colOff>914400</xdr:colOff>
      <xdr:row>93</xdr:row>
      <xdr:rowOff>95249</xdr:rowOff>
    </xdr:to>
    <xdr:sp macro="" textlink="">
      <xdr:nvSpPr>
        <xdr:cNvPr id="52" name="51 Flecha doblada"/>
        <xdr:cNvSpPr/>
      </xdr:nvSpPr>
      <xdr:spPr>
        <a:xfrm>
          <a:off x="10601326" y="15087600"/>
          <a:ext cx="581024" cy="3733799"/>
        </a:xfrm>
        <a:prstGeom prst="bentArrow">
          <a:avLst>
            <a:gd name="adj1" fmla="val 4710"/>
            <a:gd name="adj2" fmla="val 17754"/>
            <a:gd name="adj3" fmla="val 23188"/>
            <a:gd name="adj4" fmla="val 4085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133351</xdr:colOff>
      <xdr:row>48</xdr:row>
      <xdr:rowOff>152399</xdr:rowOff>
    </xdr:from>
    <xdr:to>
      <xdr:col>11</xdr:col>
      <xdr:colOff>847726</xdr:colOff>
      <xdr:row>51</xdr:row>
      <xdr:rowOff>114299</xdr:rowOff>
    </xdr:to>
    <xdr:cxnSp macro="">
      <xdr:nvCxnSpPr>
        <xdr:cNvPr id="4" name="3 Conector angular"/>
        <xdr:cNvCxnSpPr/>
      </xdr:nvCxnSpPr>
      <xdr:spPr>
        <a:xfrm rot="10800000" flipV="1">
          <a:off x="10201276" y="9848849"/>
          <a:ext cx="714375" cy="561975"/>
        </a:xfrm>
        <a:prstGeom prst="bentConnector3">
          <a:avLst>
            <a:gd name="adj1" fmla="val 50000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50</xdr:row>
      <xdr:rowOff>152399</xdr:rowOff>
    </xdr:from>
    <xdr:to>
      <xdr:col>12</xdr:col>
      <xdr:colOff>9525</xdr:colOff>
      <xdr:row>54</xdr:row>
      <xdr:rowOff>85724</xdr:rowOff>
    </xdr:to>
    <xdr:cxnSp macro="">
      <xdr:nvCxnSpPr>
        <xdr:cNvPr id="5" name="4 Conector angular"/>
        <xdr:cNvCxnSpPr/>
      </xdr:nvCxnSpPr>
      <xdr:spPr>
        <a:xfrm rot="10800000" flipV="1">
          <a:off x="10267950" y="10248899"/>
          <a:ext cx="742950" cy="733425"/>
        </a:xfrm>
        <a:prstGeom prst="bentConnector3">
          <a:avLst>
            <a:gd name="adj1" fmla="val 50000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93</xdr:row>
      <xdr:rowOff>95250</xdr:rowOff>
    </xdr:from>
    <xdr:to>
      <xdr:col>11</xdr:col>
      <xdr:colOff>800100</xdr:colOff>
      <xdr:row>93</xdr:row>
      <xdr:rowOff>96838</xdr:rowOff>
    </xdr:to>
    <xdr:cxnSp macro="">
      <xdr:nvCxnSpPr>
        <xdr:cNvPr id="7" name="6 Conector recto de flecha"/>
        <xdr:cNvCxnSpPr/>
      </xdr:nvCxnSpPr>
      <xdr:spPr>
        <a:xfrm>
          <a:off x="10344150" y="18821400"/>
          <a:ext cx="657225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400052</xdr:colOff>
      <xdr:row>90</xdr:row>
      <xdr:rowOff>9525</xdr:rowOff>
    </xdr:from>
    <xdr:to>
      <xdr:col>11</xdr:col>
      <xdr:colOff>419099</xdr:colOff>
      <xdr:row>109</xdr:row>
      <xdr:rowOff>190499</xdr:rowOff>
    </xdr:to>
    <xdr:cxnSp macro="">
      <xdr:nvCxnSpPr>
        <xdr:cNvPr id="8" name="7 Conector recto de flecha"/>
        <xdr:cNvCxnSpPr/>
      </xdr:nvCxnSpPr>
      <xdr:spPr>
        <a:xfrm rot="16200000" flipH="1">
          <a:off x="8682039" y="20112038"/>
          <a:ext cx="3990974" cy="1904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419103</xdr:colOff>
      <xdr:row>110</xdr:row>
      <xdr:rowOff>200023</xdr:rowOff>
    </xdr:from>
    <xdr:to>
      <xdr:col>11</xdr:col>
      <xdr:colOff>428630</xdr:colOff>
      <xdr:row>120</xdr:row>
      <xdr:rowOff>38101</xdr:rowOff>
    </xdr:to>
    <xdr:cxnSp macro="">
      <xdr:nvCxnSpPr>
        <xdr:cNvPr id="12" name="11 Conector recto de flecha"/>
        <xdr:cNvCxnSpPr/>
      </xdr:nvCxnSpPr>
      <xdr:spPr>
        <a:xfrm rot="5400000">
          <a:off x="9963153" y="23240998"/>
          <a:ext cx="1838328" cy="952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66676</xdr:colOff>
      <xdr:row>145</xdr:row>
      <xdr:rowOff>95249</xdr:rowOff>
    </xdr:from>
    <xdr:to>
      <xdr:col>11</xdr:col>
      <xdr:colOff>819151</xdr:colOff>
      <xdr:row>146</xdr:row>
      <xdr:rowOff>114299</xdr:rowOff>
    </xdr:to>
    <xdr:cxnSp macro="">
      <xdr:nvCxnSpPr>
        <xdr:cNvPr id="14" name="13 Conector angular"/>
        <xdr:cNvCxnSpPr/>
      </xdr:nvCxnSpPr>
      <xdr:spPr>
        <a:xfrm rot="10800000" flipV="1">
          <a:off x="10448926" y="29251274"/>
          <a:ext cx="752475" cy="219075"/>
        </a:xfrm>
        <a:prstGeom prst="bentConnector3">
          <a:avLst>
            <a:gd name="adj1" fmla="val 50000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143</xdr:row>
      <xdr:rowOff>114299</xdr:rowOff>
    </xdr:from>
    <xdr:to>
      <xdr:col>11</xdr:col>
      <xdr:colOff>800102</xdr:colOff>
      <xdr:row>144</xdr:row>
      <xdr:rowOff>114300</xdr:rowOff>
    </xdr:to>
    <xdr:cxnSp macro="">
      <xdr:nvCxnSpPr>
        <xdr:cNvPr id="16" name="15 Conector angular"/>
        <xdr:cNvCxnSpPr/>
      </xdr:nvCxnSpPr>
      <xdr:spPr>
        <a:xfrm rot="10800000" flipV="1">
          <a:off x="10420350" y="28870274"/>
          <a:ext cx="762002" cy="200026"/>
        </a:xfrm>
        <a:prstGeom prst="bentConnector3">
          <a:avLst>
            <a:gd name="adj1" fmla="val 50000"/>
          </a:avLst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123826</xdr:colOff>
      <xdr:row>193</xdr:row>
      <xdr:rowOff>114300</xdr:rowOff>
    </xdr:from>
    <xdr:to>
      <xdr:col>11</xdr:col>
      <xdr:colOff>838201</xdr:colOff>
      <xdr:row>196</xdr:row>
      <xdr:rowOff>104775</xdr:rowOff>
    </xdr:to>
    <xdr:cxnSp macro="">
      <xdr:nvCxnSpPr>
        <xdr:cNvPr id="11" name="10 Conector angular"/>
        <xdr:cNvCxnSpPr/>
      </xdr:nvCxnSpPr>
      <xdr:spPr>
        <a:xfrm rot="10800000" flipV="1">
          <a:off x="10582276" y="38900100"/>
          <a:ext cx="714375" cy="590550"/>
        </a:xfrm>
        <a:prstGeom prst="bentConnector3">
          <a:avLst>
            <a:gd name="adj1" fmla="val 50000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438150</xdr:colOff>
      <xdr:row>208</xdr:row>
      <xdr:rowOff>76199</xdr:rowOff>
    </xdr:from>
    <xdr:to>
      <xdr:col>11</xdr:col>
      <xdr:colOff>447675</xdr:colOff>
      <xdr:row>216</xdr:row>
      <xdr:rowOff>104774</xdr:rowOff>
    </xdr:to>
    <xdr:cxnSp macro="">
      <xdr:nvCxnSpPr>
        <xdr:cNvPr id="15" name="14 Conector recto"/>
        <xdr:cNvCxnSpPr/>
      </xdr:nvCxnSpPr>
      <xdr:spPr>
        <a:xfrm rot="16200000" flipH="1">
          <a:off x="10086975" y="42671999"/>
          <a:ext cx="16287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438150</xdr:colOff>
      <xdr:row>208</xdr:row>
      <xdr:rowOff>95250</xdr:rowOff>
    </xdr:from>
    <xdr:to>
      <xdr:col>11</xdr:col>
      <xdr:colOff>809625</xdr:colOff>
      <xdr:row>208</xdr:row>
      <xdr:rowOff>96838</xdr:rowOff>
    </xdr:to>
    <xdr:cxnSp macro="">
      <xdr:nvCxnSpPr>
        <xdr:cNvPr id="18" name="17 Conector recto de flecha"/>
        <xdr:cNvCxnSpPr/>
      </xdr:nvCxnSpPr>
      <xdr:spPr>
        <a:xfrm>
          <a:off x="10896600" y="41881425"/>
          <a:ext cx="371475" cy="1588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85726</xdr:colOff>
      <xdr:row>193</xdr:row>
      <xdr:rowOff>104775</xdr:rowOff>
    </xdr:from>
    <xdr:to>
      <xdr:col>11</xdr:col>
      <xdr:colOff>571501</xdr:colOff>
      <xdr:row>194</xdr:row>
      <xdr:rowOff>133350</xdr:rowOff>
    </xdr:to>
    <xdr:cxnSp macro="">
      <xdr:nvCxnSpPr>
        <xdr:cNvPr id="17" name="16 Conector angular"/>
        <xdr:cNvCxnSpPr/>
      </xdr:nvCxnSpPr>
      <xdr:spPr>
        <a:xfrm rot="10800000" flipV="1">
          <a:off x="10544176" y="38890575"/>
          <a:ext cx="485775" cy="2286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257176</xdr:colOff>
      <xdr:row>65</xdr:row>
      <xdr:rowOff>104776</xdr:rowOff>
    </xdr:from>
    <xdr:to>
      <xdr:col>9</xdr:col>
      <xdr:colOff>590553</xdr:colOff>
      <xdr:row>66</xdr:row>
      <xdr:rowOff>66674</xdr:rowOff>
    </xdr:to>
    <xdr:cxnSp macro="">
      <xdr:nvCxnSpPr>
        <xdr:cNvPr id="3" name="2 Conector angular"/>
        <xdr:cNvCxnSpPr/>
      </xdr:nvCxnSpPr>
      <xdr:spPr>
        <a:xfrm rot="10800000" flipV="1">
          <a:off x="8134351" y="13182601"/>
          <a:ext cx="333377" cy="161923"/>
        </a:xfrm>
        <a:prstGeom prst="bentConnector3">
          <a:avLst>
            <a:gd name="adj1" fmla="val 50000"/>
          </a:avLst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127</xdr:row>
      <xdr:rowOff>104775</xdr:rowOff>
    </xdr:from>
    <xdr:to>
      <xdr:col>9</xdr:col>
      <xdr:colOff>685800</xdr:colOff>
      <xdr:row>127</xdr:row>
      <xdr:rowOff>106363</xdr:rowOff>
    </xdr:to>
    <xdr:cxnSp macro="">
      <xdr:nvCxnSpPr>
        <xdr:cNvPr id="10" name="9 Conector recto de flecha"/>
        <xdr:cNvCxnSpPr/>
      </xdr:nvCxnSpPr>
      <xdr:spPr>
        <a:xfrm>
          <a:off x="8229600" y="25660350"/>
          <a:ext cx="333375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85730</xdr:colOff>
      <xdr:row>130</xdr:row>
      <xdr:rowOff>95255</xdr:rowOff>
    </xdr:from>
    <xdr:to>
      <xdr:col>9</xdr:col>
      <xdr:colOff>342901</xdr:colOff>
      <xdr:row>130</xdr:row>
      <xdr:rowOff>104776</xdr:rowOff>
    </xdr:to>
    <xdr:cxnSp macro="">
      <xdr:nvCxnSpPr>
        <xdr:cNvPr id="12" name="11 Conector recto de flecha"/>
        <xdr:cNvCxnSpPr/>
      </xdr:nvCxnSpPr>
      <xdr:spPr>
        <a:xfrm rot="10800000">
          <a:off x="7962905" y="26250905"/>
          <a:ext cx="257171" cy="9521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127</xdr:row>
      <xdr:rowOff>114301</xdr:rowOff>
    </xdr:from>
    <xdr:to>
      <xdr:col>9</xdr:col>
      <xdr:colOff>352425</xdr:colOff>
      <xdr:row>130</xdr:row>
      <xdr:rowOff>104776</xdr:rowOff>
    </xdr:to>
    <xdr:cxnSp macro="">
      <xdr:nvCxnSpPr>
        <xdr:cNvPr id="17" name="16 Conector recto"/>
        <xdr:cNvCxnSpPr/>
      </xdr:nvCxnSpPr>
      <xdr:spPr>
        <a:xfrm rot="5400000">
          <a:off x="7929563" y="25960388"/>
          <a:ext cx="590550" cy="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171451</xdr:colOff>
      <xdr:row>293</xdr:row>
      <xdr:rowOff>95250</xdr:rowOff>
    </xdr:from>
    <xdr:to>
      <xdr:col>9</xdr:col>
      <xdr:colOff>638176</xdr:colOff>
      <xdr:row>294</xdr:row>
      <xdr:rowOff>142875</xdr:rowOff>
    </xdr:to>
    <xdr:cxnSp macro="">
      <xdr:nvCxnSpPr>
        <xdr:cNvPr id="7" name="6 Conector angular"/>
        <xdr:cNvCxnSpPr/>
      </xdr:nvCxnSpPr>
      <xdr:spPr>
        <a:xfrm rot="10800000" flipV="1">
          <a:off x="8048626" y="59007375"/>
          <a:ext cx="466725" cy="247650"/>
        </a:xfrm>
        <a:prstGeom prst="bentConnector3">
          <a:avLst>
            <a:gd name="adj1" fmla="val 50000"/>
          </a:avLst>
        </a:prstGeom>
        <a:ln w="28575">
          <a:headEnd type="arrow"/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276225</xdr:colOff>
      <xdr:row>287</xdr:row>
      <xdr:rowOff>133350</xdr:rowOff>
    </xdr:from>
    <xdr:to>
      <xdr:col>8</xdr:col>
      <xdr:colOff>295275</xdr:colOff>
      <xdr:row>324</xdr:row>
      <xdr:rowOff>133350</xdr:rowOff>
    </xdr:to>
    <xdr:cxnSp macro="">
      <xdr:nvCxnSpPr>
        <xdr:cNvPr id="9" name="8 Conector recto"/>
        <xdr:cNvCxnSpPr/>
      </xdr:nvCxnSpPr>
      <xdr:spPr>
        <a:xfrm rot="5400000">
          <a:off x="3409950" y="61550550"/>
          <a:ext cx="7429500" cy="190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38101</xdr:colOff>
      <xdr:row>324</xdr:row>
      <xdr:rowOff>123824</xdr:rowOff>
    </xdr:from>
    <xdr:to>
      <xdr:col>8</xdr:col>
      <xdr:colOff>276226</xdr:colOff>
      <xdr:row>324</xdr:row>
      <xdr:rowOff>133349</xdr:rowOff>
    </xdr:to>
    <xdr:cxnSp macro="">
      <xdr:nvCxnSpPr>
        <xdr:cNvPr id="13" name="12 Conector recto de flecha"/>
        <xdr:cNvCxnSpPr/>
      </xdr:nvCxnSpPr>
      <xdr:spPr>
        <a:xfrm rot="10800000" flipV="1">
          <a:off x="6877051" y="65265299"/>
          <a:ext cx="2381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287</xdr:row>
      <xdr:rowOff>142875</xdr:rowOff>
    </xdr:from>
    <xdr:to>
      <xdr:col>8</xdr:col>
      <xdr:colOff>533400</xdr:colOff>
      <xdr:row>287</xdr:row>
      <xdr:rowOff>144463</xdr:rowOff>
    </xdr:to>
    <xdr:cxnSp macro="">
      <xdr:nvCxnSpPr>
        <xdr:cNvPr id="15" name="14 Conector recto de flecha"/>
        <xdr:cNvCxnSpPr/>
      </xdr:nvCxnSpPr>
      <xdr:spPr>
        <a:xfrm>
          <a:off x="7134225" y="57854850"/>
          <a:ext cx="238125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323057</xdr:colOff>
      <xdr:row>5</xdr:row>
      <xdr:rowOff>133353</xdr:rowOff>
    </xdr:from>
    <xdr:to>
      <xdr:col>10</xdr:col>
      <xdr:colOff>333375</xdr:colOff>
      <xdr:row>14</xdr:row>
      <xdr:rowOff>134146</xdr:rowOff>
    </xdr:to>
    <xdr:cxnSp macro="">
      <xdr:nvCxnSpPr>
        <xdr:cNvPr id="20" name="19 Conector recto"/>
        <xdr:cNvCxnSpPr/>
      </xdr:nvCxnSpPr>
      <xdr:spPr>
        <a:xfrm rot="5400000">
          <a:off x="8190707" y="2085978"/>
          <a:ext cx="1801018" cy="1031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9528</xdr:colOff>
      <xdr:row>14</xdr:row>
      <xdr:rowOff>123828</xdr:rowOff>
    </xdr:from>
    <xdr:to>
      <xdr:col>10</xdr:col>
      <xdr:colOff>323851</xdr:colOff>
      <xdr:row>14</xdr:row>
      <xdr:rowOff>133350</xdr:rowOff>
    </xdr:to>
    <xdr:cxnSp macro="">
      <xdr:nvCxnSpPr>
        <xdr:cNvPr id="30" name="29 Conector recto de flecha"/>
        <xdr:cNvCxnSpPr/>
      </xdr:nvCxnSpPr>
      <xdr:spPr>
        <a:xfrm rot="10800000">
          <a:off x="8772528" y="2981328"/>
          <a:ext cx="314323" cy="952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5</xdr:row>
      <xdr:rowOff>133353</xdr:rowOff>
    </xdr:from>
    <xdr:to>
      <xdr:col>10</xdr:col>
      <xdr:colOff>647850</xdr:colOff>
      <xdr:row>5</xdr:row>
      <xdr:rowOff>133353</xdr:rowOff>
    </xdr:to>
    <xdr:cxnSp macro="">
      <xdr:nvCxnSpPr>
        <xdr:cNvPr id="31" name="30 Conector recto de flecha"/>
        <xdr:cNvCxnSpPr/>
      </xdr:nvCxnSpPr>
      <xdr:spPr>
        <a:xfrm>
          <a:off x="9086850" y="1190628"/>
          <a:ext cx="324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10</xdr:row>
      <xdr:rowOff>76996</xdr:rowOff>
    </xdr:from>
    <xdr:to>
      <xdr:col>10</xdr:col>
      <xdr:colOff>477045</xdr:colOff>
      <xdr:row>15</xdr:row>
      <xdr:rowOff>85729</xdr:rowOff>
    </xdr:to>
    <xdr:cxnSp macro="">
      <xdr:nvCxnSpPr>
        <xdr:cNvPr id="38" name="37 Conector recto"/>
        <xdr:cNvCxnSpPr/>
      </xdr:nvCxnSpPr>
      <xdr:spPr>
        <a:xfrm rot="5400000">
          <a:off x="8735219" y="2638427"/>
          <a:ext cx="1008858" cy="79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123826</xdr:colOff>
      <xdr:row>15</xdr:row>
      <xdr:rowOff>85725</xdr:rowOff>
    </xdr:from>
    <xdr:to>
      <xdr:col>10</xdr:col>
      <xdr:colOff>476251</xdr:colOff>
      <xdr:row>15</xdr:row>
      <xdr:rowOff>87313</xdr:rowOff>
    </xdr:to>
    <xdr:cxnSp macro="">
      <xdr:nvCxnSpPr>
        <xdr:cNvPr id="40" name="39 Conector recto de flecha"/>
        <xdr:cNvCxnSpPr/>
      </xdr:nvCxnSpPr>
      <xdr:spPr>
        <a:xfrm rot="10800000">
          <a:off x="8886826" y="3143250"/>
          <a:ext cx="352425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466725</xdr:colOff>
      <xdr:row>10</xdr:row>
      <xdr:rowOff>85725</xdr:rowOff>
    </xdr:from>
    <xdr:to>
      <xdr:col>10</xdr:col>
      <xdr:colOff>695325</xdr:colOff>
      <xdr:row>10</xdr:row>
      <xdr:rowOff>104775</xdr:rowOff>
    </xdr:to>
    <xdr:cxnSp macro="">
      <xdr:nvCxnSpPr>
        <xdr:cNvPr id="41" name="40 Conector recto de flecha"/>
        <xdr:cNvCxnSpPr/>
      </xdr:nvCxnSpPr>
      <xdr:spPr>
        <a:xfrm>
          <a:off x="9229725" y="2143125"/>
          <a:ext cx="228600" cy="190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5</xdr:row>
      <xdr:rowOff>123826</xdr:rowOff>
    </xdr:from>
    <xdr:to>
      <xdr:col>10</xdr:col>
      <xdr:colOff>238125</xdr:colOff>
      <xdr:row>19</xdr:row>
      <xdr:rowOff>142876</xdr:rowOff>
    </xdr:to>
    <xdr:cxnSp macro="">
      <xdr:nvCxnSpPr>
        <xdr:cNvPr id="9" name="8 Conector recto"/>
        <xdr:cNvCxnSpPr/>
      </xdr:nvCxnSpPr>
      <xdr:spPr>
        <a:xfrm rot="5400000">
          <a:off x="7586663" y="2586038"/>
          <a:ext cx="2819400" cy="952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19</xdr:row>
      <xdr:rowOff>133350</xdr:rowOff>
    </xdr:from>
    <xdr:to>
      <xdr:col>10</xdr:col>
      <xdr:colOff>666750</xdr:colOff>
      <xdr:row>19</xdr:row>
      <xdr:rowOff>134938</xdr:rowOff>
    </xdr:to>
    <xdr:cxnSp macro="">
      <xdr:nvCxnSpPr>
        <xdr:cNvPr id="11" name="10 Conector recto de flecha"/>
        <xdr:cNvCxnSpPr/>
      </xdr:nvCxnSpPr>
      <xdr:spPr>
        <a:xfrm>
          <a:off x="9001125" y="3990975"/>
          <a:ext cx="428625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5</xdr:row>
      <xdr:rowOff>125413</xdr:rowOff>
    </xdr:from>
    <xdr:to>
      <xdr:col>10</xdr:col>
      <xdr:colOff>247652</xdr:colOff>
      <xdr:row>5</xdr:row>
      <xdr:rowOff>142875</xdr:rowOff>
    </xdr:to>
    <xdr:cxnSp macro="">
      <xdr:nvCxnSpPr>
        <xdr:cNvPr id="13" name="12 Conector recto de flecha"/>
        <xdr:cNvCxnSpPr/>
      </xdr:nvCxnSpPr>
      <xdr:spPr>
        <a:xfrm rot="10800000" flipV="1">
          <a:off x="8782050" y="1182688"/>
          <a:ext cx="228602" cy="1746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651723</xdr:colOff>
      <xdr:row>9</xdr:row>
      <xdr:rowOff>76200</xdr:rowOff>
    </xdr:from>
    <xdr:to>
      <xdr:col>10</xdr:col>
      <xdr:colOff>733425</xdr:colOff>
      <xdr:row>10</xdr:row>
      <xdr:rowOff>112605</xdr:rowOff>
    </xdr:to>
    <xdr:sp macro="" textlink="">
      <xdr:nvSpPr>
        <xdr:cNvPr id="16" name="15 Flecha curvada hacia arriba"/>
        <xdr:cNvSpPr/>
      </xdr:nvSpPr>
      <xdr:spPr>
        <a:xfrm rot="5400000">
          <a:off x="9337359" y="2010939"/>
          <a:ext cx="236430" cy="81702"/>
        </a:xfrm>
        <a:prstGeom prst="curved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85725</xdr:colOff>
      <xdr:row>21</xdr:row>
      <xdr:rowOff>95250</xdr:rowOff>
    </xdr:from>
    <xdr:to>
      <xdr:col>10</xdr:col>
      <xdr:colOff>733425</xdr:colOff>
      <xdr:row>23</xdr:row>
      <xdr:rowOff>104775</xdr:rowOff>
    </xdr:to>
    <xdr:cxnSp macro="">
      <xdr:nvCxnSpPr>
        <xdr:cNvPr id="17" name="16 Conector angular"/>
        <xdr:cNvCxnSpPr/>
      </xdr:nvCxnSpPr>
      <xdr:spPr>
        <a:xfrm>
          <a:off x="8848725" y="4352925"/>
          <a:ext cx="647700" cy="409575"/>
        </a:xfrm>
        <a:prstGeom prst="bentConnector3">
          <a:avLst>
            <a:gd name="adj1" fmla="val 50000"/>
          </a:avLst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257175</xdr:colOff>
      <xdr:row>26</xdr:row>
      <xdr:rowOff>104774</xdr:rowOff>
    </xdr:from>
    <xdr:to>
      <xdr:col>10</xdr:col>
      <xdr:colOff>657225</xdr:colOff>
      <xdr:row>27</xdr:row>
      <xdr:rowOff>104774</xdr:rowOff>
    </xdr:to>
    <xdr:cxnSp macro="">
      <xdr:nvCxnSpPr>
        <xdr:cNvPr id="15" name="14 Conector angular"/>
        <xdr:cNvCxnSpPr/>
      </xdr:nvCxnSpPr>
      <xdr:spPr>
        <a:xfrm rot="10800000" flipV="1">
          <a:off x="9020175" y="5362574"/>
          <a:ext cx="400050" cy="200025"/>
        </a:xfrm>
        <a:prstGeom prst="bentConnector3">
          <a:avLst>
            <a:gd name="adj1" fmla="val 50000"/>
          </a:avLst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44</xdr:row>
      <xdr:rowOff>85726</xdr:rowOff>
    </xdr:from>
    <xdr:to>
      <xdr:col>10</xdr:col>
      <xdr:colOff>590550</xdr:colOff>
      <xdr:row>45</xdr:row>
      <xdr:rowOff>104776</xdr:rowOff>
    </xdr:to>
    <xdr:cxnSp macro="">
      <xdr:nvCxnSpPr>
        <xdr:cNvPr id="18" name="17 Conector angular"/>
        <xdr:cNvCxnSpPr/>
      </xdr:nvCxnSpPr>
      <xdr:spPr>
        <a:xfrm rot="10800000">
          <a:off x="9258300" y="8991601"/>
          <a:ext cx="495300" cy="219075"/>
        </a:xfrm>
        <a:prstGeom prst="bentConnector3">
          <a:avLst>
            <a:gd name="adj1" fmla="val 50000"/>
          </a:avLst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180975</xdr:colOff>
      <xdr:row>48</xdr:row>
      <xdr:rowOff>66674</xdr:rowOff>
    </xdr:from>
    <xdr:to>
      <xdr:col>10</xdr:col>
      <xdr:colOff>600075</xdr:colOff>
      <xdr:row>49</xdr:row>
      <xdr:rowOff>123824</xdr:rowOff>
    </xdr:to>
    <xdr:cxnSp macro="">
      <xdr:nvCxnSpPr>
        <xdr:cNvPr id="21" name="20 Conector angular"/>
        <xdr:cNvCxnSpPr/>
      </xdr:nvCxnSpPr>
      <xdr:spPr>
        <a:xfrm rot="10800000" flipV="1">
          <a:off x="9344025" y="9772649"/>
          <a:ext cx="419100" cy="257175"/>
        </a:xfrm>
        <a:prstGeom prst="bentConnector3">
          <a:avLst>
            <a:gd name="adj1" fmla="val 50000"/>
          </a:avLst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361952</xdr:colOff>
      <xdr:row>70</xdr:row>
      <xdr:rowOff>104777</xdr:rowOff>
    </xdr:from>
    <xdr:to>
      <xdr:col>10</xdr:col>
      <xdr:colOff>371476</xdr:colOff>
      <xdr:row>88</xdr:row>
      <xdr:rowOff>47625</xdr:rowOff>
    </xdr:to>
    <xdr:cxnSp macro="">
      <xdr:nvCxnSpPr>
        <xdr:cNvPr id="29" name="28 Conector recto"/>
        <xdr:cNvCxnSpPr/>
      </xdr:nvCxnSpPr>
      <xdr:spPr>
        <a:xfrm rot="5400000">
          <a:off x="7734302" y="16002002"/>
          <a:ext cx="3590923" cy="952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104776</xdr:colOff>
      <xdr:row>70</xdr:row>
      <xdr:rowOff>104775</xdr:rowOff>
    </xdr:from>
    <xdr:to>
      <xdr:col>10</xdr:col>
      <xdr:colOff>361951</xdr:colOff>
      <xdr:row>70</xdr:row>
      <xdr:rowOff>106363</xdr:rowOff>
    </xdr:to>
    <xdr:cxnSp macro="">
      <xdr:nvCxnSpPr>
        <xdr:cNvPr id="33" name="32 Conector recto de flecha"/>
        <xdr:cNvCxnSpPr/>
      </xdr:nvCxnSpPr>
      <xdr:spPr>
        <a:xfrm rot="10800000">
          <a:off x="9267826" y="14211300"/>
          <a:ext cx="257175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352425</xdr:colOff>
      <xdr:row>88</xdr:row>
      <xdr:rowOff>57150</xdr:rowOff>
    </xdr:from>
    <xdr:to>
      <xdr:col>10</xdr:col>
      <xdr:colOff>647700</xdr:colOff>
      <xdr:row>88</xdr:row>
      <xdr:rowOff>58738</xdr:rowOff>
    </xdr:to>
    <xdr:cxnSp macro="">
      <xdr:nvCxnSpPr>
        <xdr:cNvPr id="37" name="36 Conector recto de flecha"/>
        <xdr:cNvCxnSpPr/>
      </xdr:nvCxnSpPr>
      <xdr:spPr>
        <a:xfrm>
          <a:off x="9515475" y="17811750"/>
          <a:ext cx="295275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171451</xdr:colOff>
      <xdr:row>96</xdr:row>
      <xdr:rowOff>114301</xdr:rowOff>
    </xdr:from>
    <xdr:to>
      <xdr:col>10</xdr:col>
      <xdr:colOff>561976</xdr:colOff>
      <xdr:row>97</xdr:row>
      <xdr:rowOff>114301</xdr:rowOff>
    </xdr:to>
    <xdr:cxnSp macro="">
      <xdr:nvCxnSpPr>
        <xdr:cNvPr id="22" name="21 Conector angular"/>
        <xdr:cNvCxnSpPr/>
      </xdr:nvCxnSpPr>
      <xdr:spPr>
        <a:xfrm rot="10800000">
          <a:off x="9334501" y="19469101"/>
          <a:ext cx="390525" cy="200025"/>
        </a:xfrm>
        <a:prstGeom prst="bentConnector3">
          <a:avLst>
            <a:gd name="adj1" fmla="val 50000"/>
          </a:avLst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103</xdr:row>
      <xdr:rowOff>104775</xdr:rowOff>
    </xdr:from>
    <xdr:to>
      <xdr:col>10</xdr:col>
      <xdr:colOff>685800</xdr:colOff>
      <xdr:row>103</xdr:row>
      <xdr:rowOff>115888</xdr:rowOff>
    </xdr:to>
    <xdr:cxnSp macro="">
      <xdr:nvCxnSpPr>
        <xdr:cNvPr id="52" name="51 Conector recto de flecha"/>
        <xdr:cNvCxnSpPr/>
      </xdr:nvCxnSpPr>
      <xdr:spPr>
        <a:xfrm>
          <a:off x="9505950" y="20859750"/>
          <a:ext cx="342900" cy="11113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47628</xdr:colOff>
      <xdr:row>108</xdr:row>
      <xdr:rowOff>114300</xdr:rowOff>
    </xdr:from>
    <xdr:to>
      <xdr:col>10</xdr:col>
      <xdr:colOff>400051</xdr:colOff>
      <xdr:row>108</xdr:row>
      <xdr:rowOff>114302</xdr:rowOff>
    </xdr:to>
    <xdr:cxnSp macro="">
      <xdr:nvCxnSpPr>
        <xdr:cNvPr id="54" name="53 Conector recto de flecha"/>
        <xdr:cNvCxnSpPr/>
      </xdr:nvCxnSpPr>
      <xdr:spPr>
        <a:xfrm rot="10800000" flipV="1">
          <a:off x="9210678" y="21869400"/>
          <a:ext cx="352423" cy="2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361950</xdr:colOff>
      <xdr:row>103</xdr:row>
      <xdr:rowOff>114303</xdr:rowOff>
    </xdr:from>
    <xdr:to>
      <xdr:col>10</xdr:col>
      <xdr:colOff>370682</xdr:colOff>
      <xdr:row>108</xdr:row>
      <xdr:rowOff>105568</xdr:rowOff>
    </xdr:to>
    <xdr:cxnSp macro="">
      <xdr:nvCxnSpPr>
        <xdr:cNvPr id="58" name="57 Conector recto"/>
        <xdr:cNvCxnSpPr/>
      </xdr:nvCxnSpPr>
      <xdr:spPr>
        <a:xfrm rot="16200000" flipH="1">
          <a:off x="9033671" y="21360607"/>
          <a:ext cx="991390" cy="873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126</xdr:row>
      <xdr:rowOff>104775</xdr:rowOff>
    </xdr:from>
    <xdr:to>
      <xdr:col>10</xdr:col>
      <xdr:colOff>676275</xdr:colOff>
      <xdr:row>126</xdr:row>
      <xdr:rowOff>106363</xdr:rowOff>
    </xdr:to>
    <xdr:cxnSp macro="">
      <xdr:nvCxnSpPr>
        <xdr:cNvPr id="32" name="31 Conector recto de flecha"/>
        <xdr:cNvCxnSpPr/>
      </xdr:nvCxnSpPr>
      <xdr:spPr>
        <a:xfrm>
          <a:off x="9477375" y="25507950"/>
          <a:ext cx="361950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313532</xdr:colOff>
      <xdr:row>126</xdr:row>
      <xdr:rowOff>105568</xdr:rowOff>
    </xdr:from>
    <xdr:to>
      <xdr:col>10</xdr:col>
      <xdr:colOff>315120</xdr:colOff>
      <xdr:row>130</xdr:row>
      <xdr:rowOff>57943</xdr:rowOff>
    </xdr:to>
    <xdr:cxnSp macro="">
      <xdr:nvCxnSpPr>
        <xdr:cNvPr id="35" name="34 Conector recto"/>
        <xdr:cNvCxnSpPr/>
      </xdr:nvCxnSpPr>
      <xdr:spPr>
        <a:xfrm rot="5400000">
          <a:off x="9101138" y="25884187"/>
          <a:ext cx="752475" cy="158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1009650</xdr:colOff>
      <xdr:row>130</xdr:row>
      <xdr:rowOff>47625</xdr:rowOff>
    </xdr:from>
    <xdr:to>
      <xdr:col>10</xdr:col>
      <xdr:colOff>304800</xdr:colOff>
      <xdr:row>130</xdr:row>
      <xdr:rowOff>49213</xdr:rowOff>
    </xdr:to>
    <xdr:cxnSp macro="">
      <xdr:nvCxnSpPr>
        <xdr:cNvPr id="39" name="38 Conector recto de flecha"/>
        <xdr:cNvCxnSpPr/>
      </xdr:nvCxnSpPr>
      <xdr:spPr>
        <a:xfrm rot="10800000">
          <a:off x="9144000" y="26250900"/>
          <a:ext cx="323850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161925</xdr:colOff>
      <xdr:row>9</xdr:row>
      <xdr:rowOff>66675</xdr:rowOff>
    </xdr:from>
    <xdr:to>
      <xdr:col>10</xdr:col>
      <xdr:colOff>600075</xdr:colOff>
      <xdr:row>9</xdr:row>
      <xdr:rowOff>68263</xdr:rowOff>
    </xdr:to>
    <xdr:cxnSp macro="">
      <xdr:nvCxnSpPr>
        <xdr:cNvPr id="43" name="42 Conector recto de flecha"/>
        <xdr:cNvCxnSpPr/>
      </xdr:nvCxnSpPr>
      <xdr:spPr>
        <a:xfrm>
          <a:off x="9324975" y="1924050"/>
          <a:ext cx="438150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9</xdr:row>
      <xdr:rowOff>67468</xdr:rowOff>
    </xdr:from>
    <xdr:to>
      <xdr:col>10</xdr:col>
      <xdr:colOff>153195</xdr:colOff>
      <xdr:row>124</xdr:row>
      <xdr:rowOff>104778</xdr:rowOff>
    </xdr:to>
    <xdr:cxnSp macro="">
      <xdr:nvCxnSpPr>
        <xdr:cNvPr id="45" name="44 Conector recto"/>
        <xdr:cNvCxnSpPr/>
      </xdr:nvCxnSpPr>
      <xdr:spPr>
        <a:xfrm rot="5400000">
          <a:off x="-2289970" y="13501688"/>
          <a:ext cx="23183060" cy="2937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124</xdr:row>
      <xdr:rowOff>76200</xdr:rowOff>
    </xdr:from>
    <xdr:to>
      <xdr:col>10</xdr:col>
      <xdr:colOff>609600</xdr:colOff>
      <xdr:row>124</xdr:row>
      <xdr:rowOff>77788</xdr:rowOff>
    </xdr:to>
    <xdr:cxnSp macro="">
      <xdr:nvCxnSpPr>
        <xdr:cNvPr id="49" name="48 Conector recto de flecha"/>
        <xdr:cNvCxnSpPr/>
      </xdr:nvCxnSpPr>
      <xdr:spPr>
        <a:xfrm>
          <a:off x="9296400" y="25079325"/>
          <a:ext cx="476250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104776</xdr:colOff>
      <xdr:row>130</xdr:row>
      <xdr:rowOff>152400</xdr:rowOff>
    </xdr:from>
    <xdr:to>
      <xdr:col>10</xdr:col>
      <xdr:colOff>685801</xdr:colOff>
      <xdr:row>133</xdr:row>
      <xdr:rowOff>85725</xdr:rowOff>
    </xdr:to>
    <xdr:cxnSp macro="">
      <xdr:nvCxnSpPr>
        <xdr:cNvPr id="47" name="46 Conector angular"/>
        <xdr:cNvCxnSpPr/>
      </xdr:nvCxnSpPr>
      <xdr:spPr>
        <a:xfrm rot="10800000" flipV="1">
          <a:off x="9267826" y="26355675"/>
          <a:ext cx="581025" cy="533400"/>
        </a:xfrm>
        <a:prstGeom prst="bentConnector3">
          <a:avLst>
            <a:gd name="adj1" fmla="val 50000"/>
          </a:avLst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38103</xdr:colOff>
      <xdr:row>126</xdr:row>
      <xdr:rowOff>66675</xdr:rowOff>
    </xdr:from>
    <xdr:to>
      <xdr:col>10</xdr:col>
      <xdr:colOff>542926</xdr:colOff>
      <xdr:row>127</xdr:row>
      <xdr:rowOff>114300</xdr:rowOff>
    </xdr:to>
    <xdr:cxnSp macro="">
      <xdr:nvCxnSpPr>
        <xdr:cNvPr id="36" name="35 Conector angular"/>
        <xdr:cNvCxnSpPr/>
      </xdr:nvCxnSpPr>
      <xdr:spPr>
        <a:xfrm rot="10800000" flipV="1">
          <a:off x="9201153" y="25469850"/>
          <a:ext cx="504823" cy="247650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304007</xdr:colOff>
      <xdr:row>140</xdr:row>
      <xdr:rowOff>153193</xdr:rowOff>
    </xdr:from>
    <xdr:to>
      <xdr:col>10</xdr:col>
      <xdr:colOff>305595</xdr:colOff>
      <xdr:row>143</xdr:row>
      <xdr:rowOff>57943</xdr:rowOff>
    </xdr:to>
    <xdr:cxnSp macro="">
      <xdr:nvCxnSpPr>
        <xdr:cNvPr id="42" name="41 Conector recto"/>
        <xdr:cNvCxnSpPr/>
      </xdr:nvCxnSpPr>
      <xdr:spPr>
        <a:xfrm rot="5400000">
          <a:off x="9215438" y="28608337"/>
          <a:ext cx="504825" cy="158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140</xdr:row>
      <xdr:rowOff>142875</xdr:rowOff>
    </xdr:from>
    <xdr:to>
      <xdr:col>10</xdr:col>
      <xdr:colOff>733425</xdr:colOff>
      <xdr:row>140</xdr:row>
      <xdr:rowOff>152400</xdr:rowOff>
    </xdr:to>
    <xdr:cxnSp macro="">
      <xdr:nvCxnSpPr>
        <xdr:cNvPr id="46" name="45 Conector recto de flecha"/>
        <xdr:cNvCxnSpPr/>
      </xdr:nvCxnSpPr>
      <xdr:spPr>
        <a:xfrm>
          <a:off x="9467850" y="28346400"/>
          <a:ext cx="428625" cy="95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9526</xdr:colOff>
      <xdr:row>143</xdr:row>
      <xdr:rowOff>47625</xdr:rowOff>
    </xdr:from>
    <xdr:to>
      <xdr:col>10</xdr:col>
      <xdr:colOff>304801</xdr:colOff>
      <xdr:row>143</xdr:row>
      <xdr:rowOff>49213</xdr:rowOff>
    </xdr:to>
    <xdr:cxnSp macro="">
      <xdr:nvCxnSpPr>
        <xdr:cNvPr id="50" name="49 Conector recto de flecha"/>
        <xdr:cNvCxnSpPr/>
      </xdr:nvCxnSpPr>
      <xdr:spPr>
        <a:xfrm rot="10800000">
          <a:off x="9172576" y="28851225"/>
          <a:ext cx="295275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418307</xdr:colOff>
      <xdr:row>140</xdr:row>
      <xdr:rowOff>143668</xdr:rowOff>
    </xdr:from>
    <xdr:to>
      <xdr:col>10</xdr:col>
      <xdr:colOff>419895</xdr:colOff>
      <xdr:row>150</xdr:row>
      <xdr:rowOff>76993</xdr:rowOff>
    </xdr:to>
    <xdr:cxnSp macro="">
      <xdr:nvCxnSpPr>
        <xdr:cNvPr id="51" name="50 Conector recto"/>
        <xdr:cNvCxnSpPr/>
      </xdr:nvCxnSpPr>
      <xdr:spPr>
        <a:xfrm rot="5400000">
          <a:off x="8615363" y="29313187"/>
          <a:ext cx="1933575" cy="158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150</xdr:row>
      <xdr:rowOff>66675</xdr:rowOff>
    </xdr:from>
    <xdr:to>
      <xdr:col>10</xdr:col>
      <xdr:colOff>419100</xdr:colOff>
      <xdr:row>150</xdr:row>
      <xdr:rowOff>68263</xdr:rowOff>
    </xdr:to>
    <xdr:cxnSp macro="">
      <xdr:nvCxnSpPr>
        <xdr:cNvPr id="55" name="54 Conector recto de flecha"/>
        <xdr:cNvCxnSpPr/>
      </xdr:nvCxnSpPr>
      <xdr:spPr>
        <a:xfrm rot="10800000">
          <a:off x="9201150" y="30270450"/>
          <a:ext cx="381000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145</xdr:row>
      <xdr:rowOff>123825</xdr:rowOff>
    </xdr:from>
    <xdr:to>
      <xdr:col>10</xdr:col>
      <xdr:colOff>695325</xdr:colOff>
      <xdr:row>145</xdr:row>
      <xdr:rowOff>125413</xdr:rowOff>
    </xdr:to>
    <xdr:cxnSp macro="">
      <xdr:nvCxnSpPr>
        <xdr:cNvPr id="57" name="56 Conector recto de flecha"/>
        <xdr:cNvCxnSpPr/>
      </xdr:nvCxnSpPr>
      <xdr:spPr>
        <a:xfrm>
          <a:off x="9582150" y="29327475"/>
          <a:ext cx="276225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171452</xdr:colOff>
      <xdr:row>140</xdr:row>
      <xdr:rowOff>57150</xdr:rowOff>
    </xdr:from>
    <xdr:to>
      <xdr:col>10</xdr:col>
      <xdr:colOff>190500</xdr:colOff>
      <xdr:row>164</xdr:row>
      <xdr:rowOff>85725</xdr:rowOff>
    </xdr:to>
    <xdr:cxnSp macro="">
      <xdr:nvCxnSpPr>
        <xdr:cNvPr id="48" name="47 Conector recto"/>
        <xdr:cNvCxnSpPr/>
      </xdr:nvCxnSpPr>
      <xdr:spPr>
        <a:xfrm rot="5400000">
          <a:off x="6905626" y="30689551"/>
          <a:ext cx="4876800" cy="1904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180975</xdr:colOff>
      <xdr:row>140</xdr:row>
      <xdr:rowOff>47625</xdr:rowOff>
    </xdr:from>
    <xdr:to>
      <xdr:col>10</xdr:col>
      <xdr:colOff>647700</xdr:colOff>
      <xdr:row>140</xdr:row>
      <xdr:rowOff>49213</xdr:rowOff>
    </xdr:to>
    <xdr:cxnSp macro="">
      <xdr:nvCxnSpPr>
        <xdr:cNvPr id="60" name="59 Conector recto de flecha"/>
        <xdr:cNvCxnSpPr/>
      </xdr:nvCxnSpPr>
      <xdr:spPr>
        <a:xfrm>
          <a:off x="9344025" y="28251150"/>
          <a:ext cx="466725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164</xdr:row>
      <xdr:rowOff>95251</xdr:rowOff>
    </xdr:from>
    <xdr:to>
      <xdr:col>10</xdr:col>
      <xdr:colOff>161926</xdr:colOff>
      <xdr:row>164</xdr:row>
      <xdr:rowOff>104776</xdr:rowOff>
    </xdr:to>
    <xdr:cxnSp macro="">
      <xdr:nvCxnSpPr>
        <xdr:cNvPr id="63" name="62 Conector recto de flecha"/>
        <xdr:cNvCxnSpPr/>
      </xdr:nvCxnSpPr>
      <xdr:spPr>
        <a:xfrm rot="10800000">
          <a:off x="9163051" y="33147001"/>
          <a:ext cx="1619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163</xdr:row>
      <xdr:rowOff>76199</xdr:rowOff>
    </xdr:from>
    <xdr:to>
      <xdr:col>10</xdr:col>
      <xdr:colOff>666750</xdr:colOff>
      <xdr:row>164</xdr:row>
      <xdr:rowOff>104774</xdr:rowOff>
    </xdr:to>
    <xdr:cxnSp macro="">
      <xdr:nvCxnSpPr>
        <xdr:cNvPr id="65" name="64 Conector angular"/>
        <xdr:cNvCxnSpPr/>
      </xdr:nvCxnSpPr>
      <xdr:spPr>
        <a:xfrm rot="10800000" flipV="1">
          <a:off x="9486900" y="32918399"/>
          <a:ext cx="342900" cy="238125"/>
        </a:xfrm>
        <a:prstGeom prst="bentConnector3">
          <a:avLst>
            <a:gd name="adj1" fmla="val 50000"/>
          </a:avLst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332582</xdr:colOff>
      <xdr:row>181</xdr:row>
      <xdr:rowOff>124618</xdr:rowOff>
    </xdr:from>
    <xdr:to>
      <xdr:col>10</xdr:col>
      <xdr:colOff>334170</xdr:colOff>
      <xdr:row>185</xdr:row>
      <xdr:rowOff>96043</xdr:rowOff>
    </xdr:to>
    <xdr:cxnSp macro="">
      <xdr:nvCxnSpPr>
        <xdr:cNvPr id="59" name="58 Conector recto"/>
        <xdr:cNvCxnSpPr/>
      </xdr:nvCxnSpPr>
      <xdr:spPr>
        <a:xfrm rot="5400000">
          <a:off x="9110663" y="36961762"/>
          <a:ext cx="771525" cy="158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181</xdr:row>
      <xdr:rowOff>123825</xdr:rowOff>
    </xdr:from>
    <xdr:to>
      <xdr:col>10</xdr:col>
      <xdr:colOff>676275</xdr:colOff>
      <xdr:row>181</xdr:row>
      <xdr:rowOff>125413</xdr:rowOff>
    </xdr:to>
    <xdr:cxnSp macro="">
      <xdr:nvCxnSpPr>
        <xdr:cNvPr id="62" name="61 Conector recto de flecha"/>
        <xdr:cNvCxnSpPr/>
      </xdr:nvCxnSpPr>
      <xdr:spPr>
        <a:xfrm>
          <a:off x="9496425" y="36576000"/>
          <a:ext cx="342900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1009650</xdr:colOff>
      <xdr:row>185</xdr:row>
      <xdr:rowOff>95251</xdr:rowOff>
    </xdr:from>
    <xdr:to>
      <xdr:col>10</xdr:col>
      <xdr:colOff>342904</xdr:colOff>
      <xdr:row>185</xdr:row>
      <xdr:rowOff>95252</xdr:rowOff>
    </xdr:to>
    <xdr:cxnSp macro="">
      <xdr:nvCxnSpPr>
        <xdr:cNvPr id="64" name="63 Conector recto de flecha"/>
        <xdr:cNvCxnSpPr/>
      </xdr:nvCxnSpPr>
      <xdr:spPr>
        <a:xfrm rot="10800000">
          <a:off x="9144000" y="37347526"/>
          <a:ext cx="361954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133351</xdr:colOff>
      <xdr:row>167</xdr:row>
      <xdr:rowOff>76200</xdr:rowOff>
    </xdr:from>
    <xdr:to>
      <xdr:col>10</xdr:col>
      <xdr:colOff>581026</xdr:colOff>
      <xdr:row>168</xdr:row>
      <xdr:rowOff>123825</xdr:rowOff>
    </xdr:to>
    <xdr:cxnSp macro="">
      <xdr:nvCxnSpPr>
        <xdr:cNvPr id="53" name="52 Conector angular"/>
        <xdr:cNvCxnSpPr/>
      </xdr:nvCxnSpPr>
      <xdr:spPr>
        <a:xfrm rot="10800000" flipV="1">
          <a:off x="9296401" y="33728025"/>
          <a:ext cx="447675" cy="247650"/>
        </a:xfrm>
        <a:prstGeom prst="bentConnector3">
          <a:avLst>
            <a:gd name="adj1" fmla="val 50000"/>
          </a:avLst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187</xdr:row>
      <xdr:rowOff>123825</xdr:rowOff>
    </xdr:from>
    <xdr:to>
      <xdr:col>10</xdr:col>
      <xdr:colOff>600075</xdr:colOff>
      <xdr:row>188</xdr:row>
      <xdr:rowOff>95250</xdr:rowOff>
    </xdr:to>
    <xdr:cxnSp macro="">
      <xdr:nvCxnSpPr>
        <xdr:cNvPr id="61" name="60 Conector angular"/>
        <xdr:cNvCxnSpPr/>
      </xdr:nvCxnSpPr>
      <xdr:spPr>
        <a:xfrm>
          <a:off x="9315450" y="37776150"/>
          <a:ext cx="447675" cy="171450"/>
        </a:xfrm>
        <a:prstGeom prst="bentConnector3">
          <a:avLst>
            <a:gd name="adj1" fmla="val 50000"/>
          </a:avLst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200026</xdr:colOff>
      <xdr:row>173</xdr:row>
      <xdr:rowOff>142874</xdr:rowOff>
    </xdr:from>
    <xdr:to>
      <xdr:col>10</xdr:col>
      <xdr:colOff>219076</xdr:colOff>
      <xdr:row>190</xdr:row>
      <xdr:rowOff>66674</xdr:rowOff>
    </xdr:to>
    <xdr:cxnSp macro="">
      <xdr:nvCxnSpPr>
        <xdr:cNvPr id="66" name="65 Conector recto"/>
        <xdr:cNvCxnSpPr/>
      </xdr:nvCxnSpPr>
      <xdr:spPr>
        <a:xfrm rot="16200000" flipH="1">
          <a:off x="7710488" y="36647437"/>
          <a:ext cx="3324225" cy="19050"/>
        </a:xfrm>
        <a:prstGeom prst="line">
          <a:avLst/>
        </a:prstGeom>
        <a:ln/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190</xdr:row>
      <xdr:rowOff>47626</xdr:rowOff>
    </xdr:from>
    <xdr:to>
      <xdr:col>10</xdr:col>
      <xdr:colOff>219075</xdr:colOff>
      <xdr:row>190</xdr:row>
      <xdr:rowOff>57151</xdr:rowOff>
    </xdr:to>
    <xdr:cxnSp macro="">
      <xdr:nvCxnSpPr>
        <xdr:cNvPr id="68" name="67 Conector recto de flecha"/>
        <xdr:cNvCxnSpPr/>
      </xdr:nvCxnSpPr>
      <xdr:spPr>
        <a:xfrm rot="10800000">
          <a:off x="9172575" y="38300026"/>
          <a:ext cx="209550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173</xdr:row>
      <xdr:rowOff>152400</xdr:rowOff>
    </xdr:from>
    <xdr:to>
      <xdr:col>10</xdr:col>
      <xdr:colOff>714375</xdr:colOff>
      <xdr:row>173</xdr:row>
      <xdr:rowOff>153988</xdr:rowOff>
    </xdr:to>
    <xdr:cxnSp macro="">
      <xdr:nvCxnSpPr>
        <xdr:cNvPr id="70" name="69 Conector recto de flecha"/>
        <xdr:cNvCxnSpPr/>
      </xdr:nvCxnSpPr>
      <xdr:spPr>
        <a:xfrm>
          <a:off x="9363075" y="35004375"/>
          <a:ext cx="51435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209550</xdr:colOff>
      <xdr:row>181</xdr:row>
      <xdr:rowOff>57150</xdr:rowOff>
    </xdr:from>
    <xdr:to>
      <xdr:col>10</xdr:col>
      <xdr:colOff>752475</xdr:colOff>
      <xdr:row>181</xdr:row>
      <xdr:rowOff>58738</xdr:rowOff>
    </xdr:to>
    <xdr:cxnSp macro="">
      <xdr:nvCxnSpPr>
        <xdr:cNvPr id="72" name="71 Conector recto de flecha"/>
        <xdr:cNvCxnSpPr/>
      </xdr:nvCxnSpPr>
      <xdr:spPr>
        <a:xfrm>
          <a:off x="9372600" y="36509325"/>
          <a:ext cx="54292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209550</xdr:colOff>
      <xdr:row>185</xdr:row>
      <xdr:rowOff>38100</xdr:rowOff>
    </xdr:from>
    <xdr:to>
      <xdr:col>10</xdr:col>
      <xdr:colOff>657225</xdr:colOff>
      <xdr:row>185</xdr:row>
      <xdr:rowOff>47625</xdr:rowOff>
    </xdr:to>
    <xdr:cxnSp macro="">
      <xdr:nvCxnSpPr>
        <xdr:cNvPr id="74" name="73 Conector recto de flecha"/>
        <xdr:cNvCxnSpPr/>
      </xdr:nvCxnSpPr>
      <xdr:spPr>
        <a:xfrm>
          <a:off x="9372600" y="37290375"/>
          <a:ext cx="44767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361950</xdr:colOff>
      <xdr:row>213</xdr:row>
      <xdr:rowOff>133349</xdr:rowOff>
    </xdr:from>
    <xdr:to>
      <xdr:col>10</xdr:col>
      <xdr:colOff>371475</xdr:colOff>
      <xdr:row>219</xdr:row>
      <xdr:rowOff>76198</xdr:rowOff>
    </xdr:to>
    <xdr:cxnSp macro="">
      <xdr:nvCxnSpPr>
        <xdr:cNvPr id="71" name="70 Conector recto"/>
        <xdr:cNvCxnSpPr/>
      </xdr:nvCxnSpPr>
      <xdr:spPr>
        <a:xfrm rot="16200000" flipH="1">
          <a:off x="8958263" y="43600686"/>
          <a:ext cx="1142999" cy="952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213</xdr:row>
      <xdr:rowOff>142875</xdr:rowOff>
    </xdr:from>
    <xdr:to>
      <xdr:col>10</xdr:col>
      <xdr:colOff>361950</xdr:colOff>
      <xdr:row>213</xdr:row>
      <xdr:rowOff>144463</xdr:rowOff>
    </xdr:to>
    <xdr:cxnSp macro="">
      <xdr:nvCxnSpPr>
        <xdr:cNvPr id="75" name="74 Conector recto de flecha"/>
        <xdr:cNvCxnSpPr/>
      </xdr:nvCxnSpPr>
      <xdr:spPr>
        <a:xfrm rot="10800000">
          <a:off x="9239250" y="43043475"/>
          <a:ext cx="285750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371475</xdr:colOff>
      <xdr:row>219</xdr:row>
      <xdr:rowOff>66675</xdr:rowOff>
    </xdr:from>
    <xdr:to>
      <xdr:col>10</xdr:col>
      <xdr:colOff>657225</xdr:colOff>
      <xdr:row>219</xdr:row>
      <xdr:rowOff>68263</xdr:rowOff>
    </xdr:to>
    <xdr:cxnSp macro="">
      <xdr:nvCxnSpPr>
        <xdr:cNvPr id="77" name="76 Conector recto de flecha"/>
        <xdr:cNvCxnSpPr/>
      </xdr:nvCxnSpPr>
      <xdr:spPr>
        <a:xfrm>
          <a:off x="9534525" y="44167425"/>
          <a:ext cx="285750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224</xdr:row>
      <xdr:rowOff>76200</xdr:rowOff>
    </xdr:from>
    <xdr:to>
      <xdr:col>10</xdr:col>
      <xdr:colOff>609600</xdr:colOff>
      <xdr:row>225</xdr:row>
      <xdr:rowOff>114300</xdr:rowOff>
    </xdr:to>
    <xdr:cxnSp macro="">
      <xdr:nvCxnSpPr>
        <xdr:cNvPr id="76" name="75 Conector angular"/>
        <xdr:cNvCxnSpPr/>
      </xdr:nvCxnSpPr>
      <xdr:spPr>
        <a:xfrm>
          <a:off x="9315450" y="45177075"/>
          <a:ext cx="457200" cy="238125"/>
        </a:xfrm>
        <a:prstGeom prst="bentConnector3">
          <a:avLst>
            <a:gd name="adj1" fmla="val 50000"/>
          </a:avLst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250</xdr:row>
      <xdr:rowOff>114300</xdr:rowOff>
    </xdr:from>
    <xdr:to>
      <xdr:col>10</xdr:col>
      <xdr:colOff>657225</xdr:colOff>
      <xdr:row>251</xdr:row>
      <xdr:rowOff>104775</xdr:rowOff>
    </xdr:to>
    <xdr:cxnSp macro="">
      <xdr:nvCxnSpPr>
        <xdr:cNvPr id="67" name="66 Conector angular"/>
        <xdr:cNvCxnSpPr/>
      </xdr:nvCxnSpPr>
      <xdr:spPr>
        <a:xfrm>
          <a:off x="9363075" y="50549175"/>
          <a:ext cx="457200" cy="190500"/>
        </a:xfrm>
        <a:prstGeom prst="bentConnector3">
          <a:avLst>
            <a:gd name="adj1" fmla="val 50000"/>
          </a:avLst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152401</xdr:colOff>
      <xdr:row>252</xdr:row>
      <xdr:rowOff>123824</xdr:rowOff>
    </xdr:from>
    <xdr:to>
      <xdr:col>10</xdr:col>
      <xdr:colOff>619126</xdr:colOff>
      <xdr:row>253</xdr:row>
      <xdr:rowOff>123824</xdr:rowOff>
    </xdr:to>
    <xdr:cxnSp macro="">
      <xdr:nvCxnSpPr>
        <xdr:cNvPr id="73" name="72 Conector angular"/>
        <xdr:cNvCxnSpPr/>
      </xdr:nvCxnSpPr>
      <xdr:spPr>
        <a:xfrm rot="10800000" flipV="1">
          <a:off x="9315451" y="50958749"/>
          <a:ext cx="466725" cy="200025"/>
        </a:xfrm>
        <a:prstGeom prst="bentConnector3">
          <a:avLst>
            <a:gd name="adj1" fmla="val 50000"/>
          </a:avLst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267</xdr:row>
      <xdr:rowOff>95249</xdr:rowOff>
    </xdr:from>
    <xdr:to>
      <xdr:col>10</xdr:col>
      <xdr:colOff>619125</xdr:colOff>
      <xdr:row>269</xdr:row>
      <xdr:rowOff>104774</xdr:rowOff>
    </xdr:to>
    <xdr:cxnSp macro="">
      <xdr:nvCxnSpPr>
        <xdr:cNvPr id="78" name="77 Conector angular"/>
        <xdr:cNvCxnSpPr/>
      </xdr:nvCxnSpPr>
      <xdr:spPr>
        <a:xfrm rot="10800000" flipV="1">
          <a:off x="9286875" y="53930549"/>
          <a:ext cx="495300" cy="409575"/>
        </a:xfrm>
        <a:prstGeom prst="bentConnector3">
          <a:avLst>
            <a:gd name="adj1" fmla="val 50000"/>
          </a:avLst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352426</xdr:colOff>
      <xdr:row>273</xdr:row>
      <xdr:rowOff>133353</xdr:rowOff>
    </xdr:from>
    <xdr:to>
      <xdr:col>10</xdr:col>
      <xdr:colOff>381000</xdr:colOff>
      <xdr:row>283</xdr:row>
      <xdr:rowOff>76199</xdr:rowOff>
    </xdr:to>
    <xdr:cxnSp macro="">
      <xdr:nvCxnSpPr>
        <xdr:cNvPr id="79" name="78 Conector recto"/>
        <xdr:cNvCxnSpPr/>
      </xdr:nvCxnSpPr>
      <xdr:spPr>
        <a:xfrm rot="5400000">
          <a:off x="8539165" y="56145114"/>
          <a:ext cx="1981196" cy="2857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273</xdr:row>
      <xdr:rowOff>123825</xdr:rowOff>
    </xdr:from>
    <xdr:to>
      <xdr:col>10</xdr:col>
      <xdr:colOff>676275</xdr:colOff>
      <xdr:row>273</xdr:row>
      <xdr:rowOff>125413</xdr:rowOff>
    </xdr:to>
    <xdr:cxnSp macro="">
      <xdr:nvCxnSpPr>
        <xdr:cNvPr id="81" name="80 Conector recto de flecha"/>
        <xdr:cNvCxnSpPr/>
      </xdr:nvCxnSpPr>
      <xdr:spPr>
        <a:xfrm>
          <a:off x="9544050" y="55159275"/>
          <a:ext cx="295275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283</xdr:row>
      <xdr:rowOff>66675</xdr:rowOff>
    </xdr:from>
    <xdr:to>
      <xdr:col>10</xdr:col>
      <xdr:colOff>352425</xdr:colOff>
      <xdr:row>283</xdr:row>
      <xdr:rowOff>68263</xdr:rowOff>
    </xdr:to>
    <xdr:cxnSp macro="">
      <xdr:nvCxnSpPr>
        <xdr:cNvPr id="83" name="82 Conector recto de flecha"/>
        <xdr:cNvCxnSpPr/>
      </xdr:nvCxnSpPr>
      <xdr:spPr>
        <a:xfrm rot="10800000">
          <a:off x="9267825" y="57140475"/>
          <a:ext cx="247650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390526</xdr:colOff>
      <xdr:row>171</xdr:row>
      <xdr:rowOff>95254</xdr:rowOff>
    </xdr:from>
    <xdr:to>
      <xdr:col>10</xdr:col>
      <xdr:colOff>409575</xdr:colOff>
      <xdr:row>294</xdr:row>
      <xdr:rowOff>85725</xdr:rowOff>
    </xdr:to>
    <xdr:cxnSp macro="">
      <xdr:nvCxnSpPr>
        <xdr:cNvPr id="80" name="79 Conector recto"/>
        <xdr:cNvCxnSpPr/>
      </xdr:nvCxnSpPr>
      <xdr:spPr>
        <a:xfrm rot="5400000">
          <a:off x="-2847972" y="47263052"/>
          <a:ext cx="24822146" cy="19049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294</xdr:row>
      <xdr:rowOff>76200</xdr:rowOff>
    </xdr:from>
    <xdr:to>
      <xdr:col>10</xdr:col>
      <xdr:colOff>390525</xdr:colOff>
      <xdr:row>294</xdr:row>
      <xdr:rowOff>77788</xdr:rowOff>
    </xdr:to>
    <xdr:cxnSp macro="">
      <xdr:nvCxnSpPr>
        <xdr:cNvPr id="84" name="83 Conector recto de flecha"/>
        <xdr:cNvCxnSpPr/>
      </xdr:nvCxnSpPr>
      <xdr:spPr>
        <a:xfrm rot="10800000">
          <a:off x="9210675" y="59674125"/>
          <a:ext cx="342900" cy="1588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409575</xdr:colOff>
      <xdr:row>171</xdr:row>
      <xdr:rowOff>104775</xdr:rowOff>
    </xdr:from>
    <xdr:to>
      <xdr:col>10</xdr:col>
      <xdr:colOff>657225</xdr:colOff>
      <xdr:row>171</xdr:row>
      <xdr:rowOff>106363</xdr:rowOff>
    </xdr:to>
    <xdr:cxnSp macro="">
      <xdr:nvCxnSpPr>
        <xdr:cNvPr id="86" name="85 Conector recto de flecha"/>
        <xdr:cNvCxnSpPr/>
      </xdr:nvCxnSpPr>
      <xdr:spPr>
        <a:xfrm>
          <a:off x="9572625" y="34871025"/>
          <a:ext cx="247650" cy="1588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419099</xdr:colOff>
      <xdr:row>0</xdr:row>
      <xdr:rowOff>57151</xdr:rowOff>
    </xdr:from>
    <xdr:to>
      <xdr:col>10</xdr:col>
      <xdr:colOff>447674</xdr:colOff>
      <xdr:row>171</xdr:row>
      <xdr:rowOff>114301</xdr:rowOff>
    </xdr:to>
    <xdr:cxnSp macro="">
      <xdr:nvCxnSpPr>
        <xdr:cNvPr id="91" name="90 Conector recto"/>
        <xdr:cNvCxnSpPr/>
      </xdr:nvCxnSpPr>
      <xdr:spPr>
        <a:xfrm rot="5400000" flipH="1" flipV="1">
          <a:off x="-7815263" y="17454563"/>
          <a:ext cx="34823400" cy="2857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258</xdr:row>
      <xdr:rowOff>104773</xdr:rowOff>
    </xdr:from>
    <xdr:to>
      <xdr:col>10</xdr:col>
      <xdr:colOff>219075</xdr:colOff>
      <xdr:row>300</xdr:row>
      <xdr:rowOff>114299</xdr:rowOff>
    </xdr:to>
    <xdr:cxnSp macro="">
      <xdr:nvCxnSpPr>
        <xdr:cNvPr id="82" name="81 Conector recto"/>
        <xdr:cNvCxnSpPr/>
      </xdr:nvCxnSpPr>
      <xdr:spPr>
        <a:xfrm rot="16200000" flipH="1">
          <a:off x="5224462" y="56668986"/>
          <a:ext cx="8458201" cy="285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300</xdr:row>
      <xdr:rowOff>95249</xdr:rowOff>
    </xdr:from>
    <xdr:to>
      <xdr:col>10</xdr:col>
      <xdr:colOff>219075</xdr:colOff>
      <xdr:row>300</xdr:row>
      <xdr:rowOff>104774</xdr:rowOff>
    </xdr:to>
    <xdr:cxnSp macro="">
      <xdr:nvCxnSpPr>
        <xdr:cNvPr id="87" name="86 Conector recto de flecha"/>
        <xdr:cNvCxnSpPr/>
      </xdr:nvCxnSpPr>
      <xdr:spPr>
        <a:xfrm rot="10800000" flipV="1">
          <a:off x="9277350" y="60893324"/>
          <a:ext cx="190500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258</xdr:row>
      <xdr:rowOff>133350</xdr:rowOff>
    </xdr:from>
    <xdr:to>
      <xdr:col>10</xdr:col>
      <xdr:colOff>600075</xdr:colOff>
      <xdr:row>258</xdr:row>
      <xdr:rowOff>134938</xdr:rowOff>
    </xdr:to>
    <xdr:cxnSp macro="">
      <xdr:nvCxnSpPr>
        <xdr:cNvPr id="89" name="88 Conector recto de flecha"/>
        <xdr:cNvCxnSpPr/>
      </xdr:nvCxnSpPr>
      <xdr:spPr>
        <a:xfrm>
          <a:off x="9439275" y="52482750"/>
          <a:ext cx="409575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446882</xdr:colOff>
      <xdr:row>302</xdr:row>
      <xdr:rowOff>115093</xdr:rowOff>
    </xdr:from>
    <xdr:to>
      <xdr:col>10</xdr:col>
      <xdr:colOff>448470</xdr:colOff>
      <xdr:row>308</xdr:row>
      <xdr:rowOff>86518</xdr:rowOff>
    </xdr:to>
    <xdr:cxnSp macro="">
      <xdr:nvCxnSpPr>
        <xdr:cNvPr id="85" name="84 Conector recto"/>
        <xdr:cNvCxnSpPr/>
      </xdr:nvCxnSpPr>
      <xdr:spPr>
        <a:xfrm rot="5400000">
          <a:off x="9110663" y="61898212"/>
          <a:ext cx="1171575" cy="158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302</xdr:row>
      <xdr:rowOff>104775</xdr:rowOff>
    </xdr:from>
    <xdr:to>
      <xdr:col>10</xdr:col>
      <xdr:colOff>714375</xdr:colOff>
      <xdr:row>302</xdr:row>
      <xdr:rowOff>114300</xdr:rowOff>
    </xdr:to>
    <xdr:cxnSp macro="">
      <xdr:nvCxnSpPr>
        <xdr:cNvPr id="90" name="89 Conector recto de flecha"/>
        <xdr:cNvCxnSpPr/>
      </xdr:nvCxnSpPr>
      <xdr:spPr>
        <a:xfrm flipV="1">
          <a:off x="9705975" y="61302900"/>
          <a:ext cx="25717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133351</xdr:colOff>
      <xdr:row>308</xdr:row>
      <xdr:rowOff>76199</xdr:rowOff>
    </xdr:from>
    <xdr:to>
      <xdr:col>10</xdr:col>
      <xdr:colOff>447676</xdr:colOff>
      <xdr:row>308</xdr:row>
      <xdr:rowOff>85724</xdr:rowOff>
    </xdr:to>
    <xdr:cxnSp macro="">
      <xdr:nvCxnSpPr>
        <xdr:cNvPr id="93" name="92 Conector recto de flecha"/>
        <xdr:cNvCxnSpPr/>
      </xdr:nvCxnSpPr>
      <xdr:spPr>
        <a:xfrm rot="10800000" flipV="1">
          <a:off x="9382126" y="62474474"/>
          <a:ext cx="3143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504825</xdr:colOff>
      <xdr:row>308</xdr:row>
      <xdr:rowOff>95251</xdr:rowOff>
    </xdr:from>
    <xdr:to>
      <xdr:col>10</xdr:col>
      <xdr:colOff>533400</xdr:colOff>
      <xdr:row>323</xdr:row>
      <xdr:rowOff>66676</xdr:rowOff>
    </xdr:to>
    <xdr:cxnSp macro="">
      <xdr:nvCxnSpPr>
        <xdr:cNvPr id="92" name="91 Conector recto"/>
        <xdr:cNvCxnSpPr/>
      </xdr:nvCxnSpPr>
      <xdr:spPr>
        <a:xfrm rot="5400000">
          <a:off x="8158163" y="64088963"/>
          <a:ext cx="3219450" cy="285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533400</xdr:colOff>
      <xdr:row>308</xdr:row>
      <xdr:rowOff>95250</xdr:rowOff>
    </xdr:from>
    <xdr:to>
      <xdr:col>10</xdr:col>
      <xdr:colOff>733425</xdr:colOff>
      <xdr:row>308</xdr:row>
      <xdr:rowOff>104775</xdr:rowOff>
    </xdr:to>
    <xdr:cxnSp macro="">
      <xdr:nvCxnSpPr>
        <xdr:cNvPr id="95" name="94 Conector recto de flecha"/>
        <xdr:cNvCxnSpPr/>
      </xdr:nvCxnSpPr>
      <xdr:spPr>
        <a:xfrm flipV="1">
          <a:off x="9782175" y="62493525"/>
          <a:ext cx="2000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123826</xdr:colOff>
      <xdr:row>309</xdr:row>
      <xdr:rowOff>238125</xdr:rowOff>
    </xdr:from>
    <xdr:to>
      <xdr:col>10</xdr:col>
      <xdr:colOff>533401</xdr:colOff>
      <xdr:row>309</xdr:row>
      <xdr:rowOff>239713</xdr:rowOff>
    </xdr:to>
    <xdr:cxnSp macro="">
      <xdr:nvCxnSpPr>
        <xdr:cNvPr id="97" name="96 Conector recto de flecha"/>
        <xdr:cNvCxnSpPr/>
      </xdr:nvCxnSpPr>
      <xdr:spPr>
        <a:xfrm rot="10800000">
          <a:off x="9372601" y="62836425"/>
          <a:ext cx="409575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323</xdr:row>
      <xdr:rowOff>57150</xdr:rowOff>
    </xdr:from>
    <xdr:to>
      <xdr:col>10</xdr:col>
      <xdr:colOff>514350</xdr:colOff>
      <xdr:row>323</xdr:row>
      <xdr:rowOff>58738</xdr:rowOff>
    </xdr:to>
    <xdr:cxnSp macro="">
      <xdr:nvCxnSpPr>
        <xdr:cNvPr id="99" name="98 Conector recto de flecha"/>
        <xdr:cNvCxnSpPr/>
      </xdr:nvCxnSpPr>
      <xdr:spPr>
        <a:xfrm rot="10800000">
          <a:off x="9324975" y="65703450"/>
          <a:ext cx="438150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561182</xdr:colOff>
      <xdr:row>322</xdr:row>
      <xdr:rowOff>115094</xdr:rowOff>
    </xdr:from>
    <xdr:to>
      <xdr:col>10</xdr:col>
      <xdr:colOff>562770</xdr:colOff>
      <xdr:row>325</xdr:row>
      <xdr:rowOff>86519</xdr:rowOff>
    </xdr:to>
    <xdr:cxnSp macro="">
      <xdr:nvCxnSpPr>
        <xdr:cNvPr id="94" name="93 Conector recto"/>
        <xdr:cNvCxnSpPr/>
      </xdr:nvCxnSpPr>
      <xdr:spPr>
        <a:xfrm rot="5400000">
          <a:off x="9520238" y="65841563"/>
          <a:ext cx="581025" cy="158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561975</xdr:colOff>
      <xdr:row>322</xdr:row>
      <xdr:rowOff>114300</xdr:rowOff>
    </xdr:from>
    <xdr:to>
      <xdr:col>10</xdr:col>
      <xdr:colOff>733425</xdr:colOff>
      <xdr:row>322</xdr:row>
      <xdr:rowOff>115888</xdr:rowOff>
    </xdr:to>
    <xdr:cxnSp macro="">
      <xdr:nvCxnSpPr>
        <xdr:cNvPr id="98" name="97 Conector recto de flecha"/>
        <xdr:cNvCxnSpPr/>
      </xdr:nvCxnSpPr>
      <xdr:spPr>
        <a:xfrm>
          <a:off x="9810750" y="65551050"/>
          <a:ext cx="171450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325</xdr:row>
      <xdr:rowOff>66676</xdr:rowOff>
    </xdr:from>
    <xdr:to>
      <xdr:col>10</xdr:col>
      <xdr:colOff>561975</xdr:colOff>
      <xdr:row>325</xdr:row>
      <xdr:rowOff>76201</xdr:rowOff>
    </xdr:to>
    <xdr:cxnSp macro="">
      <xdr:nvCxnSpPr>
        <xdr:cNvPr id="101" name="100 Conector recto de flecha"/>
        <xdr:cNvCxnSpPr/>
      </xdr:nvCxnSpPr>
      <xdr:spPr>
        <a:xfrm rot="10800000">
          <a:off x="9296400" y="66113026"/>
          <a:ext cx="514350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257179</xdr:colOff>
      <xdr:row>312</xdr:row>
      <xdr:rowOff>104774</xdr:rowOff>
    </xdr:from>
    <xdr:to>
      <xdr:col>10</xdr:col>
      <xdr:colOff>276225</xdr:colOff>
      <xdr:row>325</xdr:row>
      <xdr:rowOff>123827</xdr:rowOff>
    </xdr:to>
    <xdr:cxnSp macro="">
      <xdr:nvCxnSpPr>
        <xdr:cNvPr id="103" name="102 Conector recto"/>
        <xdr:cNvCxnSpPr/>
      </xdr:nvCxnSpPr>
      <xdr:spPr>
        <a:xfrm rot="5400000">
          <a:off x="8181975" y="64827153"/>
          <a:ext cx="2667003" cy="19046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312</xdr:row>
      <xdr:rowOff>123825</xdr:rowOff>
    </xdr:from>
    <xdr:to>
      <xdr:col>10</xdr:col>
      <xdr:colOff>276225</xdr:colOff>
      <xdr:row>312</xdr:row>
      <xdr:rowOff>125413</xdr:rowOff>
    </xdr:to>
    <xdr:cxnSp macro="">
      <xdr:nvCxnSpPr>
        <xdr:cNvPr id="105" name="104 Conector recto de flecha"/>
        <xdr:cNvCxnSpPr/>
      </xdr:nvCxnSpPr>
      <xdr:spPr>
        <a:xfrm rot="10800000">
          <a:off x="9296400" y="63522225"/>
          <a:ext cx="228600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257175</xdr:colOff>
      <xdr:row>325</xdr:row>
      <xdr:rowOff>114300</xdr:rowOff>
    </xdr:from>
    <xdr:to>
      <xdr:col>10</xdr:col>
      <xdr:colOff>704850</xdr:colOff>
      <xdr:row>325</xdr:row>
      <xdr:rowOff>115888</xdr:rowOff>
    </xdr:to>
    <xdr:cxnSp macro="">
      <xdr:nvCxnSpPr>
        <xdr:cNvPr id="107" name="106 Conector recto de flecha"/>
        <xdr:cNvCxnSpPr/>
      </xdr:nvCxnSpPr>
      <xdr:spPr>
        <a:xfrm>
          <a:off x="9505950" y="66160650"/>
          <a:ext cx="447675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85726</xdr:colOff>
      <xdr:row>302</xdr:row>
      <xdr:rowOff>76199</xdr:rowOff>
    </xdr:from>
    <xdr:to>
      <xdr:col>10</xdr:col>
      <xdr:colOff>381001</xdr:colOff>
      <xdr:row>303</xdr:row>
      <xdr:rowOff>114299</xdr:rowOff>
    </xdr:to>
    <xdr:cxnSp macro="">
      <xdr:nvCxnSpPr>
        <xdr:cNvPr id="109" name="108 Conector angular"/>
        <xdr:cNvCxnSpPr/>
      </xdr:nvCxnSpPr>
      <xdr:spPr>
        <a:xfrm rot="10800000" flipV="1">
          <a:off x="9334501" y="61274324"/>
          <a:ext cx="295275" cy="238125"/>
        </a:xfrm>
        <a:prstGeom prst="bentConnector3">
          <a:avLst>
            <a:gd name="adj1" fmla="val 50000"/>
          </a:avLst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304801</xdr:colOff>
      <xdr:row>252</xdr:row>
      <xdr:rowOff>104774</xdr:rowOff>
    </xdr:from>
    <xdr:to>
      <xdr:col>10</xdr:col>
      <xdr:colOff>361951</xdr:colOff>
      <xdr:row>335</xdr:row>
      <xdr:rowOff>114299</xdr:rowOff>
    </xdr:to>
    <xdr:cxnSp macro="">
      <xdr:nvCxnSpPr>
        <xdr:cNvPr id="100" name="99 Conector recto"/>
        <xdr:cNvCxnSpPr/>
      </xdr:nvCxnSpPr>
      <xdr:spPr>
        <a:xfrm rot="16200000" flipH="1">
          <a:off x="1128713" y="59678887"/>
          <a:ext cx="16906875" cy="571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335</xdr:row>
      <xdr:rowOff>66674</xdr:rowOff>
    </xdr:from>
    <xdr:to>
      <xdr:col>10</xdr:col>
      <xdr:colOff>361950</xdr:colOff>
      <xdr:row>335</xdr:row>
      <xdr:rowOff>76199</xdr:rowOff>
    </xdr:to>
    <xdr:cxnSp macro="">
      <xdr:nvCxnSpPr>
        <xdr:cNvPr id="108" name="107 Conector recto de flecha"/>
        <xdr:cNvCxnSpPr/>
      </xdr:nvCxnSpPr>
      <xdr:spPr>
        <a:xfrm rot="10800000" flipV="1">
          <a:off x="9324975" y="68113274"/>
          <a:ext cx="285750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252</xdr:row>
      <xdr:rowOff>104775</xdr:rowOff>
    </xdr:from>
    <xdr:to>
      <xdr:col>10</xdr:col>
      <xdr:colOff>504825</xdr:colOff>
      <xdr:row>252</xdr:row>
      <xdr:rowOff>114300</xdr:rowOff>
    </xdr:to>
    <xdr:cxnSp macro="">
      <xdr:nvCxnSpPr>
        <xdr:cNvPr id="111" name="110 Conector recto de flecha"/>
        <xdr:cNvCxnSpPr/>
      </xdr:nvCxnSpPr>
      <xdr:spPr>
        <a:xfrm flipV="1">
          <a:off x="9553575" y="51254025"/>
          <a:ext cx="2000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123826</xdr:colOff>
      <xdr:row>340</xdr:row>
      <xdr:rowOff>114299</xdr:rowOff>
    </xdr:from>
    <xdr:to>
      <xdr:col>10</xdr:col>
      <xdr:colOff>609601</xdr:colOff>
      <xdr:row>342</xdr:row>
      <xdr:rowOff>104774</xdr:rowOff>
    </xdr:to>
    <xdr:cxnSp macro="">
      <xdr:nvCxnSpPr>
        <xdr:cNvPr id="104" name="103 Conector angular"/>
        <xdr:cNvCxnSpPr/>
      </xdr:nvCxnSpPr>
      <xdr:spPr>
        <a:xfrm rot="10800000" flipV="1">
          <a:off x="9372601" y="69161024"/>
          <a:ext cx="485775" cy="390525"/>
        </a:xfrm>
        <a:prstGeom prst="bentConnector3">
          <a:avLst>
            <a:gd name="adj1" fmla="val 50000"/>
          </a:avLst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380999</xdr:colOff>
      <xdr:row>301</xdr:row>
      <xdr:rowOff>123825</xdr:rowOff>
    </xdr:from>
    <xdr:to>
      <xdr:col>10</xdr:col>
      <xdr:colOff>428624</xdr:colOff>
      <xdr:row>343</xdr:row>
      <xdr:rowOff>95249</xdr:rowOff>
    </xdr:to>
    <xdr:cxnSp macro="">
      <xdr:nvCxnSpPr>
        <xdr:cNvPr id="115" name="114 Conector recto"/>
        <xdr:cNvCxnSpPr/>
      </xdr:nvCxnSpPr>
      <xdr:spPr>
        <a:xfrm rot="16200000" flipH="1">
          <a:off x="5343525" y="65408174"/>
          <a:ext cx="8620124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343</xdr:row>
      <xdr:rowOff>95249</xdr:rowOff>
    </xdr:from>
    <xdr:to>
      <xdr:col>10</xdr:col>
      <xdr:colOff>428628</xdr:colOff>
      <xdr:row>343</xdr:row>
      <xdr:rowOff>104775</xdr:rowOff>
    </xdr:to>
    <xdr:cxnSp macro="">
      <xdr:nvCxnSpPr>
        <xdr:cNvPr id="117" name="116 Conector recto de flecha"/>
        <xdr:cNvCxnSpPr/>
      </xdr:nvCxnSpPr>
      <xdr:spPr>
        <a:xfrm rot="10800000" flipV="1">
          <a:off x="9344026" y="69742049"/>
          <a:ext cx="333377" cy="9526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301</xdr:row>
      <xdr:rowOff>114300</xdr:rowOff>
    </xdr:from>
    <xdr:to>
      <xdr:col>10</xdr:col>
      <xdr:colOff>733425</xdr:colOff>
      <xdr:row>301</xdr:row>
      <xdr:rowOff>115888</xdr:rowOff>
    </xdr:to>
    <xdr:cxnSp macro="">
      <xdr:nvCxnSpPr>
        <xdr:cNvPr id="120" name="119 Conector recto de flecha"/>
        <xdr:cNvCxnSpPr/>
      </xdr:nvCxnSpPr>
      <xdr:spPr>
        <a:xfrm>
          <a:off x="9629775" y="61112400"/>
          <a:ext cx="3524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342</xdr:row>
      <xdr:rowOff>104774</xdr:rowOff>
    </xdr:from>
    <xdr:to>
      <xdr:col>10</xdr:col>
      <xdr:colOff>695325</xdr:colOff>
      <xdr:row>343</xdr:row>
      <xdr:rowOff>123825</xdr:rowOff>
    </xdr:to>
    <xdr:cxnSp macro="">
      <xdr:nvCxnSpPr>
        <xdr:cNvPr id="102" name="101 Conector angular"/>
        <xdr:cNvCxnSpPr/>
      </xdr:nvCxnSpPr>
      <xdr:spPr>
        <a:xfrm rot="10800000" flipV="1">
          <a:off x="9563100" y="69551549"/>
          <a:ext cx="381000" cy="219076"/>
        </a:xfrm>
        <a:prstGeom prst="bentConnector3">
          <a:avLst>
            <a:gd name="adj1" fmla="val 50000"/>
          </a:avLst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352424</xdr:colOff>
      <xdr:row>347</xdr:row>
      <xdr:rowOff>104775</xdr:rowOff>
    </xdr:from>
    <xdr:to>
      <xdr:col>10</xdr:col>
      <xdr:colOff>361949</xdr:colOff>
      <xdr:row>362</xdr:row>
      <xdr:rowOff>95250</xdr:rowOff>
    </xdr:to>
    <xdr:cxnSp macro="">
      <xdr:nvCxnSpPr>
        <xdr:cNvPr id="106" name="105 Conector recto"/>
        <xdr:cNvCxnSpPr/>
      </xdr:nvCxnSpPr>
      <xdr:spPr>
        <a:xfrm rot="16200000" flipH="1">
          <a:off x="8091487" y="72061387"/>
          <a:ext cx="3028950" cy="952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361950</xdr:colOff>
      <xdr:row>362</xdr:row>
      <xdr:rowOff>95250</xdr:rowOff>
    </xdr:from>
    <xdr:to>
      <xdr:col>10</xdr:col>
      <xdr:colOff>676275</xdr:colOff>
      <xdr:row>362</xdr:row>
      <xdr:rowOff>96838</xdr:rowOff>
    </xdr:to>
    <xdr:cxnSp macro="">
      <xdr:nvCxnSpPr>
        <xdr:cNvPr id="112" name="111 Conector recto de flecha"/>
        <xdr:cNvCxnSpPr/>
      </xdr:nvCxnSpPr>
      <xdr:spPr>
        <a:xfrm>
          <a:off x="9610725" y="73580625"/>
          <a:ext cx="314325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347</xdr:row>
      <xdr:rowOff>123824</xdr:rowOff>
    </xdr:from>
    <xdr:to>
      <xdr:col>10</xdr:col>
      <xdr:colOff>352425</xdr:colOff>
      <xdr:row>347</xdr:row>
      <xdr:rowOff>133349</xdr:rowOff>
    </xdr:to>
    <xdr:cxnSp macro="">
      <xdr:nvCxnSpPr>
        <xdr:cNvPr id="114" name="113 Conector recto de flecha"/>
        <xdr:cNvCxnSpPr/>
      </xdr:nvCxnSpPr>
      <xdr:spPr>
        <a:xfrm rot="10800000" flipV="1">
          <a:off x="9277350" y="70570724"/>
          <a:ext cx="323850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419101</xdr:colOff>
      <xdr:row>343</xdr:row>
      <xdr:rowOff>57150</xdr:rowOff>
    </xdr:from>
    <xdr:to>
      <xdr:col>10</xdr:col>
      <xdr:colOff>428626</xdr:colOff>
      <xdr:row>348</xdr:row>
      <xdr:rowOff>114300</xdr:rowOff>
    </xdr:to>
    <xdr:cxnSp macro="">
      <xdr:nvCxnSpPr>
        <xdr:cNvPr id="110" name="109 Conector recto"/>
        <xdr:cNvCxnSpPr/>
      </xdr:nvCxnSpPr>
      <xdr:spPr>
        <a:xfrm rot="5400000">
          <a:off x="9144001" y="70227825"/>
          <a:ext cx="1057275" cy="952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348</xdr:row>
      <xdr:rowOff>104775</xdr:rowOff>
    </xdr:from>
    <xdr:to>
      <xdr:col>10</xdr:col>
      <xdr:colOff>428625</xdr:colOff>
      <xdr:row>348</xdr:row>
      <xdr:rowOff>106363</xdr:rowOff>
    </xdr:to>
    <xdr:cxnSp macro="">
      <xdr:nvCxnSpPr>
        <xdr:cNvPr id="116" name="115 Conector recto de flecha"/>
        <xdr:cNvCxnSpPr/>
      </xdr:nvCxnSpPr>
      <xdr:spPr>
        <a:xfrm rot="10800000">
          <a:off x="9296400" y="70751700"/>
          <a:ext cx="381000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57151</xdr:colOff>
      <xdr:row>364</xdr:row>
      <xdr:rowOff>76199</xdr:rowOff>
    </xdr:from>
    <xdr:to>
      <xdr:col>10</xdr:col>
      <xdr:colOff>619126</xdr:colOff>
      <xdr:row>366</xdr:row>
      <xdr:rowOff>123824</xdr:rowOff>
    </xdr:to>
    <xdr:cxnSp macro="">
      <xdr:nvCxnSpPr>
        <xdr:cNvPr id="119" name="118 Conector angular"/>
        <xdr:cNvCxnSpPr/>
      </xdr:nvCxnSpPr>
      <xdr:spPr>
        <a:xfrm rot="10800000" flipV="1">
          <a:off x="9305926" y="73971149"/>
          <a:ext cx="561975" cy="447675"/>
        </a:xfrm>
        <a:prstGeom prst="bentConnector3">
          <a:avLst>
            <a:gd name="adj1" fmla="val 50000"/>
          </a:avLst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47626</xdr:colOff>
      <xdr:row>332</xdr:row>
      <xdr:rowOff>104775</xdr:rowOff>
    </xdr:from>
    <xdr:to>
      <xdr:col>10</xdr:col>
      <xdr:colOff>361951</xdr:colOff>
      <xdr:row>332</xdr:row>
      <xdr:rowOff>106363</xdr:rowOff>
    </xdr:to>
    <xdr:cxnSp macro="">
      <xdr:nvCxnSpPr>
        <xdr:cNvPr id="118" name="117 Conector recto de flecha"/>
        <xdr:cNvCxnSpPr/>
      </xdr:nvCxnSpPr>
      <xdr:spPr>
        <a:xfrm rot="10800000">
          <a:off x="9296401" y="67551300"/>
          <a:ext cx="31432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369</xdr:row>
      <xdr:rowOff>104775</xdr:rowOff>
    </xdr:from>
    <xdr:to>
      <xdr:col>10</xdr:col>
      <xdr:colOff>552450</xdr:colOff>
      <xdr:row>370</xdr:row>
      <xdr:rowOff>95250</xdr:rowOff>
    </xdr:to>
    <xdr:cxnSp macro="">
      <xdr:nvCxnSpPr>
        <xdr:cNvPr id="121" name="120 Conector angular"/>
        <xdr:cNvCxnSpPr/>
      </xdr:nvCxnSpPr>
      <xdr:spPr>
        <a:xfrm rot="10800000" flipV="1">
          <a:off x="9305925" y="74999850"/>
          <a:ext cx="495300" cy="1905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142876</xdr:colOff>
      <xdr:row>374</xdr:row>
      <xdr:rowOff>114300</xdr:rowOff>
    </xdr:from>
    <xdr:to>
      <xdr:col>10</xdr:col>
      <xdr:colOff>647701</xdr:colOff>
      <xdr:row>375</xdr:row>
      <xdr:rowOff>123825</xdr:rowOff>
    </xdr:to>
    <xdr:cxnSp macro="">
      <xdr:nvCxnSpPr>
        <xdr:cNvPr id="122" name="121 Conector angular"/>
        <xdr:cNvCxnSpPr/>
      </xdr:nvCxnSpPr>
      <xdr:spPr>
        <a:xfrm rot="10800000" flipV="1">
          <a:off x="9458326" y="76085700"/>
          <a:ext cx="504825" cy="2095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171449</xdr:colOff>
      <xdr:row>339</xdr:row>
      <xdr:rowOff>85725</xdr:rowOff>
    </xdr:from>
    <xdr:to>
      <xdr:col>10</xdr:col>
      <xdr:colOff>238124</xdr:colOff>
      <xdr:row>382</xdr:row>
      <xdr:rowOff>85725</xdr:rowOff>
    </xdr:to>
    <xdr:cxnSp macro="">
      <xdr:nvCxnSpPr>
        <xdr:cNvPr id="123" name="122 Conector recto"/>
        <xdr:cNvCxnSpPr/>
      </xdr:nvCxnSpPr>
      <xdr:spPr>
        <a:xfrm rot="16200000" flipH="1">
          <a:off x="5195887" y="73299637"/>
          <a:ext cx="8648700" cy="666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382</xdr:row>
      <xdr:rowOff>95251</xdr:rowOff>
    </xdr:from>
    <xdr:to>
      <xdr:col>10</xdr:col>
      <xdr:colOff>238126</xdr:colOff>
      <xdr:row>382</xdr:row>
      <xdr:rowOff>104776</xdr:rowOff>
    </xdr:to>
    <xdr:cxnSp macro="">
      <xdr:nvCxnSpPr>
        <xdr:cNvPr id="126" name="125 Conector recto de flecha"/>
        <xdr:cNvCxnSpPr/>
      </xdr:nvCxnSpPr>
      <xdr:spPr>
        <a:xfrm rot="10800000">
          <a:off x="9315451" y="77666851"/>
          <a:ext cx="2381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180975</xdr:colOff>
      <xdr:row>339</xdr:row>
      <xdr:rowOff>95250</xdr:rowOff>
    </xdr:from>
    <xdr:to>
      <xdr:col>10</xdr:col>
      <xdr:colOff>628650</xdr:colOff>
      <xdr:row>339</xdr:row>
      <xdr:rowOff>96838</xdr:rowOff>
    </xdr:to>
    <xdr:cxnSp macro="">
      <xdr:nvCxnSpPr>
        <xdr:cNvPr id="128" name="127 Conector recto de flecha"/>
        <xdr:cNvCxnSpPr/>
      </xdr:nvCxnSpPr>
      <xdr:spPr>
        <a:xfrm>
          <a:off x="9496425" y="69018150"/>
          <a:ext cx="4476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114301</xdr:colOff>
      <xdr:row>390</xdr:row>
      <xdr:rowOff>85725</xdr:rowOff>
    </xdr:from>
    <xdr:to>
      <xdr:col>10</xdr:col>
      <xdr:colOff>657226</xdr:colOff>
      <xdr:row>391</xdr:row>
      <xdr:rowOff>133350</xdr:rowOff>
    </xdr:to>
    <xdr:cxnSp macro="">
      <xdr:nvCxnSpPr>
        <xdr:cNvPr id="124" name="123 Conector angular"/>
        <xdr:cNvCxnSpPr/>
      </xdr:nvCxnSpPr>
      <xdr:spPr>
        <a:xfrm rot="10800000">
          <a:off x="9429751" y="79257525"/>
          <a:ext cx="542925" cy="247650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403</xdr:row>
      <xdr:rowOff>123825</xdr:rowOff>
    </xdr:from>
    <xdr:to>
      <xdr:col>10</xdr:col>
      <xdr:colOff>552450</xdr:colOff>
      <xdr:row>404</xdr:row>
      <xdr:rowOff>85725</xdr:rowOff>
    </xdr:to>
    <xdr:cxnSp macro="">
      <xdr:nvCxnSpPr>
        <xdr:cNvPr id="125" name="124 Conector angular"/>
        <xdr:cNvCxnSpPr/>
      </xdr:nvCxnSpPr>
      <xdr:spPr>
        <a:xfrm>
          <a:off x="9353550" y="81943575"/>
          <a:ext cx="514350" cy="161925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513556</xdr:colOff>
      <xdr:row>381</xdr:row>
      <xdr:rowOff>114301</xdr:rowOff>
    </xdr:from>
    <xdr:to>
      <xdr:col>10</xdr:col>
      <xdr:colOff>523875</xdr:colOff>
      <xdr:row>389</xdr:row>
      <xdr:rowOff>76995</xdr:rowOff>
    </xdr:to>
    <xdr:cxnSp macro="">
      <xdr:nvCxnSpPr>
        <xdr:cNvPr id="127" name="126 Conector recto"/>
        <xdr:cNvCxnSpPr/>
      </xdr:nvCxnSpPr>
      <xdr:spPr>
        <a:xfrm rot="5400000">
          <a:off x="9052719" y="78262163"/>
          <a:ext cx="1562894" cy="1031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504825</xdr:colOff>
      <xdr:row>381</xdr:row>
      <xdr:rowOff>104775</xdr:rowOff>
    </xdr:from>
    <xdr:to>
      <xdr:col>10</xdr:col>
      <xdr:colOff>752475</xdr:colOff>
      <xdr:row>381</xdr:row>
      <xdr:rowOff>106363</xdr:rowOff>
    </xdr:to>
    <xdr:cxnSp macro="">
      <xdr:nvCxnSpPr>
        <xdr:cNvPr id="131" name="130 Conector recto de flecha"/>
        <xdr:cNvCxnSpPr/>
      </xdr:nvCxnSpPr>
      <xdr:spPr>
        <a:xfrm>
          <a:off x="9820275" y="77476350"/>
          <a:ext cx="24765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389</xdr:row>
      <xdr:rowOff>133350</xdr:rowOff>
    </xdr:from>
    <xdr:to>
      <xdr:col>10</xdr:col>
      <xdr:colOff>514350</xdr:colOff>
      <xdr:row>389</xdr:row>
      <xdr:rowOff>134938</xdr:rowOff>
    </xdr:to>
    <xdr:cxnSp macro="">
      <xdr:nvCxnSpPr>
        <xdr:cNvPr id="133" name="132 Conector recto de flecha"/>
        <xdr:cNvCxnSpPr/>
      </xdr:nvCxnSpPr>
      <xdr:spPr>
        <a:xfrm rot="10800000">
          <a:off x="9486900" y="79105125"/>
          <a:ext cx="3429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361157</xdr:colOff>
      <xdr:row>224</xdr:row>
      <xdr:rowOff>123829</xdr:rowOff>
    </xdr:from>
    <xdr:to>
      <xdr:col>8</xdr:col>
      <xdr:colOff>361950</xdr:colOff>
      <xdr:row>230</xdr:row>
      <xdr:rowOff>105569</xdr:rowOff>
    </xdr:to>
    <xdr:cxnSp macro="">
      <xdr:nvCxnSpPr>
        <xdr:cNvPr id="3" name="2 Conector recto"/>
        <xdr:cNvCxnSpPr/>
      </xdr:nvCxnSpPr>
      <xdr:spPr>
        <a:xfrm rot="5400000">
          <a:off x="6885784" y="45748577"/>
          <a:ext cx="1181890" cy="79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224</xdr:row>
      <xdr:rowOff>123825</xdr:rowOff>
    </xdr:from>
    <xdr:to>
      <xdr:col>8</xdr:col>
      <xdr:colOff>361950</xdr:colOff>
      <xdr:row>224</xdr:row>
      <xdr:rowOff>125413</xdr:rowOff>
    </xdr:to>
    <xdr:cxnSp macro="">
      <xdr:nvCxnSpPr>
        <xdr:cNvPr id="5" name="4 Conector recto de flecha"/>
        <xdr:cNvCxnSpPr/>
      </xdr:nvCxnSpPr>
      <xdr:spPr>
        <a:xfrm rot="10800000">
          <a:off x="7172325" y="45158025"/>
          <a:ext cx="304800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361950</xdr:colOff>
      <xdr:row>230</xdr:row>
      <xdr:rowOff>85725</xdr:rowOff>
    </xdr:from>
    <xdr:to>
      <xdr:col>8</xdr:col>
      <xdr:colOff>685800</xdr:colOff>
      <xdr:row>230</xdr:row>
      <xdr:rowOff>95250</xdr:rowOff>
    </xdr:to>
    <xdr:cxnSp macro="">
      <xdr:nvCxnSpPr>
        <xdr:cNvPr id="7" name="6 Conector recto de flecha"/>
        <xdr:cNvCxnSpPr/>
      </xdr:nvCxnSpPr>
      <xdr:spPr>
        <a:xfrm flipV="1">
          <a:off x="7477125" y="46320075"/>
          <a:ext cx="323850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370682</xdr:colOff>
      <xdr:row>247</xdr:row>
      <xdr:rowOff>134143</xdr:rowOff>
    </xdr:from>
    <xdr:to>
      <xdr:col>8</xdr:col>
      <xdr:colOff>372270</xdr:colOff>
      <xdr:row>252</xdr:row>
      <xdr:rowOff>76993</xdr:rowOff>
    </xdr:to>
    <xdr:cxnSp macro="">
      <xdr:nvCxnSpPr>
        <xdr:cNvPr id="8" name="7 Conector recto"/>
        <xdr:cNvCxnSpPr/>
      </xdr:nvCxnSpPr>
      <xdr:spPr>
        <a:xfrm rot="5400000">
          <a:off x="7015163" y="50277712"/>
          <a:ext cx="942975" cy="158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19051</xdr:colOff>
      <xdr:row>247</xdr:row>
      <xdr:rowOff>133350</xdr:rowOff>
    </xdr:from>
    <xdr:to>
      <xdr:col>8</xdr:col>
      <xdr:colOff>371476</xdr:colOff>
      <xdr:row>247</xdr:row>
      <xdr:rowOff>134938</xdr:rowOff>
    </xdr:to>
    <xdr:cxnSp macro="">
      <xdr:nvCxnSpPr>
        <xdr:cNvPr id="10" name="9 Conector recto de flecha"/>
        <xdr:cNvCxnSpPr/>
      </xdr:nvCxnSpPr>
      <xdr:spPr>
        <a:xfrm rot="10800000">
          <a:off x="7134226" y="49806225"/>
          <a:ext cx="352425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252</xdr:row>
      <xdr:rowOff>76200</xdr:rowOff>
    </xdr:from>
    <xdr:to>
      <xdr:col>8</xdr:col>
      <xdr:colOff>723900</xdr:colOff>
      <xdr:row>252</xdr:row>
      <xdr:rowOff>77788</xdr:rowOff>
    </xdr:to>
    <xdr:cxnSp macro="">
      <xdr:nvCxnSpPr>
        <xdr:cNvPr id="12" name="11 Conector recto de flecha"/>
        <xdr:cNvCxnSpPr/>
      </xdr:nvCxnSpPr>
      <xdr:spPr>
        <a:xfrm>
          <a:off x="7486650" y="50749200"/>
          <a:ext cx="352425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265907</xdr:colOff>
      <xdr:row>249</xdr:row>
      <xdr:rowOff>143668</xdr:rowOff>
    </xdr:from>
    <xdr:to>
      <xdr:col>8</xdr:col>
      <xdr:colOff>267495</xdr:colOff>
      <xdr:row>259</xdr:row>
      <xdr:rowOff>96043</xdr:rowOff>
    </xdr:to>
    <xdr:cxnSp macro="">
      <xdr:nvCxnSpPr>
        <xdr:cNvPr id="14" name="13 Conector recto"/>
        <xdr:cNvCxnSpPr/>
      </xdr:nvCxnSpPr>
      <xdr:spPr>
        <a:xfrm rot="5400000">
          <a:off x="6405563" y="51192112"/>
          <a:ext cx="1952625" cy="1588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38101</xdr:colOff>
      <xdr:row>249</xdr:row>
      <xdr:rowOff>123826</xdr:rowOff>
    </xdr:from>
    <xdr:to>
      <xdr:col>8</xdr:col>
      <xdr:colOff>276226</xdr:colOff>
      <xdr:row>249</xdr:row>
      <xdr:rowOff>133351</xdr:rowOff>
    </xdr:to>
    <xdr:cxnSp macro="">
      <xdr:nvCxnSpPr>
        <xdr:cNvPr id="16" name="15 Conector recto de flecha"/>
        <xdr:cNvCxnSpPr/>
      </xdr:nvCxnSpPr>
      <xdr:spPr>
        <a:xfrm rot="10800000">
          <a:off x="7153276" y="50196751"/>
          <a:ext cx="2381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57151</xdr:colOff>
      <xdr:row>252</xdr:row>
      <xdr:rowOff>114301</xdr:rowOff>
    </xdr:from>
    <xdr:to>
      <xdr:col>8</xdr:col>
      <xdr:colOff>276226</xdr:colOff>
      <xdr:row>252</xdr:row>
      <xdr:rowOff>123826</xdr:rowOff>
    </xdr:to>
    <xdr:cxnSp macro="">
      <xdr:nvCxnSpPr>
        <xdr:cNvPr id="18" name="17 Conector recto de flecha"/>
        <xdr:cNvCxnSpPr/>
      </xdr:nvCxnSpPr>
      <xdr:spPr>
        <a:xfrm rot="10800000">
          <a:off x="7172326" y="50787301"/>
          <a:ext cx="21907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276225</xdr:colOff>
      <xdr:row>259</xdr:row>
      <xdr:rowOff>85725</xdr:rowOff>
    </xdr:from>
    <xdr:to>
      <xdr:col>8</xdr:col>
      <xdr:colOff>638175</xdr:colOff>
      <xdr:row>259</xdr:row>
      <xdr:rowOff>95250</xdr:rowOff>
    </xdr:to>
    <xdr:cxnSp macro="">
      <xdr:nvCxnSpPr>
        <xdr:cNvPr id="20" name="19 Conector recto de flecha"/>
        <xdr:cNvCxnSpPr/>
      </xdr:nvCxnSpPr>
      <xdr:spPr>
        <a:xfrm flipV="1">
          <a:off x="7391400" y="52158900"/>
          <a:ext cx="361950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284</xdr:row>
      <xdr:rowOff>142876</xdr:rowOff>
    </xdr:from>
    <xdr:to>
      <xdr:col>8</xdr:col>
      <xdr:colOff>657225</xdr:colOff>
      <xdr:row>286</xdr:row>
      <xdr:rowOff>123826</xdr:rowOff>
    </xdr:to>
    <xdr:cxnSp macro="">
      <xdr:nvCxnSpPr>
        <xdr:cNvPr id="22" name="21 Conector angular"/>
        <xdr:cNvCxnSpPr/>
      </xdr:nvCxnSpPr>
      <xdr:spPr>
        <a:xfrm rot="10800000">
          <a:off x="7219950" y="57245251"/>
          <a:ext cx="552450" cy="390525"/>
        </a:xfrm>
        <a:prstGeom prst="bentConnector3">
          <a:avLst>
            <a:gd name="adj1" fmla="val 50000"/>
          </a:avLst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123826</xdr:colOff>
      <xdr:row>408</xdr:row>
      <xdr:rowOff>104775</xdr:rowOff>
    </xdr:from>
    <xdr:to>
      <xdr:col>8</xdr:col>
      <xdr:colOff>647701</xdr:colOff>
      <xdr:row>409</xdr:row>
      <xdr:rowOff>95250</xdr:rowOff>
    </xdr:to>
    <xdr:cxnSp macro="">
      <xdr:nvCxnSpPr>
        <xdr:cNvPr id="15" name="14 Conector angular"/>
        <xdr:cNvCxnSpPr/>
      </xdr:nvCxnSpPr>
      <xdr:spPr>
        <a:xfrm rot="10800000">
          <a:off x="7239001" y="82172175"/>
          <a:ext cx="523875" cy="190500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95</xdr:row>
      <xdr:rowOff>104775</xdr:rowOff>
    </xdr:from>
    <xdr:to>
      <xdr:col>8</xdr:col>
      <xdr:colOff>371474</xdr:colOff>
      <xdr:row>102</xdr:row>
      <xdr:rowOff>95250</xdr:rowOff>
    </xdr:to>
    <xdr:cxnSp macro="">
      <xdr:nvCxnSpPr>
        <xdr:cNvPr id="3" name="2 Conector recto"/>
        <xdr:cNvCxnSpPr/>
      </xdr:nvCxnSpPr>
      <xdr:spPr>
        <a:xfrm rot="16200000" flipH="1">
          <a:off x="6300787" y="19912012"/>
          <a:ext cx="1390650" cy="952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102</xdr:row>
      <xdr:rowOff>104775</xdr:rowOff>
    </xdr:from>
    <xdr:to>
      <xdr:col>8</xdr:col>
      <xdr:colOff>371475</xdr:colOff>
      <xdr:row>102</xdr:row>
      <xdr:rowOff>106363</xdr:rowOff>
    </xdr:to>
    <xdr:cxnSp macro="">
      <xdr:nvCxnSpPr>
        <xdr:cNvPr id="5" name="4 Conector recto de flecha"/>
        <xdr:cNvCxnSpPr/>
      </xdr:nvCxnSpPr>
      <xdr:spPr>
        <a:xfrm rot="10800000">
          <a:off x="6696075" y="20621625"/>
          <a:ext cx="304800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361950</xdr:colOff>
      <xdr:row>95</xdr:row>
      <xdr:rowOff>123825</xdr:rowOff>
    </xdr:from>
    <xdr:to>
      <xdr:col>8</xdr:col>
      <xdr:colOff>714375</xdr:colOff>
      <xdr:row>95</xdr:row>
      <xdr:rowOff>125413</xdr:rowOff>
    </xdr:to>
    <xdr:cxnSp macro="">
      <xdr:nvCxnSpPr>
        <xdr:cNvPr id="9" name="8 Conector recto de flecha"/>
        <xdr:cNvCxnSpPr/>
      </xdr:nvCxnSpPr>
      <xdr:spPr>
        <a:xfrm>
          <a:off x="6991350" y="19240500"/>
          <a:ext cx="352425" cy="158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494508</xdr:colOff>
      <xdr:row>151</xdr:row>
      <xdr:rowOff>190503</xdr:rowOff>
    </xdr:from>
    <xdr:to>
      <xdr:col>3</xdr:col>
      <xdr:colOff>514351</xdr:colOff>
      <xdr:row>151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3771109" y="221703902"/>
          <a:ext cx="792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151</xdr:row>
      <xdr:rowOff>200025</xdr:rowOff>
    </xdr:from>
    <xdr:to>
      <xdr:col>5</xdr:col>
      <xdr:colOff>476252</xdr:colOff>
      <xdr:row>152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138863" y="2217181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494508</xdr:colOff>
      <xdr:row>151</xdr:row>
      <xdr:rowOff>190503</xdr:rowOff>
    </xdr:from>
    <xdr:to>
      <xdr:col>3</xdr:col>
      <xdr:colOff>514351</xdr:colOff>
      <xdr:row>151</xdr:row>
      <xdr:rowOff>715170</xdr:rowOff>
    </xdr:to>
    <xdr:cxnSp macro="">
      <xdr:nvCxnSpPr>
        <xdr:cNvPr id="12" name="11 Conector recto de flecha"/>
        <xdr:cNvCxnSpPr/>
      </xdr:nvCxnSpPr>
      <xdr:spPr>
        <a:xfrm rot="5400000">
          <a:off x="3771109" y="221703902"/>
          <a:ext cx="792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151</xdr:row>
      <xdr:rowOff>200025</xdr:rowOff>
    </xdr:from>
    <xdr:to>
      <xdr:col>5</xdr:col>
      <xdr:colOff>476252</xdr:colOff>
      <xdr:row>152</xdr:row>
      <xdr:rowOff>9525</xdr:rowOff>
    </xdr:to>
    <xdr:cxnSp macro="">
      <xdr:nvCxnSpPr>
        <xdr:cNvPr id="13" name="12 Conector recto de flecha"/>
        <xdr:cNvCxnSpPr/>
      </xdr:nvCxnSpPr>
      <xdr:spPr>
        <a:xfrm rot="5400000">
          <a:off x="6138863" y="2217181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</xdr:row>
      <xdr:rowOff>1</xdr:rowOff>
    </xdr:from>
    <xdr:to>
      <xdr:col>3</xdr:col>
      <xdr:colOff>752475</xdr:colOff>
      <xdr:row>8</xdr:row>
      <xdr:rowOff>19051</xdr:rowOff>
    </xdr:to>
    <xdr:sp macro="" textlink="">
      <xdr:nvSpPr>
        <xdr:cNvPr id="4" name="3 Rectángulo"/>
        <xdr:cNvSpPr/>
      </xdr:nvSpPr>
      <xdr:spPr>
        <a:xfrm>
          <a:off x="333375" y="190501"/>
          <a:ext cx="2705100" cy="11620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2800" b="1"/>
        </a:p>
        <a:p>
          <a:pPr algn="ctr"/>
          <a:r>
            <a:rPr lang="es-ES" sz="2800" b="1"/>
            <a:t>EDITH</a:t>
          </a:r>
          <a:r>
            <a:rPr lang="es-ES" sz="2800" b="1" baseline="0"/>
            <a:t> LUIS</a:t>
          </a:r>
          <a:endParaRPr lang="es-ES" sz="2800" b="1"/>
        </a:p>
        <a:p>
          <a:pPr algn="ctr"/>
          <a:endParaRPr lang="es-ES" sz="2800" b="1"/>
        </a:p>
      </xdr:txBody>
    </xdr:sp>
    <xdr:clientData/>
  </xdr:twoCellAnchor>
  <xdr:twoCellAnchor>
    <xdr:from>
      <xdr:col>4</xdr:col>
      <xdr:colOff>342901</xdr:colOff>
      <xdr:row>1</xdr:row>
      <xdr:rowOff>180975</xdr:rowOff>
    </xdr:from>
    <xdr:to>
      <xdr:col>8</xdr:col>
      <xdr:colOff>1</xdr:colOff>
      <xdr:row>8</xdr:row>
      <xdr:rowOff>47626</xdr:rowOff>
    </xdr:to>
    <xdr:sp macro="" textlink="">
      <xdr:nvSpPr>
        <xdr:cNvPr id="5" name="4 Rectángulo"/>
        <xdr:cNvSpPr/>
      </xdr:nvSpPr>
      <xdr:spPr>
        <a:xfrm>
          <a:off x="3390901" y="180975"/>
          <a:ext cx="2705100" cy="120015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2800" b="1"/>
        </a:p>
      </xdr:txBody>
    </xdr:sp>
    <xdr:clientData/>
  </xdr:twoCellAnchor>
  <xdr:twoCellAnchor>
    <xdr:from>
      <xdr:col>8</xdr:col>
      <xdr:colOff>361950</xdr:colOff>
      <xdr:row>2</xdr:row>
      <xdr:rowOff>9525</xdr:rowOff>
    </xdr:from>
    <xdr:to>
      <xdr:col>12</xdr:col>
      <xdr:colOff>0</xdr:colOff>
      <xdr:row>8</xdr:row>
      <xdr:rowOff>57150</xdr:rowOff>
    </xdr:to>
    <xdr:sp macro="" textlink="">
      <xdr:nvSpPr>
        <xdr:cNvPr id="6" name="5 Rectángulo"/>
        <xdr:cNvSpPr/>
      </xdr:nvSpPr>
      <xdr:spPr>
        <a:xfrm>
          <a:off x="6457950" y="200025"/>
          <a:ext cx="2686050" cy="11906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2800" b="1"/>
        </a:p>
      </xdr:txBody>
    </xdr:sp>
    <xdr:clientData/>
  </xdr:twoCellAnchor>
  <xdr:twoCellAnchor>
    <xdr:from>
      <xdr:col>0</xdr:col>
      <xdr:colOff>323850</xdr:colOff>
      <xdr:row>11</xdr:row>
      <xdr:rowOff>9526</xdr:rowOff>
    </xdr:from>
    <xdr:to>
      <xdr:col>4</xdr:col>
      <xdr:colOff>0</xdr:colOff>
      <xdr:row>17</xdr:row>
      <xdr:rowOff>47626</xdr:rowOff>
    </xdr:to>
    <xdr:sp macro="" textlink="">
      <xdr:nvSpPr>
        <xdr:cNvPr id="7" name="6 Rectángulo"/>
        <xdr:cNvSpPr/>
      </xdr:nvSpPr>
      <xdr:spPr>
        <a:xfrm>
          <a:off x="323850" y="1724026"/>
          <a:ext cx="2724150" cy="1181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2800" b="1"/>
            <a:t>RAUL GUTIERREZ</a:t>
          </a:r>
        </a:p>
      </xdr:txBody>
    </xdr:sp>
    <xdr:clientData/>
  </xdr:twoCellAnchor>
  <xdr:twoCellAnchor>
    <xdr:from>
      <xdr:col>4</xdr:col>
      <xdr:colOff>342900</xdr:colOff>
      <xdr:row>11</xdr:row>
      <xdr:rowOff>28575</xdr:rowOff>
    </xdr:from>
    <xdr:to>
      <xdr:col>8</xdr:col>
      <xdr:colOff>9525</xdr:colOff>
      <xdr:row>17</xdr:row>
      <xdr:rowOff>76201</xdr:rowOff>
    </xdr:to>
    <xdr:sp macro="" textlink="">
      <xdr:nvSpPr>
        <xdr:cNvPr id="8" name="7 Rectángulo"/>
        <xdr:cNvSpPr/>
      </xdr:nvSpPr>
      <xdr:spPr>
        <a:xfrm>
          <a:off x="3390900" y="1743075"/>
          <a:ext cx="2714625" cy="119062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2800" b="1"/>
        </a:p>
      </xdr:txBody>
    </xdr:sp>
    <xdr:clientData/>
  </xdr:twoCellAnchor>
  <xdr:twoCellAnchor>
    <xdr:from>
      <xdr:col>8</xdr:col>
      <xdr:colOff>361950</xdr:colOff>
      <xdr:row>11</xdr:row>
      <xdr:rowOff>19050</xdr:rowOff>
    </xdr:from>
    <xdr:to>
      <xdr:col>12</xdr:col>
      <xdr:colOff>9525</xdr:colOff>
      <xdr:row>17</xdr:row>
      <xdr:rowOff>85725</xdr:rowOff>
    </xdr:to>
    <xdr:sp macro="" textlink="">
      <xdr:nvSpPr>
        <xdr:cNvPr id="9" name="8 Rectángulo"/>
        <xdr:cNvSpPr/>
      </xdr:nvSpPr>
      <xdr:spPr>
        <a:xfrm>
          <a:off x="6457950" y="1733550"/>
          <a:ext cx="2695575" cy="12096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2800" b="1"/>
        </a:p>
      </xdr:txBody>
    </xdr:sp>
    <xdr:clientData/>
  </xdr:twoCellAnchor>
  <xdr:twoCellAnchor>
    <xdr:from>
      <xdr:col>0</xdr:col>
      <xdr:colOff>323850</xdr:colOff>
      <xdr:row>20</xdr:row>
      <xdr:rowOff>0</xdr:rowOff>
    </xdr:from>
    <xdr:to>
      <xdr:col>4</xdr:col>
      <xdr:colOff>0</xdr:colOff>
      <xdr:row>26</xdr:row>
      <xdr:rowOff>47625</xdr:rowOff>
    </xdr:to>
    <xdr:sp macro="" textlink="">
      <xdr:nvSpPr>
        <xdr:cNvPr id="10" name="9 Rectángulo"/>
        <xdr:cNvSpPr/>
      </xdr:nvSpPr>
      <xdr:spPr>
        <a:xfrm>
          <a:off x="323850" y="3238500"/>
          <a:ext cx="2724150" cy="11906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3200" b="1"/>
            <a:t>DAVID ARENAS</a:t>
          </a:r>
        </a:p>
      </xdr:txBody>
    </xdr:sp>
    <xdr:clientData/>
  </xdr:twoCellAnchor>
  <xdr:twoCellAnchor>
    <xdr:from>
      <xdr:col>4</xdr:col>
      <xdr:colOff>333376</xdr:colOff>
      <xdr:row>19</xdr:row>
      <xdr:rowOff>161925</xdr:rowOff>
    </xdr:from>
    <xdr:to>
      <xdr:col>8</xdr:col>
      <xdr:colOff>9526</xdr:colOff>
      <xdr:row>26</xdr:row>
      <xdr:rowOff>28575</xdr:rowOff>
    </xdr:to>
    <xdr:sp macro="" textlink="">
      <xdr:nvSpPr>
        <xdr:cNvPr id="11" name="10 Rectángulo"/>
        <xdr:cNvSpPr/>
      </xdr:nvSpPr>
      <xdr:spPr>
        <a:xfrm>
          <a:off x="3381376" y="3781425"/>
          <a:ext cx="2724150" cy="12001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3200" b="1"/>
        </a:p>
      </xdr:txBody>
    </xdr:sp>
    <xdr:clientData/>
  </xdr:twoCellAnchor>
  <xdr:twoCellAnchor>
    <xdr:from>
      <xdr:col>8</xdr:col>
      <xdr:colOff>361950</xdr:colOff>
      <xdr:row>19</xdr:row>
      <xdr:rowOff>180976</xdr:rowOff>
    </xdr:from>
    <xdr:to>
      <xdr:col>12</xdr:col>
      <xdr:colOff>9525</xdr:colOff>
      <xdr:row>26</xdr:row>
      <xdr:rowOff>85726</xdr:rowOff>
    </xdr:to>
    <xdr:sp macro="" textlink="">
      <xdr:nvSpPr>
        <xdr:cNvPr id="12" name="11 Rectángulo"/>
        <xdr:cNvSpPr/>
      </xdr:nvSpPr>
      <xdr:spPr>
        <a:xfrm>
          <a:off x="6457950" y="3228976"/>
          <a:ext cx="2695575" cy="12382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2800" b="1"/>
        </a:p>
      </xdr:txBody>
    </xdr:sp>
    <xdr:clientData/>
  </xdr:twoCellAnchor>
  <xdr:twoCellAnchor>
    <xdr:from>
      <xdr:col>0</xdr:col>
      <xdr:colOff>333375</xdr:colOff>
      <xdr:row>29</xdr:row>
      <xdr:rowOff>0</xdr:rowOff>
    </xdr:from>
    <xdr:to>
      <xdr:col>4</xdr:col>
      <xdr:colOff>0</xdr:colOff>
      <xdr:row>35</xdr:row>
      <xdr:rowOff>47625</xdr:rowOff>
    </xdr:to>
    <xdr:sp macro="" textlink="">
      <xdr:nvSpPr>
        <xdr:cNvPr id="13" name="12 Rectángulo"/>
        <xdr:cNvSpPr/>
      </xdr:nvSpPr>
      <xdr:spPr>
        <a:xfrm>
          <a:off x="333375" y="4762500"/>
          <a:ext cx="2714625" cy="11906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ES" sz="2800" b="1"/>
            <a:t>JAIME LOPEZ</a:t>
          </a:r>
        </a:p>
      </xdr:txBody>
    </xdr:sp>
    <xdr:clientData/>
  </xdr:twoCellAnchor>
  <xdr:twoCellAnchor>
    <xdr:from>
      <xdr:col>4</xdr:col>
      <xdr:colOff>333375</xdr:colOff>
      <xdr:row>29</xdr:row>
      <xdr:rowOff>9525</xdr:rowOff>
    </xdr:from>
    <xdr:to>
      <xdr:col>8</xdr:col>
      <xdr:colOff>9525</xdr:colOff>
      <xdr:row>35</xdr:row>
      <xdr:rowOff>76201</xdr:rowOff>
    </xdr:to>
    <xdr:sp macro="" textlink="">
      <xdr:nvSpPr>
        <xdr:cNvPr id="14" name="13 Rectángulo"/>
        <xdr:cNvSpPr/>
      </xdr:nvSpPr>
      <xdr:spPr>
        <a:xfrm>
          <a:off x="3381375" y="4772025"/>
          <a:ext cx="2724150" cy="12096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2800" b="1"/>
        </a:p>
      </xdr:txBody>
    </xdr:sp>
    <xdr:clientData/>
  </xdr:twoCellAnchor>
  <xdr:twoCellAnchor>
    <xdr:from>
      <xdr:col>8</xdr:col>
      <xdr:colOff>361950</xdr:colOff>
      <xdr:row>29</xdr:row>
      <xdr:rowOff>9526</xdr:rowOff>
    </xdr:from>
    <xdr:to>
      <xdr:col>12</xdr:col>
      <xdr:colOff>9525</xdr:colOff>
      <xdr:row>35</xdr:row>
      <xdr:rowOff>85726</xdr:rowOff>
    </xdr:to>
    <xdr:sp macro="" textlink="">
      <xdr:nvSpPr>
        <xdr:cNvPr id="15" name="14 Rectángulo"/>
        <xdr:cNvSpPr/>
      </xdr:nvSpPr>
      <xdr:spPr>
        <a:xfrm>
          <a:off x="6457950" y="4772026"/>
          <a:ext cx="2695575" cy="12192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2800" b="1"/>
        </a:p>
      </xdr:txBody>
    </xdr:sp>
    <xdr:clientData/>
  </xdr:twoCellAnchor>
  <xdr:twoCellAnchor>
    <xdr:from>
      <xdr:col>0</xdr:col>
      <xdr:colOff>342900</xdr:colOff>
      <xdr:row>39</xdr:row>
      <xdr:rowOff>180976</xdr:rowOff>
    </xdr:from>
    <xdr:to>
      <xdr:col>4</xdr:col>
      <xdr:colOff>0</xdr:colOff>
      <xdr:row>46</xdr:row>
      <xdr:rowOff>47626</xdr:rowOff>
    </xdr:to>
    <xdr:sp macro="" textlink="">
      <xdr:nvSpPr>
        <xdr:cNvPr id="16" name="15 Rectángulo"/>
        <xdr:cNvSpPr/>
      </xdr:nvSpPr>
      <xdr:spPr>
        <a:xfrm>
          <a:off x="342900" y="6276976"/>
          <a:ext cx="2705100" cy="12001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2800" b="1"/>
        </a:p>
      </xdr:txBody>
    </xdr:sp>
    <xdr:clientData/>
  </xdr:twoCellAnchor>
  <xdr:twoCellAnchor>
    <xdr:from>
      <xdr:col>4</xdr:col>
      <xdr:colOff>342900</xdr:colOff>
      <xdr:row>39</xdr:row>
      <xdr:rowOff>180975</xdr:rowOff>
    </xdr:from>
    <xdr:to>
      <xdr:col>8</xdr:col>
      <xdr:colOff>9525</xdr:colOff>
      <xdr:row>46</xdr:row>
      <xdr:rowOff>76200</xdr:rowOff>
    </xdr:to>
    <xdr:sp macro="" textlink="">
      <xdr:nvSpPr>
        <xdr:cNvPr id="17" name="16 Rectángulo"/>
        <xdr:cNvSpPr/>
      </xdr:nvSpPr>
      <xdr:spPr>
        <a:xfrm>
          <a:off x="3390900" y="6276975"/>
          <a:ext cx="2714625" cy="12287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2800" b="1"/>
        </a:p>
      </xdr:txBody>
    </xdr:sp>
    <xdr:clientData/>
  </xdr:twoCellAnchor>
  <xdr:twoCellAnchor>
    <xdr:from>
      <xdr:col>8</xdr:col>
      <xdr:colOff>361950</xdr:colOff>
      <xdr:row>40</xdr:row>
      <xdr:rowOff>0</xdr:rowOff>
    </xdr:from>
    <xdr:to>
      <xdr:col>12</xdr:col>
      <xdr:colOff>9525</xdr:colOff>
      <xdr:row>46</xdr:row>
      <xdr:rowOff>85725</xdr:rowOff>
    </xdr:to>
    <xdr:sp macro="" textlink="">
      <xdr:nvSpPr>
        <xdr:cNvPr id="18" name="17 Rectángulo"/>
        <xdr:cNvSpPr/>
      </xdr:nvSpPr>
      <xdr:spPr>
        <a:xfrm>
          <a:off x="6457950" y="6286500"/>
          <a:ext cx="2695575" cy="12287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2800" b="1"/>
        </a:p>
      </xdr:txBody>
    </xdr:sp>
    <xdr:clientData/>
  </xdr:twoCellAnchor>
  <xdr:twoCellAnchor>
    <xdr:from>
      <xdr:col>0</xdr:col>
      <xdr:colOff>333375</xdr:colOff>
      <xdr:row>49</xdr:row>
      <xdr:rowOff>0</xdr:rowOff>
    </xdr:from>
    <xdr:to>
      <xdr:col>4</xdr:col>
      <xdr:colOff>0</xdr:colOff>
      <xdr:row>55</xdr:row>
      <xdr:rowOff>47625</xdr:rowOff>
    </xdr:to>
    <xdr:sp macro="" textlink="">
      <xdr:nvSpPr>
        <xdr:cNvPr id="19" name="18 Rectángulo"/>
        <xdr:cNvSpPr/>
      </xdr:nvSpPr>
      <xdr:spPr>
        <a:xfrm>
          <a:off x="333375" y="7810500"/>
          <a:ext cx="2714625" cy="11906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2800" b="1"/>
        </a:p>
      </xdr:txBody>
    </xdr:sp>
    <xdr:clientData/>
  </xdr:twoCellAnchor>
  <xdr:twoCellAnchor>
    <xdr:from>
      <xdr:col>4</xdr:col>
      <xdr:colOff>342900</xdr:colOff>
      <xdr:row>48</xdr:row>
      <xdr:rowOff>190499</xdr:rowOff>
    </xdr:from>
    <xdr:to>
      <xdr:col>8</xdr:col>
      <xdr:colOff>9525</xdr:colOff>
      <xdr:row>55</xdr:row>
      <xdr:rowOff>76200</xdr:rowOff>
    </xdr:to>
    <xdr:sp macro="" textlink="">
      <xdr:nvSpPr>
        <xdr:cNvPr id="20" name="19 Rectángulo"/>
        <xdr:cNvSpPr/>
      </xdr:nvSpPr>
      <xdr:spPr>
        <a:xfrm>
          <a:off x="3390900" y="7810499"/>
          <a:ext cx="2714625" cy="121920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2800" b="1"/>
        </a:p>
      </xdr:txBody>
    </xdr:sp>
    <xdr:clientData/>
  </xdr:twoCellAnchor>
  <xdr:twoCellAnchor>
    <xdr:from>
      <xdr:col>8</xdr:col>
      <xdr:colOff>361950</xdr:colOff>
      <xdr:row>48</xdr:row>
      <xdr:rowOff>180976</xdr:rowOff>
    </xdr:from>
    <xdr:to>
      <xdr:col>12</xdr:col>
      <xdr:colOff>9525</xdr:colOff>
      <xdr:row>55</xdr:row>
      <xdr:rowOff>85726</xdr:rowOff>
    </xdr:to>
    <xdr:sp macro="" textlink="">
      <xdr:nvSpPr>
        <xdr:cNvPr id="21" name="20 Rectángulo"/>
        <xdr:cNvSpPr/>
      </xdr:nvSpPr>
      <xdr:spPr>
        <a:xfrm>
          <a:off x="6457950" y="7800976"/>
          <a:ext cx="2695575" cy="12382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2400" b="1"/>
        </a:p>
      </xdr:txBody>
    </xdr:sp>
    <xdr:clientData/>
  </xdr:twoCellAnchor>
  <xdr:twoCellAnchor>
    <xdr:from>
      <xdr:col>0</xdr:col>
      <xdr:colOff>333375</xdr:colOff>
      <xdr:row>58</xdr:row>
      <xdr:rowOff>0</xdr:rowOff>
    </xdr:from>
    <xdr:to>
      <xdr:col>4</xdr:col>
      <xdr:colOff>0</xdr:colOff>
      <xdr:row>64</xdr:row>
      <xdr:rowOff>47625</xdr:rowOff>
    </xdr:to>
    <xdr:sp macro="" textlink="">
      <xdr:nvSpPr>
        <xdr:cNvPr id="22" name="21 Rectángulo"/>
        <xdr:cNvSpPr/>
      </xdr:nvSpPr>
      <xdr:spPr>
        <a:xfrm>
          <a:off x="333375" y="9334500"/>
          <a:ext cx="2714625" cy="11906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2800" b="1"/>
        </a:p>
      </xdr:txBody>
    </xdr:sp>
    <xdr:clientData/>
  </xdr:twoCellAnchor>
  <xdr:twoCellAnchor>
    <xdr:from>
      <xdr:col>4</xdr:col>
      <xdr:colOff>333375</xdr:colOff>
      <xdr:row>58</xdr:row>
      <xdr:rowOff>1</xdr:rowOff>
    </xdr:from>
    <xdr:to>
      <xdr:col>8</xdr:col>
      <xdr:colOff>9525</xdr:colOff>
      <xdr:row>64</xdr:row>
      <xdr:rowOff>76201</xdr:rowOff>
    </xdr:to>
    <xdr:sp macro="" textlink="">
      <xdr:nvSpPr>
        <xdr:cNvPr id="23" name="22 Rectángulo"/>
        <xdr:cNvSpPr/>
      </xdr:nvSpPr>
      <xdr:spPr>
        <a:xfrm>
          <a:off x="3381375" y="9334501"/>
          <a:ext cx="2724150" cy="12192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2800" b="1"/>
        </a:p>
      </xdr:txBody>
    </xdr:sp>
    <xdr:clientData/>
  </xdr:twoCellAnchor>
  <xdr:twoCellAnchor>
    <xdr:from>
      <xdr:col>8</xdr:col>
      <xdr:colOff>361950</xdr:colOff>
      <xdr:row>57</xdr:row>
      <xdr:rowOff>180976</xdr:rowOff>
    </xdr:from>
    <xdr:to>
      <xdr:col>12</xdr:col>
      <xdr:colOff>9525</xdr:colOff>
      <xdr:row>64</xdr:row>
      <xdr:rowOff>85726</xdr:rowOff>
    </xdr:to>
    <xdr:sp macro="" textlink="">
      <xdr:nvSpPr>
        <xdr:cNvPr id="24" name="23 Rectángulo"/>
        <xdr:cNvSpPr/>
      </xdr:nvSpPr>
      <xdr:spPr>
        <a:xfrm>
          <a:off x="6457950" y="9324976"/>
          <a:ext cx="2695575" cy="12382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2400" b="1"/>
        </a:p>
      </xdr:txBody>
    </xdr:sp>
    <xdr:clientData/>
  </xdr:twoCellAnchor>
  <xdr:twoCellAnchor>
    <xdr:from>
      <xdr:col>0</xdr:col>
      <xdr:colOff>323850</xdr:colOff>
      <xdr:row>66</xdr:row>
      <xdr:rowOff>9526</xdr:rowOff>
    </xdr:from>
    <xdr:to>
      <xdr:col>4</xdr:col>
      <xdr:colOff>0</xdr:colOff>
      <xdr:row>72</xdr:row>
      <xdr:rowOff>47626</xdr:rowOff>
    </xdr:to>
    <xdr:sp macro="" textlink="">
      <xdr:nvSpPr>
        <xdr:cNvPr id="25" name="24 Rectángulo"/>
        <xdr:cNvSpPr/>
      </xdr:nvSpPr>
      <xdr:spPr>
        <a:xfrm>
          <a:off x="323850" y="10868026"/>
          <a:ext cx="2724150" cy="1181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2800" b="1"/>
        </a:p>
      </xdr:txBody>
    </xdr:sp>
    <xdr:clientData/>
  </xdr:twoCellAnchor>
  <xdr:twoCellAnchor>
    <xdr:from>
      <xdr:col>4</xdr:col>
      <xdr:colOff>333375</xdr:colOff>
      <xdr:row>66</xdr:row>
      <xdr:rowOff>1</xdr:rowOff>
    </xdr:from>
    <xdr:to>
      <xdr:col>8</xdr:col>
      <xdr:colOff>9525</xdr:colOff>
      <xdr:row>72</xdr:row>
      <xdr:rowOff>76201</xdr:rowOff>
    </xdr:to>
    <xdr:sp macro="" textlink="">
      <xdr:nvSpPr>
        <xdr:cNvPr id="26" name="25 Rectángulo"/>
        <xdr:cNvSpPr/>
      </xdr:nvSpPr>
      <xdr:spPr>
        <a:xfrm>
          <a:off x="3381375" y="10858501"/>
          <a:ext cx="2724150" cy="12192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2800" b="1"/>
        </a:p>
      </xdr:txBody>
    </xdr:sp>
    <xdr:clientData/>
  </xdr:twoCellAnchor>
  <xdr:twoCellAnchor>
    <xdr:from>
      <xdr:col>8</xdr:col>
      <xdr:colOff>381000</xdr:colOff>
      <xdr:row>66</xdr:row>
      <xdr:rowOff>0</xdr:rowOff>
    </xdr:from>
    <xdr:to>
      <xdr:col>12</xdr:col>
      <xdr:colOff>9525</xdr:colOff>
      <xdr:row>72</xdr:row>
      <xdr:rowOff>85725</xdr:rowOff>
    </xdr:to>
    <xdr:sp macro="" textlink="">
      <xdr:nvSpPr>
        <xdr:cNvPr id="27" name="26 Rectángulo"/>
        <xdr:cNvSpPr/>
      </xdr:nvSpPr>
      <xdr:spPr>
        <a:xfrm>
          <a:off x="6477000" y="10858500"/>
          <a:ext cx="2676525" cy="12287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2400" b="1"/>
        </a:p>
      </xdr:txBody>
    </xdr:sp>
    <xdr:clientData/>
  </xdr:twoCellAnchor>
  <xdr:twoCellAnchor>
    <xdr:from>
      <xdr:col>0</xdr:col>
      <xdr:colOff>323850</xdr:colOff>
      <xdr:row>78</xdr:row>
      <xdr:rowOff>0</xdr:rowOff>
    </xdr:from>
    <xdr:to>
      <xdr:col>4</xdr:col>
      <xdr:colOff>0</xdr:colOff>
      <xdr:row>84</xdr:row>
      <xdr:rowOff>47625</xdr:rowOff>
    </xdr:to>
    <xdr:sp macro="" textlink="">
      <xdr:nvSpPr>
        <xdr:cNvPr id="28" name="27 Rectángulo"/>
        <xdr:cNvSpPr/>
      </xdr:nvSpPr>
      <xdr:spPr>
        <a:xfrm>
          <a:off x="323850" y="12382500"/>
          <a:ext cx="2724150" cy="11906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2800" b="1"/>
        </a:p>
      </xdr:txBody>
    </xdr:sp>
    <xdr:clientData/>
  </xdr:twoCellAnchor>
  <xdr:twoCellAnchor>
    <xdr:from>
      <xdr:col>4</xdr:col>
      <xdr:colOff>323850</xdr:colOff>
      <xdr:row>78</xdr:row>
      <xdr:rowOff>1</xdr:rowOff>
    </xdr:from>
    <xdr:to>
      <xdr:col>8</xdr:col>
      <xdr:colOff>9525</xdr:colOff>
      <xdr:row>84</xdr:row>
      <xdr:rowOff>76201</xdr:rowOff>
    </xdr:to>
    <xdr:sp macro="" textlink="">
      <xdr:nvSpPr>
        <xdr:cNvPr id="29" name="28 Rectángulo"/>
        <xdr:cNvSpPr/>
      </xdr:nvSpPr>
      <xdr:spPr>
        <a:xfrm>
          <a:off x="3371850" y="12382501"/>
          <a:ext cx="2733675" cy="12192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2800" b="1"/>
        </a:p>
      </xdr:txBody>
    </xdr:sp>
    <xdr:clientData/>
  </xdr:twoCellAnchor>
  <xdr:twoCellAnchor>
    <xdr:from>
      <xdr:col>8</xdr:col>
      <xdr:colOff>381000</xdr:colOff>
      <xdr:row>77</xdr:row>
      <xdr:rowOff>180976</xdr:rowOff>
    </xdr:from>
    <xdr:to>
      <xdr:col>12</xdr:col>
      <xdr:colOff>9525</xdr:colOff>
      <xdr:row>84</xdr:row>
      <xdr:rowOff>85726</xdr:rowOff>
    </xdr:to>
    <xdr:sp macro="" textlink="">
      <xdr:nvSpPr>
        <xdr:cNvPr id="30" name="29 Rectángulo"/>
        <xdr:cNvSpPr/>
      </xdr:nvSpPr>
      <xdr:spPr>
        <a:xfrm>
          <a:off x="6477000" y="12372976"/>
          <a:ext cx="2676525" cy="12382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ES" sz="28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6"/>
  <sheetViews>
    <sheetView topLeftCell="B193" workbookViewId="0">
      <selection activeCell="J193" sqref="J193"/>
    </sheetView>
  </sheetViews>
  <sheetFormatPr baseColWidth="10" defaultRowHeight="15.75" x14ac:dyDescent="0.25"/>
  <cols>
    <col min="1" max="1" width="13.28515625" style="1" customWidth="1"/>
    <col min="2" max="2" width="15.42578125" style="17" customWidth="1"/>
    <col min="3" max="3" width="15.85546875" style="12" customWidth="1"/>
    <col min="4" max="4" width="13.7109375" style="17" bestFit="1" customWidth="1"/>
    <col min="5" max="5" width="18.140625" style="12" customWidth="1"/>
    <col min="6" max="6" width="13.7109375" style="4" customWidth="1"/>
    <col min="7" max="7" width="15" style="4" customWidth="1"/>
    <col min="8" max="8" width="11.85546875" style="18" bestFit="1" customWidth="1"/>
    <col min="9" max="9" width="12.7109375" style="18" bestFit="1" customWidth="1"/>
    <col min="10" max="10" width="13.7109375" style="18" bestFit="1" customWidth="1"/>
    <col min="11" max="11" width="11.42578125" style="18"/>
    <col min="12" max="12" width="13.42578125" style="4" customWidth="1"/>
    <col min="13" max="16384" width="11.42578125" style="4"/>
  </cols>
  <sheetData>
    <row r="1" spans="1:12" ht="18.75" x14ac:dyDescent="0.3">
      <c r="B1" s="274" t="s">
        <v>39</v>
      </c>
      <c r="C1" s="274"/>
      <c r="D1" s="274"/>
      <c r="E1" s="2"/>
      <c r="F1" s="3"/>
      <c r="G1" s="3"/>
      <c r="H1" s="4"/>
      <c r="I1" s="4"/>
      <c r="J1" s="4"/>
      <c r="K1" s="4"/>
    </row>
    <row r="2" spans="1:12" x14ac:dyDescent="0.25">
      <c r="A2" s="5"/>
      <c r="B2" s="6"/>
      <c r="C2" s="23" t="s">
        <v>5</v>
      </c>
      <c r="D2" s="6"/>
      <c r="E2" s="7"/>
      <c r="F2" s="3"/>
      <c r="G2" s="3"/>
      <c r="H2" s="4"/>
      <c r="I2" s="4"/>
      <c r="J2" s="4"/>
      <c r="K2" s="4"/>
    </row>
    <row r="3" spans="1:12" ht="16.5" thickBot="1" x14ac:dyDescent="0.3">
      <c r="A3" s="19" t="s">
        <v>0</v>
      </c>
      <c r="B3" s="20" t="s">
        <v>1</v>
      </c>
      <c r="C3" s="21" t="s">
        <v>2</v>
      </c>
      <c r="D3" s="8" t="s">
        <v>3</v>
      </c>
      <c r="E3" s="22" t="s">
        <v>4</v>
      </c>
      <c r="F3" s="27" t="s">
        <v>8</v>
      </c>
      <c r="G3" s="40"/>
      <c r="H3" s="40"/>
      <c r="I3" s="4"/>
      <c r="J3" s="25"/>
      <c r="K3" s="4"/>
    </row>
    <row r="4" spans="1:12" ht="16.5" thickTop="1" x14ac:dyDescent="0.25">
      <c r="A4" s="9">
        <v>41852</v>
      </c>
      <c r="B4" s="10">
        <v>509935.64</v>
      </c>
      <c r="C4" s="10">
        <v>17893</v>
      </c>
      <c r="D4" s="10">
        <v>52632.12</v>
      </c>
      <c r="E4" s="11">
        <f>B4-C4-D4</f>
        <v>439410.52</v>
      </c>
      <c r="F4" s="15">
        <v>0</v>
      </c>
      <c r="G4" s="15"/>
      <c r="H4" s="15">
        <f>F4-E4</f>
        <v>-439410.52</v>
      </c>
      <c r="I4" s="15"/>
      <c r="J4" s="15"/>
      <c r="K4" s="25"/>
      <c r="L4" s="15"/>
    </row>
    <row r="5" spans="1:12" x14ac:dyDescent="0.25">
      <c r="A5" s="9">
        <v>41853</v>
      </c>
      <c r="B5" s="10">
        <v>556450.47</v>
      </c>
      <c r="C5" s="10">
        <v>135718.94</v>
      </c>
      <c r="D5" s="10">
        <v>42974.84</v>
      </c>
      <c r="E5" s="11">
        <f t="shared" ref="E5:E41" si="0">B5-C5-D5</f>
        <v>377756.68999999994</v>
      </c>
      <c r="F5" s="15">
        <v>0</v>
      </c>
      <c r="G5" s="15"/>
      <c r="H5" s="15">
        <f t="shared" ref="H5:H34" si="1">F5-E5</f>
        <v>-377756.68999999994</v>
      </c>
      <c r="I5" s="15"/>
      <c r="J5" s="15"/>
      <c r="K5" s="25"/>
      <c r="L5" s="15"/>
    </row>
    <row r="6" spans="1:12" x14ac:dyDescent="0.25">
      <c r="A6" s="9">
        <v>41854</v>
      </c>
      <c r="B6" s="10">
        <v>448729.89</v>
      </c>
      <c r="C6" s="10">
        <v>1210</v>
      </c>
      <c r="D6" s="10">
        <v>15837.16</v>
      </c>
      <c r="E6" s="11">
        <f t="shared" si="0"/>
        <v>431682.73000000004</v>
      </c>
      <c r="F6" s="15">
        <v>0</v>
      </c>
      <c r="G6" s="15"/>
      <c r="H6" s="15">
        <f t="shared" si="1"/>
        <v>-431682.73000000004</v>
      </c>
      <c r="I6" s="15"/>
      <c r="J6" s="15"/>
      <c r="K6" s="25"/>
      <c r="L6" s="15"/>
    </row>
    <row r="7" spans="1:12" x14ac:dyDescent="0.25">
      <c r="A7" s="9">
        <v>41855</v>
      </c>
      <c r="B7" s="10">
        <v>228174.27</v>
      </c>
      <c r="C7" s="10">
        <v>1773.19</v>
      </c>
      <c r="D7" s="10">
        <v>11795.3</v>
      </c>
      <c r="E7" s="11">
        <f t="shared" si="0"/>
        <v>214605.78</v>
      </c>
      <c r="F7" s="15">
        <v>0</v>
      </c>
      <c r="G7" s="15"/>
      <c r="H7" s="15">
        <f t="shared" si="1"/>
        <v>-214605.78</v>
      </c>
      <c r="I7" s="15"/>
      <c r="J7" s="15"/>
      <c r="K7" s="25"/>
      <c r="L7" s="15"/>
    </row>
    <row r="8" spans="1:12" x14ac:dyDescent="0.25">
      <c r="A8" s="9">
        <v>41856</v>
      </c>
      <c r="B8" s="10">
        <v>318731.93</v>
      </c>
      <c r="C8" s="10">
        <v>1172</v>
      </c>
      <c r="D8" s="10">
        <v>84493.36</v>
      </c>
      <c r="E8" s="11">
        <f t="shared" si="0"/>
        <v>233066.57</v>
      </c>
      <c r="F8" s="15">
        <v>0</v>
      </c>
      <c r="G8" s="15"/>
      <c r="H8" s="15">
        <f t="shared" si="1"/>
        <v>-233066.57</v>
      </c>
      <c r="I8" s="15"/>
      <c r="J8" s="15"/>
      <c r="K8" s="25"/>
      <c r="L8" s="15"/>
    </row>
    <row r="9" spans="1:12" x14ac:dyDescent="0.25">
      <c r="A9" s="9">
        <v>41857</v>
      </c>
      <c r="B9" s="10">
        <v>242706.08</v>
      </c>
      <c r="C9" s="10">
        <v>1714</v>
      </c>
      <c r="D9" s="10">
        <v>45529.82</v>
      </c>
      <c r="E9" s="11">
        <f t="shared" si="0"/>
        <v>195462.25999999998</v>
      </c>
      <c r="F9" s="15">
        <v>0</v>
      </c>
      <c r="G9" s="15"/>
      <c r="H9" s="15">
        <f t="shared" si="1"/>
        <v>-195462.25999999998</v>
      </c>
      <c r="I9" s="15"/>
      <c r="J9" s="15"/>
      <c r="K9" s="25"/>
      <c r="L9" s="15"/>
    </row>
    <row r="10" spans="1:12" x14ac:dyDescent="0.25">
      <c r="A10" s="9">
        <v>41858</v>
      </c>
      <c r="B10" s="13">
        <v>409227.08</v>
      </c>
      <c r="C10" s="10">
        <v>2561.21</v>
      </c>
      <c r="D10" s="10">
        <v>62873.01</v>
      </c>
      <c r="E10" s="11">
        <f t="shared" si="0"/>
        <v>343792.86</v>
      </c>
      <c r="F10" s="15">
        <v>0</v>
      </c>
      <c r="G10" s="15"/>
      <c r="H10" s="15">
        <f t="shared" si="1"/>
        <v>-343792.86</v>
      </c>
      <c r="I10" s="15"/>
      <c r="J10" s="15"/>
      <c r="K10" s="25"/>
      <c r="L10" s="15"/>
    </row>
    <row r="11" spans="1:12" x14ac:dyDescent="0.25">
      <c r="A11" s="9">
        <v>41859</v>
      </c>
      <c r="B11" s="10">
        <v>554442.73</v>
      </c>
      <c r="C11" s="10">
        <v>17107.5</v>
      </c>
      <c r="D11" s="10">
        <v>36937.32</v>
      </c>
      <c r="E11" s="11">
        <f t="shared" si="0"/>
        <v>500397.91</v>
      </c>
      <c r="F11" s="15">
        <v>0</v>
      </c>
      <c r="G11" s="15"/>
      <c r="H11" s="15">
        <f t="shared" si="1"/>
        <v>-500397.91</v>
      </c>
      <c r="I11" s="15"/>
      <c r="J11" s="15"/>
      <c r="K11" s="25"/>
      <c r="L11" s="15"/>
    </row>
    <row r="12" spans="1:12" x14ac:dyDescent="0.25">
      <c r="A12" s="9">
        <v>41860</v>
      </c>
      <c r="B12" s="10">
        <v>558250.38</v>
      </c>
      <c r="C12" s="10">
        <v>127137.7</v>
      </c>
      <c r="D12" s="10">
        <v>25311.119999999999</v>
      </c>
      <c r="E12" s="11">
        <f t="shared" si="0"/>
        <v>405801.56</v>
      </c>
      <c r="F12" s="15">
        <v>0</v>
      </c>
      <c r="G12" s="15"/>
      <c r="H12" s="15">
        <f t="shared" si="1"/>
        <v>-405801.56</v>
      </c>
      <c r="I12" s="15"/>
      <c r="J12" s="15"/>
      <c r="K12" s="25"/>
      <c r="L12" s="15"/>
    </row>
    <row r="13" spans="1:12" x14ac:dyDescent="0.25">
      <c r="A13" s="9">
        <v>41861</v>
      </c>
      <c r="B13" s="10">
        <v>410881.13</v>
      </c>
      <c r="C13" s="10">
        <v>2097</v>
      </c>
      <c r="D13" s="10">
        <v>25303.4</v>
      </c>
      <c r="E13" s="11">
        <f t="shared" si="0"/>
        <v>383480.73</v>
      </c>
      <c r="F13" s="15">
        <v>0</v>
      </c>
      <c r="G13" s="15"/>
      <c r="H13" s="15">
        <f t="shared" si="1"/>
        <v>-383480.73</v>
      </c>
      <c r="I13" s="15"/>
      <c r="J13" s="15"/>
      <c r="K13" s="25"/>
      <c r="L13" s="15"/>
    </row>
    <row r="14" spans="1:12" x14ac:dyDescent="0.25">
      <c r="A14" s="9">
        <v>41862</v>
      </c>
      <c r="B14" s="13">
        <v>335995.7</v>
      </c>
      <c r="C14" s="10">
        <v>4382.6400000000003</v>
      </c>
      <c r="D14" s="10">
        <v>24050.22</v>
      </c>
      <c r="E14" s="11">
        <f t="shared" si="0"/>
        <v>307562.83999999997</v>
      </c>
      <c r="F14" s="15">
        <v>0</v>
      </c>
      <c r="G14" s="15"/>
      <c r="H14" s="15">
        <f t="shared" si="1"/>
        <v>-307562.83999999997</v>
      </c>
      <c r="I14" s="15"/>
      <c r="J14" s="15"/>
      <c r="K14" s="25"/>
      <c r="L14" s="15"/>
    </row>
    <row r="15" spans="1:12" x14ac:dyDescent="0.25">
      <c r="A15" s="9">
        <v>41863</v>
      </c>
      <c r="B15" s="13">
        <v>476856.23</v>
      </c>
      <c r="C15" s="10">
        <v>1603.96</v>
      </c>
      <c r="D15" s="10">
        <v>87514.51</v>
      </c>
      <c r="E15" s="11">
        <f t="shared" si="0"/>
        <v>387737.75999999995</v>
      </c>
      <c r="F15" s="15">
        <v>0</v>
      </c>
      <c r="G15" s="15"/>
      <c r="H15" s="15">
        <f t="shared" si="1"/>
        <v>-387737.75999999995</v>
      </c>
      <c r="I15" s="15"/>
      <c r="J15" s="15"/>
      <c r="K15" s="25"/>
      <c r="L15" s="15"/>
    </row>
    <row r="16" spans="1:12" x14ac:dyDescent="0.25">
      <c r="A16" s="9">
        <v>41864</v>
      </c>
      <c r="B16" s="10">
        <v>256139.06</v>
      </c>
      <c r="C16" s="10">
        <v>2681</v>
      </c>
      <c r="D16" s="10">
        <v>66041.5</v>
      </c>
      <c r="E16" s="11">
        <f t="shared" si="0"/>
        <v>187416.56</v>
      </c>
      <c r="F16" s="15">
        <v>0</v>
      </c>
      <c r="G16" s="15"/>
      <c r="H16" s="15">
        <f t="shared" si="1"/>
        <v>-187416.56</v>
      </c>
      <c r="I16" s="15"/>
      <c r="J16" s="15"/>
      <c r="K16" s="25"/>
      <c r="L16" s="15"/>
    </row>
    <row r="17" spans="1:12" x14ac:dyDescent="0.25">
      <c r="A17" s="9">
        <v>41865</v>
      </c>
      <c r="B17" s="10">
        <v>364826.06</v>
      </c>
      <c r="C17" s="10">
        <v>2254</v>
      </c>
      <c r="D17" s="10">
        <v>107457.66</v>
      </c>
      <c r="E17" s="11">
        <f t="shared" si="0"/>
        <v>255114.4</v>
      </c>
      <c r="F17" s="15">
        <v>0</v>
      </c>
      <c r="G17" s="15"/>
      <c r="H17" s="15">
        <f t="shared" si="1"/>
        <v>-255114.4</v>
      </c>
      <c r="I17" s="15"/>
      <c r="J17" s="15"/>
      <c r="K17" s="25"/>
      <c r="L17" s="15"/>
    </row>
    <row r="18" spans="1:12" x14ac:dyDescent="0.25">
      <c r="A18" s="9">
        <v>41866</v>
      </c>
      <c r="B18" s="10">
        <v>466131.05</v>
      </c>
      <c r="C18" s="10">
        <v>16658.5</v>
      </c>
      <c r="D18" s="10">
        <v>56915.7</v>
      </c>
      <c r="E18" s="11">
        <f t="shared" si="0"/>
        <v>392556.85</v>
      </c>
      <c r="F18" s="15">
        <v>0</v>
      </c>
      <c r="G18" s="15"/>
      <c r="H18" s="15">
        <f t="shared" si="1"/>
        <v>-392556.85</v>
      </c>
      <c r="I18" s="15"/>
      <c r="J18" s="15"/>
      <c r="K18" s="25"/>
      <c r="L18" s="15"/>
    </row>
    <row r="19" spans="1:12" x14ac:dyDescent="0.25">
      <c r="A19" s="9">
        <v>41867</v>
      </c>
      <c r="B19" s="13">
        <v>498514.52</v>
      </c>
      <c r="C19" s="10">
        <v>136229.5</v>
      </c>
      <c r="D19" s="10">
        <v>36234.559999999998</v>
      </c>
      <c r="E19" s="11">
        <f t="shared" si="0"/>
        <v>326050.46000000002</v>
      </c>
      <c r="F19" s="15">
        <v>0</v>
      </c>
      <c r="G19" s="15"/>
      <c r="H19" s="15">
        <f t="shared" si="1"/>
        <v>-326050.46000000002</v>
      </c>
      <c r="I19" s="15"/>
      <c r="J19" s="15"/>
      <c r="K19" s="25"/>
      <c r="L19" s="15"/>
    </row>
    <row r="20" spans="1:12" x14ac:dyDescent="0.25">
      <c r="A20" s="9">
        <v>41868</v>
      </c>
      <c r="B20" s="13">
        <v>344774.47</v>
      </c>
      <c r="C20" s="10">
        <v>1100</v>
      </c>
      <c r="D20" s="10">
        <v>22665.47</v>
      </c>
      <c r="E20" s="11">
        <f t="shared" si="0"/>
        <v>321009</v>
      </c>
      <c r="F20" s="15">
        <v>0</v>
      </c>
      <c r="G20" s="15"/>
      <c r="H20" s="15">
        <f t="shared" si="1"/>
        <v>-321009</v>
      </c>
      <c r="I20" s="15"/>
      <c r="J20" s="15"/>
      <c r="K20" s="25"/>
      <c r="L20" s="15"/>
    </row>
    <row r="21" spans="1:12" x14ac:dyDescent="0.25">
      <c r="A21" s="9">
        <v>41869</v>
      </c>
      <c r="B21" s="13">
        <v>238361.65</v>
      </c>
      <c r="C21" s="10">
        <v>1418.81</v>
      </c>
      <c r="D21" s="13">
        <v>77324.86</v>
      </c>
      <c r="E21" s="11">
        <f t="shared" si="0"/>
        <v>159617.97999999998</v>
      </c>
      <c r="F21" s="15">
        <v>0</v>
      </c>
      <c r="G21" s="15"/>
      <c r="H21" s="15">
        <f t="shared" si="1"/>
        <v>-159617.97999999998</v>
      </c>
      <c r="I21" s="15"/>
      <c r="J21" s="15"/>
      <c r="K21" s="25"/>
      <c r="L21" s="15"/>
    </row>
    <row r="22" spans="1:12" x14ac:dyDescent="0.25">
      <c r="A22" s="9">
        <v>41870</v>
      </c>
      <c r="B22" s="13">
        <v>329442.31</v>
      </c>
      <c r="C22" s="10">
        <v>1374</v>
      </c>
      <c r="D22" s="13">
        <v>66520.58</v>
      </c>
      <c r="E22" s="11">
        <f t="shared" si="0"/>
        <v>261547.72999999998</v>
      </c>
      <c r="F22" s="15">
        <v>0</v>
      </c>
      <c r="G22" s="15"/>
      <c r="H22" s="15">
        <f t="shared" si="1"/>
        <v>-261547.72999999998</v>
      </c>
      <c r="I22" s="15"/>
      <c r="J22" s="15"/>
      <c r="K22" s="25"/>
      <c r="L22" s="15"/>
    </row>
    <row r="23" spans="1:12" x14ac:dyDescent="0.25">
      <c r="A23" s="9">
        <v>41871</v>
      </c>
      <c r="B23" s="13">
        <v>264310.7</v>
      </c>
      <c r="C23" s="10">
        <v>8940</v>
      </c>
      <c r="D23" s="10">
        <v>8699.1200000000008</v>
      </c>
      <c r="E23" s="11">
        <f t="shared" si="0"/>
        <v>246671.58000000002</v>
      </c>
      <c r="F23" s="15">
        <v>0</v>
      </c>
      <c r="G23" s="15"/>
      <c r="H23" s="15">
        <f t="shared" si="1"/>
        <v>-246671.58000000002</v>
      </c>
      <c r="I23" s="15"/>
      <c r="J23" s="15"/>
      <c r="K23" s="25"/>
      <c r="L23" s="15"/>
    </row>
    <row r="24" spans="1:12" x14ac:dyDescent="0.25">
      <c r="A24" s="9">
        <v>41872</v>
      </c>
      <c r="B24" s="10">
        <v>426240</v>
      </c>
      <c r="C24" s="10">
        <v>1572</v>
      </c>
      <c r="D24" s="10">
        <v>77349.440000000002</v>
      </c>
      <c r="E24" s="11">
        <f t="shared" si="0"/>
        <v>347318.56</v>
      </c>
      <c r="F24" s="15">
        <v>0</v>
      </c>
      <c r="G24" s="15"/>
      <c r="H24" s="15">
        <f t="shared" si="1"/>
        <v>-347318.56</v>
      </c>
      <c r="I24" s="15"/>
      <c r="J24" s="15"/>
      <c r="K24" s="25"/>
      <c r="L24" s="15"/>
    </row>
    <row r="25" spans="1:12" x14ac:dyDescent="0.25">
      <c r="A25" s="9">
        <v>41873</v>
      </c>
      <c r="B25" s="13">
        <v>495638.21</v>
      </c>
      <c r="C25" s="10">
        <v>17054.150000000001</v>
      </c>
      <c r="D25" s="10">
        <v>58394.46</v>
      </c>
      <c r="E25" s="11">
        <f t="shared" si="0"/>
        <v>420189.6</v>
      </c>
      <c r="F25" s="15">
        <v>0</v>
      </c>
      <c r="G25" s="15"/>
      <c r="H25" s="15">
        <f t="shared" si="1"/>
        <v>-420189.6</v>
      </c>
      <c r="I25" s="15"/>
      <c r="J25" s="15"/>
      <c r="K25" s="25"/>
      <c r="L25" s="15"/>
    </row>
    <row r="26" spans="1:12" x14ac:dyDescent="0.25">
      <c r="A26" s="9">
        <v>41874</v>
      </c>
      <c r="B26" s="10">
        <v>468158.01</v>
      </c>
      <c r="C26" s="10">
        <v>136042.5</v>
      </c>
      <c r="D26" s="10">
        <v>86377.44</v>
      </c>
      <c r="E26" s="11">
        <f t="shared" si="0"/>
        <v>245738.07</v>
      </c>
      <c r="F26" s="15">
        <v>0</v>
      </c>
      <c r="G26" s="15"/>
      <c r="H26" s="15">
        <f t="shared" si="1"/>
        <v>-245738.07</v>
      </c>
      <c r="I26" s="15"/>
      <c r="J26" s="15"/>
      <c r="K26" s="25"/>
      <c r="L26" s="15"/>
    </row>
    <row r="27" spans="1:12" x14ac:dyDescent="0.25">
      <c r="A27" s="9">
        <v>41875</v>
      </c>
      <c r="B27" s="10">
        <v>354516.25</v>
      </c>
      <c r="C27" s="10">
        <v>1864.2</v>
      </c>
      <c r="D27" s="10">
        <v>5145.22</v>
      </c>
      <c r="E27" s="11">
        <f t="shared" si="0"/>
        <v>347506.83</v>
      </c>
      <c r="F27" s="15">
        <v>0</v>
      </c>
      <c r="G27" s="15"/>
      <c r="H27" s="15">
        <f t="shared" si="1"/>
        <v>-347506.83</v>
      </c>
      <c r="I27" s="15"/>
      <c r="J27" s="15"/>
      <c r="K27" s="25"/>
      <c r="L27" s="15"/>
    </row>
    <row r="28" spans="1:12" x14ac:dyDescent="0.25">
      <c r="A28" s="9">
        <v>41876</v>
      </c>
      <c r="B28" s="10">
        <v>219135.49</v>
      </c>
      <c r="C28" s="10">
        <v>1562</v>
      </c>
      <c r="D28" s="10">
        <v>80618.149999999994</v>
      </c>
      <c r="E28" s="11">
        <f t="shared" si="0"/>
        <v>136955.34</v>
      </c>
      <c r="F28" s="15">
        <v>0</v>
      </c>
      <c r="G28" s="15"/>
      <c r="H28" s="15">
        <f t="shared" si="1"/>
        <v>-136955.34</v>
      </c>
      <c r="I28" s="15"/>
      <c r="J28" s="15"/>
      <c r="K28" s="25"/>
      <c r="L28" s="15"/>
    </row>
    <row r="29" spans="1:12" x14ac:dyDescent="0.25">
      <c r="A29" s="9">
        <v>41877</v>
      </c>
      <c r="B29" s="13">
        <v>267548.18</v>
      </c>
      <c r="C29" s="10">
        <v>1282</v>
      </c>
      <c r="D29" s="10">
        <v>2934.32</v>
      </c>
      <c r="E29" s="11">
        <f t="shared" si="0"/>
        <v>263331.86</v>
      </c>
      <c r="F29" s="15">
        <v>0</v>
      </c>
      <c r="G29" s="15"/>
      <c r="H29" s="15">
        <f t="shared" si="1"/>
        <v>-263331.86</v>
      </c>
      <c r="I29" s="15"/>
      <c r="J29" s="15"/>
      <c r="K29" s="25"/>
      <c r="L29" s="15"/>
    </row>
    <row r="30" spans="1:12" x14ac:dyDescent="0.25">
      <c r="A30" s="9">
        <v>41878</v>
      </c>
      <c r="B30" s="13">
        <v>274457.95</v>
      </c>
      <c r="C30" s="10">
        <v>35030.129999999997</v>
      </c>
      <c r="D30" s="10">
        <v>110170.34</v>
      </c>
      <c r="E30" s="11">
        <f t="shared" si="0"/>
        <v>129257.48000000001</v>
      </c>
      <c r="F30" s="15">
        <v>0</v>
      </c>
      <c r="G30" s="15"/>
      <c r="H30" s="15">
        <f t="shared" si="1"/>
        <v>-129257.48000000001</v>
      </c>
      <c r="I30" s="15"/>
      <c r="J30" s="15"/>
      <c r="K30" s="25"/>
      <c r="L30" s="15"/>
    </row>
    <row r="31" spans="1:12" x14ac:dyDescent="0.25">
      <c r="A31" s="9">
        <v>41879</v>
      </c>
      <c r="B31" s="13">
        <v>402851.18</v>
      </c>
      <c r="C31" s="10">
        <v>1996</v>
      </c>
      <c r="D31" s="10">
        <v>3068.14</v>
      </c>
      <c r="E31" s="11">
        <f t="shared" si="0"/>
        <v>397787.04</v>
      </c>
      <c r="F31" s="15">
        <v>0</v>
      </c>
      <c r="G31" s="15"/>
      <c r="H31" s="15">
        <f t="shared" si="1"/>
        <v>-397787.04</v>
      </c>
      <c r="I31" s="15"/>
      <c r="J31" s="15"/>
      <c r="K31" s="25"/>
      <c r="L31" s="15"/>
    </row>
    <row r="32" spans="1:12" x14ac:dyDescent="0.25">
      <c r="A32" s="9">
        <v>41880</v>
      </c>
      <c r="B32" s="10">
        <v>528165.43999999994</v>
      </c>
      <c r="C32" s="10">
        <v>19097.5</v>
      </c>
      <c r="D32" s="10">
        <v>96841.2</v>
      </c>
      <c r="E32" s="11">
        <f t="shared" si="0"/>
        <v>412226.73999999993</v>
      </c>
      <c r="F32" s="15">
        <v>0</v>
      </c>
      <c r="G32" s="15"/>
      <c r="H32" s="15">
        <f t="shared" si="1"/>
        <v>-412226.73999999993</v>
      </c>
      <c r="I32" s="15"/>
      <c r="J32" s="15"/>
      <c r="K32" s="25"/>
      <c r="L32" s="15"/>
    </row>
    <row r="33" spans="1:12" x14ac:dyDescent="0.25">
      <c r="A33" s="9">
        <v>41881</v>
      </c>
      <c r="B33" s="13">
        <v>483886.24</v>
      </c>
      <c r="C33" s="10">
        <v>143573</v>
      </c>
      <c r="D33" s="10">
        <v>119701.22</v>
      </c>
      <c r="E33" s="11">
        <f t="shared" si="0"/>
        <v>220612.02</v>
      </c>
      <c r="F33" s="15">
        <v>0</v>
      </c>
      <c r="G33" s="15"/>
      <c r="H33" s="15">
        <f t="shared" si="1"/>
        <v>-220612.02</v>
      </c>
      <c r="I33" s="15"/>
      <c r="J33" s="15"/>
      <c r="K33" s="25"/>
      <c r="L33" s="15"/>
    </row>
    <row r="34" spans="1:12" x14ac:dyDescent="0.25">
      <c r="A34" s="9">
        <v>41882</v>
      </c>
      <c r="B34" s="10">
        <v>459024.71</v>
      </c>
      <c r="C34" s="10">
        <v>3064</v>
      </c>
      <c r="D34" s="10">
        <v>11467.8</v>
      </c>
      <c r="E34" s="11">
        <f t="shared" si="0"/>
        <v>444492.91000000003</v>
      </c>
      <c r="F34" s="15">
        <v>0</v>
      </c>
      <c r="G34" s="15"/>
      <c r="H34" s="15">
        <f t="shared" si="1"/>
        <v>-444492.91000000003</v>
      </c>
      <c r="I34" s="15"/>
      <c r="J34" s="15"/>
      <c r="K34" s="25"/>
      <c r="L34" s="15"/>
    </row>
    <row r="35" spans="1:12" x14ac:dyDescent="0.25">
      <c r="A35" s="9"/>
      <c r="B35" s="10"/>
      <c r="C35" s="10"/>
      <c r="D35" s="10"/>
      <c r="E35" s="11">
        <f t="shared" si="0"/>
        <v>0</v>
      </c>
      <c r="F35" s="15">
        <v>0</v>
      </c>
      <c r="H35" s="4"/>
      <c r="I35" s="4"/>
      <c r="J35" s="15"/>
      <c r="K35" s="4"/>
    </row>
    <row r="36" spans="1:12" x14ac:dyDescent="0.25">
      <c r="A36" s="14"/>
      <c r="B36" s="10"/>
      <c r="C36" s="10"/>
      <c r="D36" s="10"/>
      <c r="E36" s="11">
        <f t="shared" si="0"/>
        <v>0</v>
      </c>
      <c r="F36" s="15">
        <v>0</v>
      </c>
      <c r="H36" s="4"/>
      <c r="I36" s="4"/>
      <c r="J36" s="15"/>
      <c r="K36" s="4"/>
    </row>
    <row r="37" spans="1:12" x14ac:dyDescent="0.25">
      <c r="A37" s="14"/>
      <c r="B37" s="13"/>
      <c r="C37" s="10"/>
      <c r="D37" s="10"/>
      <c r="E37" s="11">
        <f t="shared" si="0"/>
        <v>0</v>
      </c>
      <c r="F37" s="15">
        <v>0</v>
      </c>
      <c r="H37" s="4"/>
      <c r="I37" s="4"/>
      <c r="J37" s="15"/>
      <c r="K37" s="4"/>
    </row>
    <row r="38" spans="1:12" x14ac:dyDescent="0.25">
      <c r="A38" s="14"/>
      <c r="B38" s="10"/>
      <c r="C38" s="10"/>
      <c r="D38" s="10"/>
      <c r="E38" s="11">
        <f t="shared" si="0"/>
        <v>0</v>
      </c>
      <c r="F38" s="15">
        <v>0</v>
      </c>
      <c r="H38" s="4"/>
      <c r="I38" s="4"/>
      <c r="J38" s="15"/>
      <c r="K38" s="4"/>
    </row>
    <row r="39" spans="1:12" x14ac:dyDescent="0.25">
      <c r="A39" s="14"/>
      <c r="B39" s="10">
        <f>SUM(B4:B38)</f>
        <v>12192503.009999998</v>
      </c>
      <c r="C39" s="10">
        <f>SUM(C4:C38)</f>
        <v>847164.43</v>
      </c>
      <c r="D39" s="10">
        <f>SUM(D4:D38)</f>
        <v>1609179.3599999999</v>
      </c>
      <c r="E39" s="11">
        <f t="shared" si="0"/>
        <v>9736159.2199999988</v>
      </c>
      <c r="F39" s="15">
        <v>0</v>
      </c>
      <c r="H39" s="15"/>
      <c r="I39" s="4"/>
      <c r="J39" s="15"/>
      <c r="K39" s="4"/>
    </row>
    <row r="40" spans="1:12" x14ac:dyDescent="0.25">
      <c r="A40" s="14"/>
      <c r="B40" s="13"/>
      <c r="C40" s="10"/>
      <c r="D40" s="10"/>
      <c r="E40" s="11">
        <f t="shared" si="0"/>
        <v>0</v>
      </c>
      <c r="H40" s="4"/>
      <c r="I40" s="4"/>
      <c r="J40" s="4"/>
      <c r="K40" s="4"/>
    </row>
    <row r="41" spans="1:12" x14ac:dyDescent="0.25">
      <c r="A41" s="14"/>
      <c r="B41" s="16"/>
      <c r="C41" s="10"/>
      <c r="D41" s="10"/>
      <c r="E41" s="11">
        <f t="shared" si="0"/>
        <v>0</v>
      </c>
      <c r="H41" s="4"/>
      <c r="I41" s="4"/>
      <c r="J41" s="4"/>
      <c r="K41" s="4"/>
    </row>
    <row r="42" spans="1:12" ht="15" x14ac:dyDescent="0.25">
      <c r="A42" s="4"/>
      <c r="B42" s="4"/>
      <c r="C42" s="4"/>
      <c r="D42" s="4"/>
      <c r="E42" s="4"/>
      <c r="H42" s="4"/>
      <c r="I42" s="4"/>
      <c r="J42" s="4"/>
      <c r="K42" s="4"/>
    </row>
    <row r="43" spans="1:12" ht="15" x14ac:dyDescent="0.25">
      <c r="A43" s="4"/>
      <c r="B43" s="4"/>
      <c r="C43" s="4"/>
      <c r="D43" s="4"/>
      <c r="E43" s="4"/>
      <c r="H43" s="4"/>
      <c r="I43" s="4"/>
      <c r="J43" s="4"/>
      <c r="K43" s="4"/>
    </row>
    <row r="44" spans="1:12" ht="18.75" x14ac:dyDescent="0.3">
      <c r="B44" s="57" t="s">
        <v>40</v>
      </c>
      <c r="C44" s="57"/>
      <c r="D44" s="57"/>
      <c r="E44" s="2"/>
      <c r="F44" s="3"/>
      <c r="G44" s="3"/>
      <c r="H44" s="4"/>
      <c r="I44" s="4"/>
      <c r="J44" s="4"/>
      <c r="K44" s="4"/>
    </row>
    <row r="45" spans="1:12" x14ac:dyDescent="0.25">
      <c r="A45" s="5"/>
      <c r="B45" s="6"/>
      <c r="C45" s="23" t="s">
        <v>5</v>
      </c>
      <c r="D45" s="6"/>
      <c r="E45" s="7"/>
      <c r="F45" s="3"/>
      <c r="G45" s="3"/>
      <c r="H45" s="4"/>
      <c r="I45" s="4"/>
      <c r="J45" s="4"/>
      <c r="K45" s="4"/>
    </row>
    <row r="46" spans="1:12" ht="16.5" thickBot="1" x14ac:dyDescent="0.3">
      <c r="A46" s="19" t="s">
        <v>0</v>
      </c>
      <c r="B46" s="20" t="s">
        <v>1</v>
      </c>
      <c r="C46" s="21" t="s">
        <v>2</v>
      </c>
      <c r="D46" s="8" t="s">
        <v>3</v>
      </c>
      <c r="E46" s="22" t="s">
        <v>4</v>
      </c>
      <c r="F46" s="3"/>
      <c r="G46" s="3"/>
      <c r="H46" s="28" t="s">
        <v>2</v>
      </c>
      <c r="I46" s="29" t="s">
        <v>3</v>
      </c>
      <c r="J46" s="27" t="s">
        <v>8</v>
      </c>
      <c r="K46" s="4"/>
    </row>
    <row r="47" spans="1:12" ht="16.5" thickTop="1" x14ac:dyDescent="0.25">
      <c r="A47" s="9">
        <v>41883</v>
      </c>
      <c r="B47" s="10">
        <v>299246.18</v>
      </c>
      <c r="C47" s="10">
        <f>H47</f>
        <v>25709.49</v>
      </c>
      <c r="D47" s="10">
        <f>I47</f>
        <v>19820.78</v>
      </c>
      <c r="E47" s="11">
        <f>B47-C47-D47</f>
        <v>253715.91</v>
      </c>
      <c r="H47" s="15">
        <f>130+251.9+10+250+392+1172.57+5852.02+17651</f>
        <v>25709.49</v>
      </c>
      <c r="I47" s="15">
        <f>6207.76+2839.02+8484+2290</f>
        <v>19820.78</v>
      </c>
      <c r="J47" s="15">
        <f>1688.8+50000+202027</f>
        <v>253715.8</v>
      </c>
      <c r="K47" s="25" t="s">
        <v>9</v>
      </c>
      <c r="L47" s="15">
        <f>J47-E47</f>
        <v>-0.11000000001513399</v>
      </c>
    </row>
    <row r="48" spans="1:12" x14ac:dyDescent="0.25">
      <c r="A48" s="9">
        <v>41884</v>
      </c>
      <c r="B48" s="10">
        <v>249589.85</v>
      </c>
      <c r="C48" s="10">
        <f t="shared" ref="C48:C76" si="2">H48</f>
        <v>569.36</v>
      </c>
      <c r="D48" s="10">
        <f t="shared" ref="D48:D76" si="3">I48</f>
        <v>73257.02</v>
      </c>
      <c r="E48" s="11">
        <f t="shared" ref="E48:E84" si="4">B48-C48-D48</f>
        <v>175763.47000000003</v>
      </c>
      <c r="H48" s="31">
        <f>130+10+125.36+304</f>
        <v>569.36</v>
      </c>
      <c r="I48" s="31">
        <f>4209.42+860+5362+52056+9396+1373.6</f>
        <v>73257.02</v>
      </c>
      <c r="J48" s="15">
        <f>5491+50000+120272.5</f>
        <v>175763.5</v>
      </c>
      <c r="K48" s="25" t="s">
        <v>9</v>
      </c>
      <c r="L48" s="15">
        <f>J48-E48</f>
        <v>2.9999999969732016E-2</v>
      </c>
    </row>
    <row r="49" spans="1:12" x14ac:dyDescent="0.25">
      <c r="A49" s="9">
        <v>41885</v>
      </c>
      <c r="B49" s="10">
        <v>282870.88</v>
      </c>
      <c r="C49" s="10">
        <f t="shared" si="2"/>
        <v>102915</v>
      </c>
      <c r="D49" s="10">
        <f t="shared" si="3"/>
        <v>10692.2</v>
      </c>
      <c r="E49" s="11">
        <f t="shared" si="4"/>
        <v>169263.68</v>
      </c>
      <c r="H49" s="15">
        <f>1250+130+10+35+10+480+1000+100000</f>
        <v>102915</v>
      </c>
      <c r="I49" s="15">
        <f>4803+1189+2081+2619.2</f>
        <v>10692.2</v>
      </c>
      <c r="J49" s="15">
        <f>40000+129263</f>
        <v>169263</v>
      </c>
      <c r="K49" s="25" t="s">
        <v>9</v>
      </c>
      <c r="L49" s="15">
        <f>J49-E49</f>
        <v>-0.67999999999301508</v>
      </c>
    </row>
    <row r="50" spans="1:12" x14ac:dyDescent="0.25">
      <c r="A50" s="9">
        <v>41886</v>
      </c>
      <c r="B50" s="10">
        <v>365304.29</v>
      </c>
      <c r="C50" s="10">
        <f t="shared" si="2"/>
        <v>2101.2999999999997</v>
      </c>
      <c r="D50" s="10">
        <f t="shared" si="3"/>
        <v>157127.12</v>
      </c>
      <c r="E50" s="11">
        <f t="shared" si="4"/>
        <v>206075.87</v>
      </c>
      <c r="H50" s="15">
        <f>130+10+213.5+1000+528+113.1+84.7+22</f>
        <v>2101.2999999999997</v>
      </c>
      <c r="I50" s="15">
        <f>7423.62+3935+4148+139328.5+2292</f>
        <v>157127.12</v>
      </c>
      <c r="J50" s="15">
        <f>360+170+9208+70000+126337</f>
        <v>206075</v>
      </c>
      <c r="K50" s="25" t="s">
        <v>9</v>
      </c>
      <c r="L50" s="15">
        <f t="shared" ref="L50:L76" si="5">J50-E50</f>
        <v>-0.86999999999534339</v>
      </c>
    </row>
    <row r="51" spans="1:12" x14ac:dyDescent="0.25">
      <c r="A51" s="9">
        <v>41887</v>
      </c>
      <c r="B51" s="10">
        <v>501412.21</v>
      </c>
      <c r="C51" s="10">
        <f t="shared" si="2"/>
        <v>18410.5</v>
      </c>
      <c r="D51" s="10">
        <f t="shared" si="3"/>
        <v>64340.7</v>
      </c>
      <c r="E51" s="11">
        <f t="shared" si="4"/>
        <v>418661.01</v>
      </c>
      <c r="H51" s="15">
        <f>130+10+1500+98+580+14682.5+660+650+100</f>
        <v>18410.5</v>
      </c>
      <c r="I51" s="15">
        <f>451.4+13098+3727.3+17003.5+1372+23256.5+5432</f>
        <v>64340.7</v>
      </c>
      <c r="J51" s="15">
        <f>135000+283661</f>
        <v>418661</v>
      </c>
      <c r="K51" s="25" t="s">
        <v>9</v>
      </c>
      <c r="L51" s="15">
        <f t="shared" si="5"/>
        <v>-1.0000000009313226E-2</v>
      </c>
    </row>
    <row r="52" spans="1:12" x14ac:dyDescent="0.25">
      <c r="A52" s="9">
        <v>41888</v>
      </c>
      <c r="B52" s="10">
        <v>510788.01</v>
      </c>
      <c r="C52" s="10">
        <f t="shared" si="2"/>
        <v>146982</v>
      </c>
      <c r="D52" s="10">
        <f t="shared" si="3"/>
        <v>93247.82</v>
      </c>
      <c r="E52" s="11">
        <f t="shared" si="4"/>
        <v>270558.19</v>
      </c>
      <c r="H52" s="15">
        <f>130+1250+424+700+804+143664+10</f>
        <v>146982</v>
      </c>
      <c r="I52" s="15">
        <f>9559.82+220+680+20742+50620+6805+4621</f>
        <v>93247.82</v>
      </c>
      <c r="J52" s="15">
        <f>20000+250558</f>
        <v>270558</v>
      </c>
      <c r="K52" s="25" t="s">
        <v>9</v>
      </c>
      <c r="L52" s="15">
        <f t="shared" si="5"/>
        <v>-0.19000000000232831</v>
      </c>
    </row>
    <row r="53" spans="1:12" x14ac:dyDescent="0.25">
      <c r="A53" s="9">
        <v>41889</v>
      </c>
      <c r="B53" s="10">
        <v>370312.76</v>
      </c>
      <c r="C53" s="10">
        <f t="shared" si="2"/>
        <v>1562.6999999999998</v>
      </c>
      <c r="D53" s="10">
        <f t="shared" si="3"/>
        <v>9359.1</v>
      </c>
      <c r="E53" s="11">
        <f t="shared" si="4"/>
        <v>359390.96</v>
      </c>
      <c r="H53" s="15">
        <f>130+10+50+1250+7.5+107.85+7.35</f>
        <v>1562.6999999999998</v>
      </c>
      <c r="I53" s="15">
        <f>142.5+5145+4071.6</f>
        <v>9359.1</v>
      </c>
      <c r="J53" s="15">
        <f>359390</f>
        <v>359390</v>
      </c>
      <c r="K53" s="25" t="s">
        <v>9</v>
      </c>
      <c r="L53" s="15">
        <f t="shared" si="5"/>
        <v>-0.96000000002095476</v>
      </c>
    </row>
    <row r="54" spans="1:12" x14ac:dyDescent="0.25">
      <c r="A54" s="9">
        <v>41890</v>
      </c>
      <c r="B54" s="10">
        <v>372830.84</v>
      </c>
      <c r="C54" s="10">
        <f t="shared" si="2"/>
        <v>3947.57</v>
      </c>
      <c r="D54" s="10">
        <f t="shared" si="3"/>
        <v>62125.09</v>
      </c>
      <c r="E54" s="11">
        <f t="shared" si="4"/>
        <v>306758.18000000005</v>
      </c>
      <c r="H54" s="15">
        <f>130+500+552+131+25+2599.57+10</f>
        <v>3947.57</v>
      </c>
      <c r="I54" s="15">
        <f>3972.09+2201+55952</f>
        <v>62125.09</v>
      </c>
      <c r="J54" s="15">
        <f>992+3968+3968+992+6671+16202+26211.5+38931+70000+138822</f>
        <v>306757.5</v>
      </c>
      <c r="K54" s="25" t="s">
        <v>9</v>
      </c>
      <c r="L54" s="15">
        <f t="shared" si="5"/>
        <v>-0.68000000005122274</v>
      </c>
    </row>
    <row r="55" spans="1:12" x14ac:dyDescent="0.25">
      <c r="A55" s="9">
        <v>41891</v>
      </c>
      <c r="B55" s="10">
        <v>275414.2</v>
      </c>
      <c r="C55" s="10">
        <f t="shared" si="2"/>
        <v>764</v>
      </c>
      <c r="D55" s="10">
        <f t="shared" si="3"/>
        <v>5991.8899999999994</v>
      </c>
      <c r="E55" s="11">
        <f t="shared" si="4"/>
        <v>268658.31</v>
      </c>
      <c r="H55" s="15">
        <f>10+130+20+592+12</f>
        <v>764</v>
      </c>
      <c r="I55" s="15">
        <f>3666.89+2325</f>
        <v>5991.8899999999994</v>
      </c>
      <c r="J55" s="15">
        <f>4224+85000+179434</f>
        <v>268658</v>
      </c>
      <c r="K55" s="25" t="s">
        <v>9</v>
      </c>
      <c r="L55" s="15">
        <f t="shared" si="5"/>
        <v>-0.30999999999767169</v>
      </c>
    </row>
    <row r="56" spans="1:12" x14ac:dyDescent="0.25">
      <c r="A56" s="9">
        <v>41892</v>
      </c>
      <c r="B56" s="10">
        <v>267756.09000000003</v>
      </c>
      <c r="C56" s="10">
        <f t="shared" si="2"/>
        <v>2235.4899999999998</v>
      </c>
      <c r="D56" s="10">
        <f t="shared" si="3"/>
        <v>24475.98</v>
      </c>
      <c r="E56" s="11">
        <f t="shared" si="4"/>
        <v>241044.62000000002</v>
      </c>
      <c r="H56" s="15">
        <f>392+1500+19.49+184+130+10</f>
        <v>2235.4899999999998</v>
      </c>
      <c r="I56" s="15">
        <f>16249+2042+2613.5+2482.48+1089</f>
        <v>24475.98</v>
      </c>
      <c r="J56" s="15">
        <f>60000+181044</f>
        <v>241044</v>
      </c>
      <c r="K56" s="25" t="s">
        <v>9</v>
      </c>
      <c r="L56" s="15">
        <f t="shared" si="5"/>
        <v>-0.62000000002444722</v>
      </c>
    </row>
    <row r="57" spans="1:12" x14ac:dyDescent="0.25">
      <c r="A57" s="9">
        <v>41893</v>
      </c>
      <c r="B57" s="10">
        <v>372437.84</v>
      </c>
      <c r="C57" s="10">
        <f t="shared" si="2"/>
        <v>1293</v>
      </c>
      <c r="D57" s="10">
        <f t="shared" si="3"/>
        <v>43073.119999999995</v>
      </c>
      <c r="E57" s="11">
        <f t="shared" si="4"/>
        <v>328071.72000000003</v>
      </c>
      <c r="H57" s="15">
        <f>130+279+500+384</f>
        <v>1293</v>
      </c>
      <c r="I57" s="15">
        <f>3172.12+615+6498+32788</f>
        <v>43073.119999999995</v>
      </c>
      <c r="J57" s="15">
        <f>70000+252285+4476+1310</f>
        <v>328071</v>
      </c>
      <c r="K57" s="25" t="s">
        <v>9</v>
      </c>
      <c r="L57" s="15">
        <f t="shared" si="5"/>
        <v>-0.72000000003026798</v>
      </c>
    </row>
    <row r="58" spans="1:12" x14ac:dyDescent="0.25">
      <c r="A58" s="9">
        <v>41894</v>
      </c>
      <c r="B58" s="10">
        <v>456754.1</v>
      </c>
      <c r="C58" s="10">
        <f t="shared" si="2"/>
        <v>19109.46</v>
      </c>
      <c r="D58" s="10">
        <f t="shared" si="3"/>
        <v>75070.540000000008</v>
      </c>
      <c r="E58" s="11">
        <f t="shared" si="4"/>
        <v>362574.1</v>
      </c>
      <c r="H58" s="15">
        <f>130+10+1250+650+544+850+275+14682.5+484.92+233.04</f>
        <v>19109.46</v>
      </c>
      <c r="I58" s="15">
        <f>6760.64+357+886+1308.9+65758</f>
        <v>75070.540000000008</v>
      </c>
      <c r="J58" s="15">
        <f>3194.44+70000+289379</f>
        <v>362573.44</v>
      </c>
      <c r="K58" s="25" t="s">
        <v>9</v>
      </c>
      <c r="L58" s="15">
        <f t="shared" si="5"/>
        <v>-0.65999999997438863</v>
      </c>
    </row>
    <row r="59" spans="1:12" x14ac:dyDescent="0.25">
      <c r="A59" s="9">
        <v>41895</v>
      </c>
      <c r="B59" s="10">
        <v>551331.91</v>
      </c>
      <c r="C59" s="10">
        <f t="shared" si="2"/>
        <v>144711.91</v>
      </c>
      <c r="D59" s="10">
        <f t="shared" si="3"/>
        <v>126587.18</v>
      </c>
      <c r="E59" s="11">
        <f t="shared" si="4"/>
        <v>280032.82</v>
      </c>
      <c r="H59" s="15">
        <f>15+130+250+460+122+143423.5+311.41</f>
        <v>144711.91</v>
      </c>
      <c r="I59" s="15">
        <f>2111+5442.28+385+1389+2028+1305+15997+2935.4+94994.5</f>
        <v>126587.18</v>
      </c>
      <c r="J59" s="15">
        <f>4905.6+80000+110000+85127</f>
        <v>280032.59999999998</v>
      </c>
      <c r="K59" s="25" t="s">
        <v>9</v>
      </c>
      <c r="L59" s="15">
        <f t="shared" si="5"/>
        <v>-0.22000000003026798</v>
      </c>
    </row>
    <row r="60" spans="1:12" x14ac:dyDescent="0.25">
      <c r="A60" s="9">
        <v>41896</v>
      </c>
      <c r="B60" s="10">
        <v>523785.74</v>
      </c>
      <c r="C60" s="10">
        <f t="shared" si="2"/>
        <v>3949</v>
      </c>
      <c r="D60" s="10">
        <f t="shared" si="3"/>
        <v>27169.3</v>
      </c>
      <c r="E60" s="11">
        <f t="shared" si="4"/>
        <v>492667.44</v>
      </c>
      <c r="F60" s="24" t="s">
        <v>7</v>
      </c>
      <c r="G60" s="24"/>
      <c r="H60" s="15">
        <f>130+50+20+60+540+1750+91+8+50+1250</f>
        <v>3949</v>
      </c>
      <c r="I60" s="15">
        <f>5946.3+4420+14027.5+2775.5</f>
        <v>27169.3</v>
      </c>
      <c r="J60" s="30">
        <f>16667+120000+201000+245000+20000</f>
        <v>602667</v>
      </c>
      <c r="K60" s="25" t="s">
        <v>9</v>
      </c>
      <c r="L60" s="15">
        <f t="shared" si="5"/>
        <v>109999.56</v>
      </c>
    </row>
    <row r="61" spans="1:12" x14ac:dyDescent="0.25">
      <c r="A61" s="9">
        <v>41897</v>
      </c>
      <c r="B61" s="10">
        <v>422424.9</v>
      </c>
      <c r="C61" s="10">
        <f t="shared" si="2"/>
        <v>7166.7</v>
      </c>
      <c r="D61" s="10">
        <f t="shared" si="3"/>
        <v>15702.759999999998</v>
      </c>
      <c r="E61" s="11">
        <f t="shared" si="4"/>
        <v>399555.44</v>
      </c>
      <c r="H61" s="15">
        <f>130+1250+3900+1250+504+122.7+10</f>
        <v>7166.7</v>
      </c>
      <c r="I61" s="15">
        <f>5635.26+1128.2+8939.3</f>
        <v>15702.759999999998</v>
      </c>
      <c r="J61" s="15">
        <f>1530.2+90000+308025</f>
        <v>399555.2</v>
      </c>
      <c r="K61" s="25" t="s">
        <v>9</v>
      </c>
      <c r="L61" s="15">
        <f t="shared" si="5"/>
        <v>-0.23999999999068677</v>
      </c>
    </row>
    <row r="62" spans="1:12" x14ac:dyDescent="0.25">
      <c r="A62" s="9">
        <v>41898</v>
      </c>
      <c r="B62" s="10">
        <v>343334.86</v>
      </c>
      <c r="C62" s="10">
        <f t="shared" si="2"/>
        <v>550</v>
      </c>
      <c r="D62" s="10">
        <f t="shared" si="3"/>
        <v>4745.26</v>
      </c>
      <c r="E62" s="11">
        <f t="shared" si="4"/>
        <v>338039.6</v>
      </c>
      <c r="H62" s="15">
        <f>130+420</f>
        <v>550</v>
      </c>
      <c r="I62" s="15">
        <f>4745.26</f>
        <v>4745.26</v>
      </c>
      <c r="J62" s="15">
        <f>13445+28776.5+56008.8+60168.5+179640</f>
        <v>338038.8</v>
      </c>
      <c r="K62" s="25" t="s">
        <v>9</v>
      </c>
      <c r="L62" s="15">
        <f t="shared" si="5"/>
        <v>-0.79999999998835847</v>
      </c>
    </row>
    <row r="63" spans="1:12" x14ac:dyDescent="0.25">
      <c r="A63" s="9">
        <v>41899</v>
      </c>
      <c r="B63" s="10">
        <v>326454.56</v>
      </c>
      <c r="C63" s="10">
        <f t="shared" si="2"/>
        <v>2362.4300000000003</v>
      </c>
      <c r="D63" s="10">
        <f t="shared" si="3"/>
        <v>36814.339999999997</v>
      </c>
      <c r="E63" s="11">
        <f t="shared" si="4"/>
        <v>287277.79000000004</v>
      </c>
      <c r="H63" s="15">
        <f>412+1000+220.43+130+600</f>
        <v>2362.4300000000003</v>
      </c>
      <c r="I63" s="15">
        <f>3068+27914+1721.34+4111</f>
        <v>36814.339999999997</v>
      </c>
      <c r="J63" s="15">
        <f>2340+947.7+16040+157950</f>
        <v>177277.7</v>
      </c>
      <c r="K63" s="25" t="s">
        <v>9</v>
      </c>
      <c r="L63" s="15">
        <f t="shared" si="5"/>
        <v>-110000.09000000003</v>
      </c>
    </row>
    <row r="64" spans="1:12" x14ac:dyDescent="0.25">
      <c r="A64" s="9">
        <v>41900</v>
      </c>
      <c r="B64" s="10">
        <v>472402.4</v>
      </c>
      <c r="C64" s="10">
        <f t="shared" si="2"/>
        <v>1654</v>
      </c>
      <c r="D64" s="10">
        <f t="shared" si="3"/>
        <v>36960.11</v>
      </c>
      <c r="E64" s="11">
        <f t="shared" si="4"/>
        <v>433788.29000000004</v>
      </c>
      <c r="H64" s="15">
        <f>1250+364+40</f>
        <v>1654</v>
      </c>
      <c r="I64" s="15">
        <f>2602.25+346.44+738.52+735.7+378+10101.6+22057.6</f>
        <v>36960.11</v>
      </c>
      <c r="J64" s="15">
        <f>20638+413150</f>
        <v>433788</v>
      </c>
      <c r="K64" s="25" t="s">
        <v>9</v>
      </c>
      <c r="L64" s="15">
        <f t="shared" si="5"/>
        <v>-0.2900000000372529</v>
      </c>
    </row>
    <row r="65" spans="1:12" x14ac:dyDescent="0.25">
      <c r="A65" s="9">
        <v>41901</v>
      </c>
      <c r="B65" s="10">
        <v>392737.04</v>
      </c>
      <c r="C65" s="10">
        <f t="shared" si="2"/>
        <v>19020.25</v>
      </c>
      <c r="D65" s="10">
        <f t="shared" si="3"/>
        <v>6870.7</v>
      </c>
      <c r="E65" s="11">
        <f t="shared" si="4"/>
        <v>366846.08999999997</v>
      </c>
      <c r="H65" s="15">
        <f>130+1500+504+15660.5+70.75+650+100+130+75+200</f>
        <v>19020.25</v>
      </c>
      <c r="I65" s="15">
        <f>1284+4360+1226.7</f>
        <v>6870.7</v>
      </c>
      <c r="J65" s="15">
        <f>5600+2608.32+15637+378000</f>
        <v>401845.32</v>
      </c>
      <c r="K65" s="25" t="s">
        <v>9</v>
      </c>
      <c r="L65" s="15">
        <f t="shared" si="5"/>
        <v>34999.23000000004</v>
      </c>
    </row>
    <row r="66" spans="1:12" x14ac:dyDescent="0.25">
      <c r="A66" s="9">
        <v>41902</v>
      </c>
      <c r="B66" s="10">
        <v>558148.80000000005</v>
      </c>
      <c r="C66" s="10">
        <f t="shared" si="2"/>
        <v>153125</v>
      </c>
      <c r="D66" s="10">
        <f t="shared" si="3"/>
        <v>96762.32</v>
      </c>
      <c r="E66" s="11">
        <f t="shared" si="4"/>
        <v>308261.48000000004</v>
      </c>
      <c r="H66" s="15">
        <f>130+151605+500+850+40</f>
        <v>153125</v>
      </c>
      <c r="I66" s="15">
        <f>9683.02+330+12077+58728+8080.8+4672+3191.5</f>
        <v>96762.32</v>
      </c>
      <c r="J66" s="15">
        <f>273261</f>
        <v>273261</v>
      </c>
      <c r="K66" s="25" t="s">
        <v>9</v>
      </c>
      <c r="L66" s="15">
        <f t="shared" si="5"/>
        <v>-35000.48000000004</v>
      </c>
    </row>
    <row r="67" spans="1:12" x14ac:dyDescent="0.25">
      <c r="A67" s="9">
        <v>41903</v>
      </c>
      <c r="B67" s="10">
        <v>348235.79</v>
      </c>
      <c r="C67" s="10">
        <f t="shared" si="2"/>
        <v>3344.33</v>
      </c>
      <c r="D67" s="10">
        <f t="shared" si="3"/>
        <v>12106.68</v>
      </c>
      <c r="E67" s="11">
        <f t="shared" si="4"/>
        <v>332784.77999999997</v>
      </c>
      <c r="H67" s="15">
        <f>130+200+15+1033+366.33+100+1500</f>
        <v>3344.33</v>
      </c>
      <c r="I67" s="15">
        <f>4744.18+2170+2563.5+2629</f>
        <v>12106.68</v>
      </c>
      <c r="J67" s="15">
        <f>14284+318500</f>
        <v>332784</v>
      </c>
      <c r="K67" s="25" t="s">
        <v>9</v>
      </c>
      <c r="L67" s="15">
        <f t="shared" si="5"/>
        <v>-0.77999999996973202</v>
      </c>
    </row>
    <row r="68" spans="1:12" x14ac:dyDescent="0.25">
      <c r="A68" s="9">
        <v>41904</v>
      </c>
      <c r="B68" s="10">
        <v>308813.78000000003</v>
      </c>
      <c r="C68" s="10">
        <f t="shared" si="2"/>
        <v>808.1</v>
      </c>
      <c r="D68" s="10">
        <f t="shared" si="3"/>
        <v>34670.120000000003</v>
      </c>
      <c r="E68" s="11">
        <f t="shared" si="4"/>
        <v>273335.56000000006</v>
      </c>
      <c r="H68" s="15">
        <f>130+20.1+408+250</f>
        <v>808.1</v>
      </c>
      <c r="I68" s="15">
        <f>2728.72+31941.4</f>
        <v>34670.120000000003</v>
      </c>
      <c r="J68" s="15">
        <f>24500+248835</f>
        <v>273335</v>
      </c>
      <c r="K68" s="25" t="s">
        <v>9</v>
      </c>
      <c r="L68" s="15">
        <f t="shared" si="5"/>
        <v>-0.56000000005587935</v>
      </c>
    </row>
    <row r="69" spans="1:12" x14ac:dyDescent="0.25">
      <c r="A69" s="9">
        <v>41905</v>
      </c>
      <c r="B69" s="10">
        <v>277269.58</v>
      </c>
      <c r="C69" s="10">
        <f t="shared" si="2"/>
        <v>1418</v>
      </c>
      <c r="D69" s="10">
        <f t="shared" si="3"/>
        <v>107356.33</v>
      </c>
      <c r="E69" s="11">
        <f t="shared" si="4"/>
        <v>168495.25</v>
      </c>
      <c r="H69" s="15">
        <f>130+198+360+10+720</f>
        <v>1418</v>
      </c>
      <c r="I69" s="15">
        <f>3463.9+291+3805.53+40238.9+56684+2873</f>
        <v>107356.33</v>
      </c>
      <c r="J69" s="15">
        <f>85000+83495</f>
        <v>168495</v>
      </c>
      <c r="K69" s="25" t="s">
        <v>9</v>
      </c>
      <c r="L69" s="15">
        <f t="shared" si="5"/>
        <v>-0.25</v>
      </c>
    </row>
    <row r="70" spans="1:12" x14ac:dyDescent="0.25">
      <c r="A70" s="9">
        <v>41906</v>
      </c>
      <c r="B70" s="10">
        <v>557226.73</v>
      </c>
      <c r="C70" s="10">
        <f t="shared" si="2"/>
        <v>3310.77</v>
      </c>
      <c r="D70" s="10">
        <f t="shared" si="3"/>
        <v>10553.92</v>
      </c>
      <c r="E70" s="11">
        <f t="shared" si="4"/>
        <v>543362.03999999992</v>
      </c>
      <c r="H70" s="15">
        <f>850+552+1750+18.77+10+130</f>
        <v>3310.77</v>
      </c>
      <c r="I70" s="15">
        <f>3854.92+6699</f>
        <v>10553.92</v>
      </c>
      <c r="J70" s="15">
        <f>104006+3416+7096.5+14000+11627.5+11671+40978+60000+85567+205000</f>
        <v>543362</v>
      </c>
      <c r="K70" s="25" t="s">
        <v>9</v>
      </c>
      <c r="L70" s="15">
        <f t="shared" si="5"/>
        <v>-3.9999999920837581E-2</v>
      </c>
    </row>
    <row r="71" spans="1:12" x14ac:dyDescent="0.25">
      <c r="A71" s="9">
        <v>41907</v>
      </c>
      <c r="B71" s="10">
        <v>385266.74</v>
      </c>
      <c r="C71" s="10">
        <f t="shared" si="2"/>
        <v>2449</v>
      </c>
      <c r="D71" s="10">
        <f t="shared" si="3"/>
        <v>4345.38</v>
      </c>
      <c r="E71" s="11">
        <f t="shared" si="4"/>
        <v>378472.36</v>
      </c>
      <c r="H71" s="15">
        <f>130+36+1000+20+552+141+496+49+25</f>
        <v>2449</v>
      </c>
      <c r="I71" s="15">
        <f>4345.38</f>
        <v>4345.38</v>
      </c>
      <c r="J71" s="15">
        <f>70000+308482</f>
        <v>378482</v>
      </c>
      <c r="K71" s="25" t="s">
        <v>9</v>
      </c>
      <c r="L71" s="15">
        <f t="shared" si="5"/>
        <v>9.6400000000139698</v>
      </c>
    </row>
    <row r="72" spans="1:12" x14ac:dyDescent="0.25">
      <c r="A72" s="9">
        <v>41908</v>
      </c>
      <c r="B72" s="10">
        <v>511855.1</v>
      </c>
      <c r="C72" s="10">
        <f t="shared" si="2"/>
        <v>18073.5</v>
      </c>
      <c r="D72" s="10">
        <f t="shared" si="3"/>
        <v>111168.33</v>
      </c>
      <c r="E72" s="11">
        <f t="shared" si="4"/>
        <v>382613.26999999996</v>
      </c>
      <c r="H72" s="15">
        <f>130+160+15422.5+336+650+10+75+290+1000</f>
        <v>18073.5</v>
      </c>
      <c r="I72" s="15">
        <f>7859.13+507.6+2801.6+100000</f>
        <v>111168.33</v>
      </c>
      <c r="J72" s="15">
        <f>120000+261605+108+300+300+300</f>
        <v>382613</v>
      </c>
      <c r="K72" s="25" t="s">
        <v>9</v>
      </c>
      <c r="L72" s="15">
        <f t="shared" si="5"/>
        <v>-0.26999999996041879</v>
      </c>
    </row>
    <row r="73" spans="1:12" x14ac:dyDescent="0.25">
      <c r="A73" s="9">
        <v>41909</v>
      </c>
      <c r="B73" s="10">
        <v>528386.97</v>
      </c>
      <c r="C73" s="10">
        <f t="shared" si="2"/>
        <v>140940</v>
      </c>
      <c r="D73" s="10">
        <f t="shared" si="3"/>
        <v>21267.7</v>
      </c>
      <c r="E73" s="11">
        <f t="shared" si="4"/>
        <v>366179.26999999996</v>
      </c>
      <c r="H73" s="15">
        <f>130+1500+230+660+138420</f>
        <v>140940</v>
      </c>
      <c r="I73" s="15">
        <f>5776.3+110+808.4+12474+2099</f>
        <v>21267.7</v>
      </c>
      <c r="J73" s="15">
        <f>60000+306179</f>
        <v>366179</v>
      </c>
      <c r="K73" s="25" t="s">
        <v>9</v>
      </c>
      <c r="L73" s="15">
        <f t="shared" si="5"/>
        <v>-0.26999999996041879</v>
      </c>
    </row>
    <row r="74" spans="1:12" x14ac:dyDescent="0.25">
      <c r="A74" s="9">
        <v>41910</v>
      </c>
      <c r="B74" s="10">
        <v>395183.61</v>
      </c>
      <c r="C74" s="10">
        <f t="shared" si="2"/>
        <v>3990</v>
      </c>
      <c r="D74" s="10">
        <f t="shared" si="3"/>
        <v>9184.5</v>
      </c>
      <c r="E74" s="11">
        <f t="shared" si="4"/>
        <v>382009.11</v>
      </c>
      <c r="H74" s="15">
        <f>130+10+1250+2600</f>
        <v>3990</v>
      </c>
      <c r="I74" s="15">
        <f>2579.5+3407+3198</f>
        <v>9184.5</v>
      </c>
      <c r="J74" s="15">
        <f>1492+11517+369000</f>
        <v>382009</v>
      </c>
      <c r="K74" s="25" t="s">
        <v>9</v>
      </c>
      <c r="L74" s="15">
        <f t="shared" si="5"/>
        <v>-0.10999999998603016</v>
      </c>
    </row>
    <row r="75" spans="1:12" x14ac:dyDescent="0.25">
      <c r="A75" s="9">
        <v>41911</v>
      </c>
      <c r="B75" s="10">
        <v>299818.12</v>
      </c>
      <c r="C75" s="10">
        <f t="shared" si="2"/>
        <v>912</v>
      </c>
      <c r="D75" s="10">
        <f t="shared" si="3"/>
        <v>29210.14</v>
      </c>
      <c r="E75" s="11">
        <f t="shared" si="4"/>
        <v>269695.98</v>
      </c>
      <c r="H75" s="15">
        <f>130+250+532</f>
        <v>912</v>
      </c>
      <c r="I75" s="15">
        <f>2845.34+2306.3+13167.5+9040+1851</f>
        <v>29210.14</v>
      </c>
      <c r="J75" s="15">
        <f>24847+244849</f>
        <v>269696</v>
      </c>
      <c r="K75" s="25" t="s">
        <v>9</v>
      </c>
      <c r="L75" s="15">
        <f t="shared" si="5"/>
        <v>2.0000000018626451E-2</v>
      </c>
    </row>
    <row r="76" spans="1:12" x14ac:dyDescent="0.25">
      <c r="A76" s="9">
        <v>41912</v>
      </c>
      <c r="B76" s="10">
        <v>373313.64</v>
      </c>
      <c r="C76" s="10">
        <f t="shared" si="2"/>
        <v>534</v>
      </c>
      <c r="D76" s="10">
        <f t="shared" si="3"/>
        <v>6970.97</v>
      </c>
      <c r="E76" s="11">
        <f t="shared" si="4"/>
        <v>365808.67000000004</v>
      </c>
      <c r="H76" s="15">
        <f>130+404</f>
        <v>534</v>
      </c>
      <c r="I76" s="15">
        <f>6970.97</f>
        <v>6970.97</v>
      </c>
      <c r="J76" s="15">
        <f>2540.58+13060+50000+300208.5</f>
        <v>365809.08</v>
      </c>
      <c r="K76" s="25" t="s">
        <v>9</v>
      </c>
      <c r="L76" s="15">
        <f t="shared" si="5"/>
        <v>0.40999999997438863</v>
      </c>
    </row>
    <row r="77" spans="1:12" x14ac:dyDescent="0.25">
      <c r="A77" s="9"/>
      <c r="B77" s="10"/>
      <c r="C77" s="10"/>
      <c r="D77" s="10"/>
      <c r="E77" s="11">
        <f t="shared" si="4"/>
        <v>0</v>
      </c>
      <c r="H77" s="15"/>
      <c r="I77" s="15"/>
      <c r="J77" s="15"/>
      <c r="K77" s="25"/>
      <c r="L77" s="15"/>
    </row>
    <row r="78" spans="1:12" x14ac:dyDescent="0.25">
      <c r="A78" s="9"/>
      <c r="B78" s="10"/>
      <c r="C78" s="10"/>
      <c r="D78" s="10"/>
      <c r="E78" s="11">
        <f t="shared" si="4"/>
        <v>0</v>
      </c>
      <c r="H78" s="15"/>
      <c r="I78" s="15"/>
      <c r="J78" s="15"/>
      <c r="K78" s="4"/>
    </row>
    <row r="79" spans="1:12" x14ac:dyDescent="0.25">
      <c r="A79" s="14"/>
      <c r="B79" s="10"/>
      <c r="C79" s="10"/>
      <c r="D79" s="10"/>
      <c r="E79" s="11">
        <f t="shared" si="4"/>
        <v>0</v>
      </c>
      <c r="H79" s="15"/>
      <c r="I79" s="15"/>
      <c r="J79" s="15"/>
      <c r="K79" s="4"/>
    </row>
    <row r="80" spans="1:12" x14ac:dyDescent="0.25">
      <c r="A80" s="14"/>
      <c r="B80" s="13"/>
      <c r="C80" s="10"/>
      <c r="D80" s="10"/>
      <c r="E80" s="11">
        <f t="shared" si="4"/>
        <v>0</v>
      </c>
      <c r="H80" s="15"/>
      <c r="I80" s="15"/>
      <c r="J80" s="15"/>
      <c r="K80" s="4"/>
    </row>
    <row r="81" spans="1:12" x14ac:dyDescent="0.25">
      <c r="A81" s="14"/>
      <c r="B81" s="10"/>
      <c r="C81" s="10"/>
      <c r="D81" s="10"/>
      <c r="E81" s="11">
        <f t="shared" si="4"/>
        <v>0</v>
      </c>
      <c r="H81" s="15"/>
      <c r="I81" s="15"/>
      <c r="J81" s="15"/>
      <c r="K81" s="4"/>
    </row>
    <row r="82" spans="1:12" x14ac:dyDescent="0.25">
      <c r="A82" s="14"/>
      <c r="B82" s="10">
        <f>SUM(B47:B81)</f>
        <v>11900707.52</v>
      </c>
      <c r="C82" s="10">
        <f>SUM(C47:C81)</f>
        <v>833918.86</v>
      </c>
      <c r="D82" s="10">
        <f>SUM(D47:D81)</f>
        <v>1337027.3999999999</v>
      </c>
      <c r="E82" s="11">
        <f t="shared" si="4"/>
        <v>9729761.2599999998</v>
      </c>
      <c r="H82" s="15"/>
      <c r="I82" s="15"/>
      <c r="J82" s="15"/>
      <c r="K82" s="4"/>
    </row>
    <row r="83" spans="1:12" x14ac:dyDescent="0.25">
      <c r="A83" s="14"/>
      <c r="B83" s="13"/>
      <c r="C83" s="10"/>
      <c r="D83" s="10"/>
      <c r="E83" s="11">
        <f t="shared" si="4"/>
        <v>0</v>
      </c>
      <c r="H83" s="4"/>
      <c r="I83" s="4"/>
      <c r="J83" s="15">
        <f>SUM(J47:J82)</f>
        <v>9729759.9399999995</v>
      </c>
      <c r="K83" s="4"/>
      <c r="L83" s="15">
        <f>SUM(L47:L82)</f>
        <v>-1.3200000000651926</v>
      </c>
    </row>
    <row r="84" spans="1:12" x14ac:dyDescent="0.25">
      <c r="A84" s="14"/>
      <c r="B84" s="16"/>
      <c r="C84" s="10"/>
      <c r="D84" s="10"/>
      <c r="E84" s="11">
        <f t="shared" si="4"/>
        <v>0</v>
      </c>
      <c r="H84" s="4"/>
      <c r="I84" s="4"/>
      <c r="J84" s="4"/>
      <c r="K84" s="4"/>
    </row>
    <row r="85" spans="1:12" ht="15" x14ac:dyDescent="0.25">
      <c r="A85" s="4"/>
      <c r="B85" s="4"/>
      <c r="C85" s="4"/>
      <c r="D85" s="4"/>
      <c r="E85" s="4"/>
      <c r="H85" s="4"/>
      <c r="I85" s="4"/>
      <c r="J85" s="4"/>
      <c r="K85" s="4"/>
    </row>
    <row r="86" spans="1:12" ht="15" x14ac:dyDescent="0.25">
      <c r="A86" s="4"/>
      <c r="B86" s="4"/>
      <c r="C86" s="4"/>
      <c r="D86" s="4"/>
      <c r="E86" s="4"/>
      <c r="H86" s="4"/>
      <c r="I86" s="4"/>
      <c r="J86" s="4"/>
      <c r="K86" s="4"/>
    </row>
    <row r="87" spans="1:12" ht="15" x14ac:dyDescent="0.25">
      <c r="A87" s="4"/>
      <c r="B87" s="4"/>
      <c r="C87" s="4"/>
      <c r="D87" s="4"/>
      <c r="E87" s="4"/>
      <c r="H87" s="4"/>
      <c r="I87" s="4"/>
      <c r="J87" s="4"/>
      <c r="K87" s="4"/>
    </row>
    <row r="88" spans="1:12" ht="18.75" x14ac:dyDescent="0.3">
      <c r="B88" s="57" t="s">
        <v>41</v>
      </c>
      <c r="C88" s="57"/>
      <c r="D88" s="57"/>
      <c r="E88" s="2"/>
      <c r="F88" s="3"/>
      <c r="G88" s="3"/>
      <c r="H88" s="4"/>
      <c r="I88" s="4"/>
      <c r="J88" s="4"/>
      <c r="K88" s="4"/>
    </row>
    <row r="89" spans="1:12" x14ac:dyDescent="0.25">
      <c r="A89" s="5"/>
      <c r="B89" s="6"/>
      <c r="C89" s="23" t="s">
        <v>5</v>
      </c>
      <c r="D89" s="6"/>
      <c r="E89" s="7"/>
      <c r="F89" s="3"/>
      <c r="G89" s="3"/>
      <c r="H89" s="4"/>
      <c r="I89" s="4"/>
      <c r="J89" s="4"/>
      <c r="K89" s="4"/>
    </row>
    <row r="90" spans="1:12" ht="16.5" thickBot="1" x14ac:dyDescent="0.3">
      <c r="A90" s="19" t="s">
        <v>0</v>
      </c>
      <c r="B90" s="20" t="s">
        <v>1</v>
      </c>
      <c r="C90" s="21" t="s">
        <v>2</v>
      </c>
      <c r="D90" s="8" t="s">
        <v>3</v>
      </c>
      <c r="E90" s="22" t="s">
        <v>4</v>
      </c>
      <c r="F90" s="27" t="s">
        <v>8</v>
      </c>
      <c r="G90" s="40"/>
      <c r="H90" s="4"/>
      <c r="I90" s="4"/>
      <c r="J90" s="25"/>
      <c r="K90" s="4"/>
    </row>
    <row r="91" spans="1:12" ht="16.5" thickTop="1" x14ac:dyDescent="0.25">
      <c r="A91" s="9">
        <v>41913</v>
      </c>
      <c r="B91" s="10">
        <v>312625.36</v>
      </c>
      <c r="C91" s="10">
        <v>3395.99</v>
      </c>
      <c r="D91" s="10">
        <v>115717.1</v>
      </c>
      <c r="E91" s="11">
        <f>B91-C91-D91</f>
        <v>193512.27</v>
      </c>
      <c r="F91" s="15">
        <f>11630+56882+125000</f>
        <v>193512</v>
      </c>
      <c r="G91" s="15"/>
      <c r="H91" s="25" t="s">
        <v>9</v>
      </c>
      <c r="I91" s="15">
        <f>F91-E91</f>
        <v>-0.26999999998952262</v>
      </c>
      <c r="J91" s="15"/>
      <c r="K91" s="25"/>
      <c r="L91" s="15"/>
    </row>
    <row r="92" spans="1:12" x14ac:dyDescent="0.25">
      <c r="A92" s="9">
        <v>41914</v>
      </c>
      <c r="B92" s="10">
        <f>417432.35</f>
        <v>417432.35</v>
      </c>
      <c r="C92" s="10">
        <v>1827.77</v>
      </c>
      <c r="D92" s="10">
        <v>242187.74</v>
      </c>
      <c r="E92" s="11">
        <f t="shared" ref="E92:E128" si="6">B92-C92-D92</f>
        <v>173416.83999999997</v>
      </c>
      <c r="F92" s="15">
        <f>45000+23417+105000</f>
        <v>173417</v>
      </c>
      <c r="G92" s="15"/>
      <c r="H92" s="25" t="s">
        <v>9</v>
      </c>
      <c r="I92" s="15">
        <f t="shared" ref="I92:I121" si="7">F92-E92</f>
        <v>0.16000000003259629</v>
      </c>
      <c r="J92" s="15"/>
      <c r="K92" s="25"/>
      <c r="L92" s="15"/>
    </row>
    <row r="93" spans="1:12" x14ac:dyDescent="0.25">
      <c r="A93" s="9">
        <v>41915</v>
      </c>
      <c r="B93" s="10">
        <v>558840</v>
      </c>
      <c r="C93" s="10">
        <v>18825.66</v>
      </c>
      <c r="D93" s="10">
        <v>93240.86</v>
      </c>
      <c r="E93" s="11">
        <f t="shared" si="6"/>
        <v>446773.48</v>
      </c>
      <c r="F93" s="15">
        <f>15000+115000+285000+8700</f>
        <v>423700</v>
      </c>
      <c r="G93" s="15"/>
      <c r="H93" s="25" t="s">
        <v>9</v>
      </c>
      <c r="I93" s="15">
        <f t="shared" si="7"/>
        <v>-23073.479999999981</v>
      </c>
      <c r="J93" s="15"/>
      <c r="K93" s="25"/>
      <c r="L93" s="15"/>
    </row>
    <row r="94" spans="1:12" x14ac:dyDescent="0.25">
      <c r="A94" s="9">
        <v>41916</v>
      </c>
      <c r="B94" s="10">
        <v>519146.22</v>
      </c>
      <c r="C94" s="10">
        <v>141172.04999999999</v>
      </c>
      <c r="D94" s="10">
        <v>101544.6</v>
      </c>
      <c r="E94" s="11">
        <f t="shared" si="6"/>
        <v>276429.56999999995</v>
      </c>
      <c r="F94" s="15">
        <f>2010.5+73073+224419</f>
        <v>299502.5</v>
      </c>
      <c r="G94" s="15"/>
      <c r="H94" s="25" t="s">
        <v>9</v>
      </c>
      <c r="I94" s="15">
        <f t="shared" si="7"/>
        <v>23072.930000000051</v>
      </c>
      <c r="J94" s="15"/>
      <c r="K94" s="25"/>
      <c r="L94" s="15"/>
    </row>
    <row r="95" spans="1:12" x14ac:dyDescent="0.25">
      <c r="A95" s="9">
        <v>41917</v>
      </c>
      <c r="B95" s="10">
        <v>348562.19</v>
      </c>
      <c r="C95" s="10">
        <v>360.5</v>
      </c>
      <c r="D95" s="10">
        <v>15805.26</v>
      </c>
      <c r="E95" s="11">
        <f t="shared" si="6"/>
        <v>332396.43</v>
      </c>
      <c r="F95" s="15">
        <f>332396</f>
        <v>332396</v>
      </c>
      <c r="G95" s="15"/>
      <c r="H95" s="25" t="s">
        <v>9</v>
      </c>
      <c r="I95" s="15">
        <f t="shared" si="7"/>
        <v>-0.42999999999301508</v>
      </c>
      <c r="J95" s="15"/>
      <c r="K95" s="25"/>
      <c r="L95" s="15"/>
    </row>
    <row r="96" spans="1:12" x14ac:dyDescent="0.25">
      <c r="A96" s="9">
        <v>41918</v>
      </c>
      <c r="B96" s="10">
        <v>329841.21000000002</v>
      </c>
      <c r="C96" s="10">
        <v>4204.21</v>
      </c>
      <c r="D96" s="10">
        <v>255895.48</v>
      </c>
      <c r="E96" s="11">
        <f t="shared" si="6"/>
        <v>69741.51999999999</v>
      </c>
      <c r="F96" s="15">
        <f>22375+40000+2400+4013.8+952.56</f>
        <v>69741.36</v>
      </c>
      <c r="G96" s="15"/>
      <c r="H96" s="25" t="s">
        <v>9</v>
      </c>
      <c r="I96" s="15">
        <f t="shared" si="7"/>
        <v>-0.15999999998894054</v>
      </c>
      <c r="J96" s="15"/>
      <c r="K96" s="25"/>
      <c r="L96" s="15"/>
    </row>
    <row r="97" spans="1:12" x14ac:dyDescent="0.25">
      <c r="A97" s="9">
        <v>41919</v>
      </c>
      <c r="B97" s="10">
        <v>292737.15000000002</v>
      </c>
      <c r="C97" s="10">
        <v>1376.6</v>
      </c>
      <c r="D97" s="10">
        <v>185982.55</v>
      </c>
      <c r="E97" s="11">
        <f t="shared" si="6"/>
        <v>105378.00000000006</v>
      </c>
      <c r="F97" s="15">
        <f>105377.5</f>
        <v>105377.5</v>
      </c>
      <c r="G97" s="15"/>
      <c r="H97" s="25" t="s">
        <v>9</v>
      </c>
      <c r="I97" s="15">
        <f t="shared" si="7"/>
        <v>-0.50000000005820766</v>
      </c>
      <c r="J97" s="15"/>
      <c r="K97" s="25"/>
      <c r="L97" s="15"/>
    </row>
    <row r="98" spans="1:12" x14ac:dyDescent="0.25">
      <c r="A98" s="9">
        <v>41920</v>
      </c>
      <c r="B98" s="10">
        <v>328291.03999999998</v>
      </c>
      <c r="C98" s="10">
        <v>1138.5</v>
      </c>
      <c r="D98" s="10">
        <v>128117.78</v>
      </c>
      <c r="E98" s="11">
        <f t="shared" si="6"/>
        <v>199034.75999999998</v>
      </c>
      <c r="F98" s="15">
        <f>12510+24025+162500</f>
        <v>199035</v>
      </c>
      <c r="G98" s="15"/>
      <c r="H98" s="25" t="s">
        <v>9</v>
      </c>
      <c r="I98" s="15">
        <f t="shared" si="7"/>
        <v>0.2400000000197906</v>
      </c>
      <c r="J98" s="15"/>
      <c r="K98" s="25"/>
      <c r="L98" s="15"/>
    </row>
    <row r="99" spans="1:12" x14ac:dyDescent="0.25">
      <c r="A99" s="9">
        <v>41921</v>
      </c>
      <c r="B99" s="10">
        <v>370001.5</v>
      </c>
      <c r="C99" s="10">
        <v>1640</v>
      </c>
      <c r="D99" s="10">
        <v>142725.78</v>
      </c>
      <c r="E99" s="11">
        <f t="shared" si="6"/>
        <v>225635.72</v>
      </c>
      <c r="F99" s="15">
        <f>18000+193285+14350</f>
        <v>225635</v>
      </c>
      <c r="G99" s="15"/>
      <c r="H99" s="25" t="s">
        <v>9</v>
      </c>
      <c r="I99" s="15">
        <f t="shared" si="7"/>
        <v>-0.72000000000116415</v>
      </c>
      <c r="J99" s="15"/>
      <c r="K99" s="25"/>
      <c r="L99" s="15"/>
    </row>
    <row r="100" spans="1:12" x14ac:dyDescent="0.25">
      <c r="A100" s="9">
        <v>41922</v>
      </c>
      <c r="B100" s="10">
        <v>473231.16</v>
      </c>
      <c r="C100" s="10">
        <v>19855.5</v>
      </c>
      <c r="D100" s="10">
        <v>222248.48</v>
      </c>
      <c r="E100" s="11">
        <f t="shared" si="6"/>
        <v>231127.17999999996</v>
      </c>
      <c r="F100" s="15">
        <f>1308.75+130000+99818</f>
        <v>231126.75</v>
      </c>
      <c r="G100" s="15"/>
      <c r="H100" s="25" t="s">
        <v>9</v>
      </c>
      <c r="I100" s="15">
        <f t="shared" si="7"/>
        <v>-0.42999999996391125</v>
      </c>
      <c r="J100" s="15"/>
      <c r="K100" s="25"/>
      <c r="L100" s="15"/>
    </row>
    <row r="101" spans="1:12" x14ac:dyDescent="0.25">
      <c r="A101" s="9">
        <v>41923</v>
      </c>
      <c r="B101" s="10">
        <v>507539.68</v>
      </c>
      <c r="C101" s="10">
        <v>140874.5</v>
      </c>
      <c r="D101" s="10">
        <v>242786.38</v>
      </c>
      <c r="E101" s="11">
        <f t="shared" si="6"/>
        <v>123878.79999999999</v>
      </c>
      <c r="F101" s="15">
        <f>27087.6+96791</f>
        <v>123878.6</v>
      </c>
      <c r="G101" s="15"/>
      <c r="H101" s="25" t="s">
        <v>9</v>
      </c>
      <c r="I101" s="15">
        <f t="shared" si="7"/>
        <v>-0.1999999999825377</v>
      </c>
      <c r="J101" s="15"/>
      <c r="K101" s="25"/>
      <c r="L101" s="15"/>
    </row>
    <row r="102" spans="1:12" x14ac:dyDescent="0.25">
      <c r="A102" s="9">
        <v>41924</v>
      </c>
      <c r="B102" s="10">
        <v>363516.22</v>
      </c>
      <c r="C102" s="10">
        <v>6126</v>
      </c>
      <c r="D102" s="10">
        <v>180753.57</v>
      </c>
      <c r="E102" s="11">
        <f t="shared" si="6"/>
        <v>176636.64999999997</v>
      </c>
      <c r="F102" s="15">
        <f>10000+54136+112500</f>
        <v>176636</v>
      </c>
      <c r="G102" s="15"/>
      <c r="H102" s="25" t="s">
        <v>9</v>
      </c>
      <c r="I102" s="15">
        <f t="shared" si="7"/>
        <v>-0.6499999999650754</v>
      </c>
      <c r="J102" s="15"/>
      <c r="K102" s="25"/>
      <c r="L102" s="15"/>
    </row>
    <row r="103" spans="1:12" x14ac:dyDescent="0.25">
      <c r="A103" s="9">
        <v>41925</v>
      </c>
      <c r="B103" s="10">
        <v>247070.28</v>
      </c>
      <c r="C103" s="10">
        <v>2625</v>
      </c>
      <c r="D103" s="10">
        <v>203761.93</v>
      </c>
      <c r="E103" s="11">
        <f t="shared" si="6"/>
        <v>40683.350000000006</v>
      </c>
      <c r="F103" s="15">
        <v>40683</v>
      </c>
      <c r="G103" s="15"/>
      <c r="H103" s="25" t="s">
        <v>9</v>
      </c>
      <c r="I103" s="15">
        <f t="shared" si="7"/>
        <v>-0.35000000000582077</v>
      </c>
      <c r="J103" s="15"/>
      <c r="K103" s="25"/>
      <c r="L103" s="15"/>
    </row>
    <row r="104" spans="1:12" x14ac:dyDescent="0.25">
      <c r="A104" s="9">
        <v>41926</v>
      </c>
      <c r="B104" s="10">
        <v>252363.89</v>
      </c>
      <c r="C104" s="10">
        <v>2599.6999999999998</v>
      </c>
      <c r="D104" s="10">
        <v>123761.8</v>
      </c>
      <c r="E104" s="11">
        <f t="shared" si="6"/>
        <v>126002.39</v>
      </c>
      <c r="F104" s="15">
        <f>3969.25+1900.48+15000+105132.5</f>
        <v>126002.23</v>
      </c>
      <c r="G104" s="15"/>
      <c r="H104" s="25" t="s">
        <v>9</v>
      </c>
      <c r="I104" s="15">
        <f t="shared" si="7"/>
        <v>-0.16000000000349246</v>
      </c>
      <c r="J104" s="15"/>
      <c r="K104" s="25"/>
      <c r="L104" s="15"/>
    </row>
    <row r="105" spans="1:12" x14ac:dyDescent="0.25">
      <c r="A105" s="9">
        <v>41927</v>
      </c>
      <c r="B105" s="10">
        <v>327078.48</v>
      </c>
      <c r="C105" s="10">
        <v>7265.25</v>
      </c>
      <c r="D105" s="10">
        <v>104286.56</v>
      </c>
      <c r="E105" s="11">
        <f t="shared" si="6"/>
        <v>215526.66999999998</v>
      </c>
      <c r="F105" s="15">
        <f>408+12031.5+203087</f>
        <v>215526.5</v>
      </c>
      <c r="G105" s="15"/>
      <c r="H105" s="25" t="s">
        <v>9</v>
      </c>
      <c r="I105" s="15">
        <f t="shared" si="7"/>
        <v>-0.16999999998370185</v>
      </c>
      <c r="J105" s="15"/>
      <c r="K105" s="25"/>
      <c r="L105" s="15"/>
    </row>
    <row r="106" spans="1:12" x14ac:dyDescent="0.25">
      <c r="A106" s="9">
        <v>41928</v>
      </c>
      <c r="B106" s="10">
        <v>370530.37</v>
      </c>
      <c r="C106" s="10">
        <v>2486.4</v>
      </c>
      <c r="D106" s="10">
        <v>157115.48000000001</v>
      </c>
      <c r="E106" s="11">
        <f t="shared" si="6"/>
        <v>210928.48999999996</v>
      </c>
      <c r="F106" s="15">
        <v>210928</v>
      </c>
      <c r="G106" s="15"/>
      <c r="H106" s="25" t="s">
        <v>9</v>
      </c>
      <c r="I106" s="15">
        <f t="shared" si="7"/>
        <v>-0.48999999996158294</v>
      </c>
      <c r="J106" s="15"/>
      <c r="K106" s="25"/>
      <c r="L106" s="15"/>
    </row>
    <row r="107" spans="1:12" x14ac:dyDescent="0.25">
      <c r="A107" s="9">
        <v>41929</v>
      </c>
      <c r="B107" s="10">
        <v>477978.49</v>
      </c>
      <c r="C107" s="10">
        <v>19897.5</v>
      </c>
      <c r="D107" s="10">
        <v>150061.98000000001</v>
      </c>
      <c r="E107" s="11">
        <f t="shared" si="6"/>
        <v>308019.01</v>
      </c>
      <c r="F107" s="15">
        <f>70000+237841+178</f>
        <v>308019</v>
      </c>
      <c r="G107" s="15"/>
      <c r="H107" s="25" t="s">
        <v>9</v>
      </c>
      <c r="I107" s="15">
        <f t="shared" si="7"/>
        <v>-1.0000000009313226E-2</v>
      </c>
      <c r="J107" s="15"/>
      <c r="K107" s="25"/>
      <c r="L107" s="15"/>
    </row>
    <row r="108" spans="1:12" x14ac:dyDescent="0.25">
      <c r="A108" s="9">
        <v>41930</v>
      </c>
      <c r="B108" s="10">
        <v>482095.52</v>
      </c>
      <c r="C108" s="10">
        <v>136970</v>
      </c>
      <c r="D108" s="10">
        <v>152876.81</v>
      </c>
      <c r="E108" s="11">
        <f t="shared" si="6"/>
        <v>192248.71000000002</v>
      </c>
      <c r="F108" s="15">
        <f>10518+3824.65+50000+127856+50</f>
        <v>192248.65</v>
      </c>
      <c r="G108" s="15"/>
      <c r="H108" s="25" t="s">
        <v>9</v>
      </c>
      <c r="I108" s="15">
        <f t="shared" si="7"/>
        <v>-6.0000000026775524E-2</v>
      </c>
      <c r="J108" s="15"/>
      <c r="K108" s="25"/>
      <c r="L108" s="15"/>
    </row>
    <row r="109" spans="1:12" x14ac:dyDescent="0.25">
      <c r="A109" s="9">
        <v>41931</v>
      </c>
      <c r="B109" s="10">
        <v>297768.84999999998</v>
      </c>
      <c r="C109" s="10">
        <v>912.82</v>
      </c>
      <c r="D109" s="10">
        <v>78274.42</v>
      </c>
      <c r="E109" s="11">
        <f t="shared" si="6"/>
        <v>218581.61</v>
      </c>
      <c r="F109" s="15">
        <v>218581</v>
      </c>
      <c r="G109" s="15"/>
      <c r="H109" s="25" t="s">
        <v>9</v>
      </c>
      <c r="I109" s="15">
        <f t="shared" si="7"/>
        <v>-0.60999999998603016</v>
      </c>
      <c r="J109" s="15"/>
      <c r="K109" s="25"/>
      <c r="L109" s="15"/>
    </row>
    <row r="110" spans="1:12" x14ac:dyDescent="0.25">
      <c r="A110" s="9">
        <v>41932</v>
      </c>
      <c r="B110" s="10">
        <v>266556.96000000002</v>
      </c>
      <c r="C110" s="10">
        <v>19909.5</v>
      </c>
      <c r="D110" s="10">
        <v>155445.26</v>
      </c>
      <c r="E110" s="11">
        <f t="shared" si="6"/>
        <v>91202.200000000012</v>
      </c>
      <c r="F110" s="15">
        <f>20000+71022+180</f>
        <v>91202</v>
      </c>
      <c r="G110" s="15"/>
      <c r="H110" s="25" t="s">
        <v>9</v>
      </c>
      <c r="I110" s="15">
        <f t="shared" si="7"/>
        <v>-0.20000000001164153</v>
      </c>
      <c r="J110" s="15"/>
      <c r="K110" s="25"/>
      <c r="L110" s="15"/>
    </row>
    <row r="111" spans="1:12" x14ac:dyDescent="0.25">
      <c r="A111" s="9">
        <v>41933</v>
      </c>
      <c r="B111" s="10">
        <v>260535.86</v>
      </c>
      <c r="C111" s="10">
        <v>506</v>
      </c>
      <c r="D111" s="10">
        <v>131856.85</v>
      </c>
      <c r="E111" s="11">
        <f t="shared" si="6"/>
        <v>128173.00999999998</v>
      </c>
      <c r="F111" s="15">
        <f>4082.43+124090</f>
        <v>128172.43</v>
      </c>
      <c r="G111" s="15"/>
      <c r="H111" s="25" t="s">
        <v>9</v>
      </c>
      <c r="I111" s="15">
        <f t="shared" si="7"/>
        <v>-0.57999999998719431</v>
      </c>
      <c r="J111" s="15"/>
      <c r="K111" s="25"/>
      <c r="L111" s="15"/>
    </row>
    <row r="112" spans="1:12" x14ac:dyDescent="0.25">
      <c r="A112" s="9">
        <v>41934</v>
      </c>
      <c r="B112" s="10">
        <v>391477.92</v>
      </c>
      <c r="C112" s="10">
        <v>5237.78</v>
      </c>
      <c r="D112" s="10">
        <v>305192.02</v>
      </c>
      <c r="E112" s="11">
        <f t="shared" si="6"/>
        <v>81048.119999999937</v>
      </c>
      <c r="F112" s="15">
        <f>654.74+18000+44993+17400</f>
        <v>81047.740000000005</v>
      </c>
      <c r="G112" s="15"/>
      <c r="H112" s="25" t="s">
        <v>9</v>
      </c>
      <c r="I112" s="15">
        <f t="shared" si="7"/>
        <v>-0.37999999993189704</v>
      </c>
      <c r="J112" s="15"/>
      <c r="K112" s="25"/>
      <c r="L112" s="15"/>
    </row>
    <row r="113" spans="1:13" x14ac:dyDescent="0.25">
      <c r="A113" s="9">
        <v>41935</v>
      </c>
      <c r="B113" s="10">
        <v>327069.84999999998</v>
      </c>
      <c r="C113" s="10">
        <v>5896.13</v>
      </c>
      <c r="D113" s="10">
        <v>145721.29999999999</v>
      </c>
      <c r="E113" s="11">
        <f t="shared" si="6"/>
        <v>175452.41999999998</v>
      </c>
      <c r="F113" s="15">
        <f>75452+100000</f>
        <v>175452</v>
      </c>
      <c r="G113" s="15"/>
      <c r="H113" s="25" t="s">
        <v>9</v>
      </c>
      <c r="I113" s="15">
        <f t="shared" si="7"/>
        <v>-0.41999999998370185</v>
      </c>
      <c r="J113" s="15"/>
      <c r="K113" s="25"/>
      <c r="L113" s="15"/>
    </row>
    <row r="114" spans="1:13" x14ac:dyDescent="0.25">
      <c r="A114" s="9">
        <v>41936</v>
      </c>
      <c r="B114" s="10">
        <v>464962.55</v>
      </c>
      <c r="C114" s="10">
        <v>17300.5</v>
      </c>
      <c r="D114" s="10">
        <v>139414.45000000001</v>
      </c>
      <c r="E114" s="11">
        <f t="shared" si="6"/>
        <v>308247.59999999998</v>
      </c>
      <c r="F114" s="15">
        <f>10900+1846.76+110000+185500</f>
        <v>308246.76</v>
      </c>
      <c r="G114" s="15"/>
      <c r="H114" s="25" t="s">
        <v>9</v>
      </c>
      <c r="I114" s="15">
        <f t="shared" si="7"/>
        <v>-0.83999999996740371</v>
      </c>
      <c r="J114" s="15"/>
      <c r="K114" s="25"/>
      <c r="L114" s="15"/>
    </row>
    <row r="115" spans="1:13" x14ac:dyDescent="0.25">
      <c r="A115" s="9">
        <v>41937</v>
      </c>
      <c r="B115" s="10">
        <v>542150.61</v>
      </c>
      <c r="C115" s="10">
        <v>139885</v>
      </c>
      <c r="D115" s="10">
        <v>212113.5</v>
      </c>
      <c r="E115" s="11">
        <f t="shared" si="6"/>
        <v>190152.11</v>
      </c>
      <c r="F115" s="15">
        <f>60000+130152</f>
        <v>190152</v>
      </c>
      <c r="G115" s="15"/>
      <c r="H115" s="25" t="s">
        <v>9</v>
      </c>
      <c r="I115" s="15">
        <f t="shared" si="7"/>
        <v>-0.10999999998603016</v>
      </c>
      <c r="J115" s="15"/>
      <c r="K115" s="25"/>
      <c r="L115" s="15"/>
    </row>
    <row r="116" spans="1:13" x14ac:dyDescent="0.25">
      <c r="A116" s="9">
        <v>41938</v>
      </c>
      <c r="B116" s="10">
        <v>309292.28999999998</v>
      </c>
      <c r="C116" s="10">
        <v>2136.6799999999998</v>
      </c>
      <c r="D116" s="10">
        <v>66664.759999999995</v>
      </c>
      <c r="E116" s="11">
        <f t="shared" si="6"/>
        <v>240490.84999999998</v>
      </c>
      <c r="F116" s="15">
        <f>15491+225000</f>
        <v>240491</v>
      </c>
      <c r="G116" s="15"/>
      <c r="H116" s="25" t="s">
        <v>9</v>
      </c>
      <c r="I116" s="15">
        <f t="shared" si="7"/>
        <v>0.15000000002328306</v>
      </c>
      <c r="J116" s="43"/>
      <c r="K116" s="44"/>
      <c r="L116" s="43"/>
      <c r="M116" s="40"/>
    </row>
    <row r="117" spans="1:13" x14ac:dyDescent="0.25">
      <c r="A117" s="9">
        <v>41939</v>
      </c>
      <c r="B117" s="10">
        <v>296650.36</v>
      </c>
      <c r="C117" s="10">
        <v>21126</v>
      </c>
      <c r="D117" s="10">
        <v>62532.32</v>
      </c>
      <c r="E117" s="11">
        <f t="shared" si="6"/>
        <v>212992.03999999998</v>
      </c>
      <c r="F117" s="15">
        <f>55000+157992</f>
        <v>212992</v>
      </c>
      <c r="G117" s="15"/>
      <c r="H117" s="25" t="s">
        <v>9</v>
      </c>
      <c r="I117" s="15">
        <f t="shared" si="7"/>
        <v>-3.9999999979045242E-2</v>
      </c>
      <c r="J117" s="15"/>
      <c r="K117" s="25"/>
      <c r="L117" s="15"/>
    </row>
    <row r="118" spans="1:13" x14ac:dyDescent="0.25">
      <c r="A118" s="9">
        <v>41940</v>
      </c>
      <c r="B118" s="10">
        <v>319941.06</v>
      </c>
      <c r="C118" s="10">
        <v>1418</v>
      </c>
      <c r="D118" s="10">
        <v>197574.57</v>
      </c>
      <c r="E118" s="11">
        <f t="shared" si="6"/>
        <v>120948.48999999999</v>
      </c>
      <c r="F118" s="15">
        <f>535+2377+73887+9480+16469.5+18200</f>
        <v>120948.5</v>
      </c>
      <c r="G118" s="15"/>
      <c r="H118" s="25" t="s">
        <v>9</v>
      </c>
      <c r="I118" s="15">
        <f t="shared" si="7"/>
        <v>1.0000000009313226E-2</v>
      </c>
      <c r="J118" s="15"/>
      <c r="K118" s="25"/>
      <c r="L118" s="15"/>
    </row>
    <row r="119" spans="1:13" x14ac:dyDescent="0.25">
      <c r="A119" s="9">
        <v>41941</v>
      </c>
      <c r="B119" s="10">
        <v>379233.64</v>
      </c>
      <c r="C119" s="10">
        <v>11727.25</v>
      </c>
      <c r="D119" s="10">
        <v>109544.24</v>
      </c>
      <c r="E119" s="11">
        <f t="shared" si="6"/>
        <v>257962.15000000002</v>
      </c>
      <c r="F119" s="15">
        <f>16962+241000</f>
        <v>257962</v>
      </c>
      <c r="G119" s="15"/>
      <c r="H119" s="25" t="s">
        <v>9</v>
      </c>
      <c r="I119" s="15">
        <f t="shared" si="7"/>
        <v>-0.15000000002328306</v>
      </c>
      <c r="J119" s="15"/>
      <c r="K119" s="25"/>
      <c r="L119" s="15"/>
    </row>
    <row r="120" spans="1:13" x14ac:dyDescent="0.25">
      <c r="A120" s="9">
        <v>41942</v>
      </c>
      <c r="B120" s="10">
        <v>337419.97</v>
      </c>
      <c r="C120" s="10">
        <v>19353.900000000001</v>
      </c>
      <c r="D120" s="10">
        <v>136746</v>
      </c>
      <c r="E120" s="11">
        <f t="shared" si="6"/>
        <v>181320.06999999995</v>
      </c>
      <c r="F120" s="15">
        <v>181320</v>
      </c>
      <c r="G120" s="15"/>
      <c r="H120" s="25" t="s">
        <v>9</v>
      </c>
      <c r="I120" s="15">
        <f t="shared" si="7"/>
        <v>-6.9999999948777258E-2</v>
      </c>
      <c r="J120" s="15"/>
      <c r="K120" s="25"/>
      <c r="L120" s="15"/>
    </row>
    <row r="121" spans="1:13" x14ac:dyDescent="0.25">
      <c r="A121" s="9">
        <v>41943</v>
      </c>
      <c r="B121" s="10">
        <v>497440.44</v>
      </c>
      <c r="C121" s="10">
        <v>3479</v>
      </c>
      <c r="D121" s="10">
        <v>226575.7</v>
      </c>
      <c r="E121" s="11">
        <f t="shared" si="6"/>
        <v>267385.74</v>
      </c>
      <c r="F121" s="15">
        <f>1492.46+12800+14930+220500+17667</f>
        <v>267389.45999999996</v>
      </c>
      <c r="G121" s="15"/>
      <c r="H121" s="25" t="s">
        <v>9</v>
      </c>
      <c r="I121" s="15">
        <f t="shared" si="7"/>
        <v>3.7199999999720603</v>
      </c>
      <c r="J121" s="15"/>
      <c r="K121" s="25"/>
      <c r="L121" s="15"/>
    </row>
    <row r="122" spans="1:13" x14ac:dyDescent="0.25">
      <c r="A122" s="9"/>
      <c r="B122" s="10"/>
      <c r="C122" s="10"/>
      <c r="D122" s="10"/>
      <c r="E122" s="11">
        <f t="shared" si="6"/>
        <v>0</v>
      </c>
      <c r="F122" s="15"/>
      <c r="H122" s="4"/>
      <c r="I122" s="15"/>
      <c r="J122" s="15"/>
      <c r="K122" s="4"/>
    </row>
    <row r="123" spans="1:13" x14ac:dyDescent="0.25">
      <c r="A123" s="14"/>
      <c r="B123" s="10"/>
      <c r="C123" s="10"/>
      <c r="D123" s="10"/>
      <c r="E123" s="11">
        <f t="shared" si="6"/>
        <v>0</v>
      </c>
      <c r="F123" s="15"/>
      <c r="H123" s="4"/>
      <c r="I123" s="15"/>
      <c r="J123" s="15"/>
      <c r="K123" s="4"/>
    </row>
    <row r="124" spans="1:13" x14ac:dyDescent="0.25">
      <c r="A124" s="14"/>
      <c r="B124" s="13"/>
      <c r="C124" s="10"/>
      <c r="D124" s="10"/>
      <c r="E124" s="11">
        <f t="shared" si="6"/>
        <v>0</v>
      </c>
      <c r="F124" s="15"/>
      <c r="H124" s="4"/>
      <c r="I124" s="15"/>
      <c r="J124" s="15"/>
      <c r="K124" s="4"/>
    </row>
    <row r="125" spans="1:13" x14ac:dyDescent="0.25">
      <c r="A125" s="14"/>
      <c r="B125" s="10"/>
      <c r="C125" s="10"/>
      <c r="D125" s="10"/>
      <c r="E125" s="11">
        <f t="shared" si="6"/>
        <v>0</v>
      </c>
      <c r="F125" s="15"/>
      <c r="H125" s="4"/>
      <c r="I125" s="15"/>
      <c r="J125" s="15"/>
      <c r="K125" s="4"/>
    </row>
    <row r="126" spans="1:13" x14ac:dyDescent="0.25">
      <c r="A126" s="14"/>
      <c r="B126" s="10">
        <f>SUM(B91:B125)</f>
        <v>11669381.470000001</v>
      </c>
      <c r="C126" s="10">
        <f>SUM(C91:C125)</f>
        <v>761529.69000000006</v>
      </c>
      <c r="D126" s="10">
        <f>SUM(D91:D125)</f>
        <v>4786525.5299999993</v>
      </c>
      <c r="E126" s="11">
        <f t="shared" si="6"/>
        <v>6121326.2500000019</v>
      </c>
      <c r="F126" s="15"/>
      <c r="H126" s="15"/>
      <c r="I126" s="15"/>
      <c r="J126" s="15"/>
      <c r="K126" s="4"/>
    </row>
    <row r="127" spans="1:13" x14ac:dyDescent="0.25">
      <c r="A127" s="14"/>
      <c r="B127" s="13"/>
      <c r="C127" s="10"/>
      <c r="D127" s="10"/>
      <c r="E127" s="11">
        <f t="shared" si="6"/>
        <v>0</v>
      </c>
      <c r="F127" s="15">
        <f>SUM(F91:F126)</f>
        <v>6121321.9800000004</v>
      </c>
      <c r="H127" s="4"/>
      <c r="I127" s="15">
        <f>SUM(I91:I126)</f>
        <v>-4.2699999996111728</v>
      </c>
      <c r="J127" s="15"/>
      <c r="K127" s="4"/>
      <c r="L127" s="15"/>
    </row>
    <row r="128" spans="1:13" x14ac:dyDescent="0.25">
      <c r="A128" s="14"/>
      <c r="B128" s="16"/>
      <c r="C128" s="10"/>
      <c r="D128" s="10"/>
      <c r="E128" s="11">
        <f t="shared" si="6"/>
        <v>0</v>
      </c>
      <c r="H128" s="4"/>
      <c r="I128" s="4"/>
      <c r="J128" s="15"/>
      <c r="K128" s="4"/>
    </row>
    <row r="129" spans="1:11" ht="15" x14ac:dyDescent="0.25">
      <c r="A129" s="4"/>
      <c r="B129" s="4"/>
      <c r="C129" s="4"/>
      <c r="D129" s="4"/>
      <c r="E129" s="4"/>
      <c r="H129" s="4"/>
      <c r="I129" s="4"/>
      <c r="J129" s="4"/>
      <c r="K129" s="4"/>
    </row>
    <row r="130" spans="1:11" ht="15" x14ac:dyDescent="0.25">
      <c r="A130" s="4"/>
      <c r="B130" s="4"/>
      <c r="C130" s="4"/>
      <c r="D130" s="4"/>
      <c r="E130" s="4"/>
      <c r="H130" s="4"/>
      <c r="I130" s="4"/>
      <c r="J130" s="4"/>
      <c r="K130" s="4"/>
    </row>
    <row r="131" spans="1:11" ht="15" x14ac:dyDescent="0.25">
      <c r="A131" s="4"/>
      <c r="B131" s="4"/>
      <c r="C131" s="4"/>
      <c r="D131" s="4"/>
      <c r="E131" s="4"/>
      <c r="H131" s="4"/>
      <c r="I131" s="4"/>
      <c r="J131" s="4"/>
      <c r="K131" s="4"/>
    </row>
    <row r="132" spans="1:11" ht="18.75" x14ac:dyDescent="0.3">
      <c r="B132" s="57" t="s">
        <v>42</v>
      </c>
      <c r="C132" s="57"/>
      <c r="D132" s="57"/>
      <c r="E132" s="2"/>
      <c r="F132" s="3"/>
      <c r="G132" s="3"/>
      <c r="H132" s="4"/>
      <c r="I132" s="4"/>
      <c r="J132" s="4"/>
      <c r="K132" s="4"/>
    </row>
    <row r="133" spans="1:11" x14ac:dyDescent="0.25">
      <c r="A133" s="5"/>
      <c r="B133" s="6"/>
      <c r="C133" s="23" t="s">
        <v>5</v>
      </c>
      <c r="D133" s="6"/>
      <c r="E133" s="7"/>
      <c r="F133" s="3"/>
      <c r="G133" s="3"/>
      <c r="H133" s="4"/>
      <c r="I133" s="4"/>
      <c r="J133" s="4"/>
      <c r="K133" s="4"/>
    </row>
    <row r="134" spans="1:11" ht="16.5" thickBot="1" x14ac:dyDescent="0.3">
      <c r="A134" s="19" t="s">
        <v>0</v>
      </c>
      <c r="B134" s="20" t="s">
        <v>1</v>
      </c>
      <c r="C134" s="21" t="s">
        <v>2</v>
      </c>
      <c r="D134" s="8" t="s">
        <v>3</v>
      </c>
      <c r="E134" s="22" t="s">
        <v>4</v>
      </c>
      <c r="F134" s="27" t="s">
        <v>8</v>
      </c>
      <c r="H134" s="4"/>
      <c r="I134" s="4"/>
      <c r="J134" s="4"/>
      <c r="K134" s="4"/>
    </row>
    <row r="135" spans="1:11" ht="16.5" thickTop="1" x14ac:dyDescent="0.25">
      <c r="A135" s="9">
        <v>41944</v>
      </c>
      <c r="B135" s="10">
        <v>521282.06</v>
      </c>
      <c r="C135" s="10">
        <v>166674.32</v>
      </c>
      <c r="D135" s="10">
        <v>125208.95</v>
      </c>
      <c r="E135" s="11">
        <f>B135-C135-D135</f>
        <v>229398.78999999998</v>
      </c>
      <c r="F135" s="15">
        <f>31599.5+14432.7+6956.4+176401.5+9</f>
        <v>229399.1</v>
      </c>
      <c r="G135" s="25" t="s">
        <v>9</v>
      </c>
      <c r="H135" s="15">
        <f>F135-E135</f>
        <v>0.31000000002677552</v>
      </c>
      <c r="I135" s="15"/>
      <c r="J135" s="4"/>
      <c r="K135" s="4"/>
    </row>
    <row r="136" spans="1:11" x14ac:dyDescent="0.25">
      <c r="A136" s="9">
        <v>41945</v>
      </c>
      <c r="B136" s="10">
        <v>181515.45</v>
      </c>
      <c r="C136" s="10">
        <v>1130</v>
      </c>
      <c r="D136" s="10">
        <v>6840.36</v>
      </c>
      <c r="E136" s="11">
        <f t="shared" ref="E136:E172" si="8">B136-C136-D136</f>
        <v>173545.09000000003</v>
      </c>
      <c r="F136" s="15">
        <v>173545</v>
      </c>
      <c r="G136" s="25" t="s">
        <v>9</v>
      </c>
      <c r="H136" s="15">
        <f t="shared" ref="H136:H166" si="9">F136-E136</f>
        <v>-9.0000000025611371E-2</v>
      </c>
      <c r="I136" s="15"/>
      <c r="J136" s="4"/>
      <c r="K136" s="4"/>
    </row>
    <row r="137" spans="1:11" x14ac:dyDescent="0.25">
      <c r="A137" s="9">
        <v>41946</v>
      </c>
      <c r="B137" s="10">
        <v>316433.55</v>
      </c>
      <c r="C137" s="10">
        <v>13522.1</v>
      </c>
      <c r="D137" s="10">
        <v>141936.76999999999</v>
      </c>
      <c r="E137" s="11">
        <f t="shared" si="8"/>
        <v>160974.68000000002</v>
      </c>
      <c r="F137" s="15">
        <f>110914.68+50000+60</f>
        <v>160974.68</v>
      </c>
      <c r="G137" s="25" t="s">
        <v>9</v>
      </c>
      <c r="H137" s="15">
        <f t="shared" si="9"/>
        <v>0</v>
      </c>
      <c r="I137" s="15"/>
      <c r="J137" s="4"/>
      <c r="K137" s="4"/>
    </row>
    <row r="138" spans="1:11" x14ac:dyDescent="0.25">
      <c r="A138" s="9">
        <v>41947</v>
      </c>
      <c r="B138" s="10">
        <v>270373.19</v>
      </c>
      <c r="C138" s="10">
        <v>2481.71</v>
      </c>
      <c r="D138" s="10">
        <v>127926.94</v>
      </c>
      <c r="E138" s="11">
        <f t="shared" si="8"/>
        <v>139964.53999999998</v>
      </c>
      <c r="F138" s="15">
        <f>2777.28+16187+31000+40000+50000</f>
        <v>139964.28</v>
      </c>
      <c r="G138" s="25" t="s">
        <v>9</v>
      </c>
      <c r="H138" s="15">
        <f t="shared" si="9"/>
        <v>-0.2599999999802094</v>
      </c>
      <c r="I138" s="15"/>
      <c r="J138" s="4"/>
      <c r="K138" s="4"/>
    </row>
    <row r="139" spans="1:11" x14ac:dyDescent="0.25">
      <c r="A139" s="9">
        <v>41948</v>
      </c>
      <c r="B139" s="10">
        <v>256120.1</v>
      </c>
      <c r="C139" s="10">
        <v>3468</v>
      </c>
      <c r="D139" s="10">
        <v>142908.84</v>
      </c>
      <c r="E139" s="11">
        <f t="shared" si="8"/>
        <v>109743.26000000001</v>
      </c>
      <c r="F139" s="15">
        <f>93910+15833</f>
        <v>109743</v>
      </c>
      <c r="G139" s="25" t="s">
        <v>9</v>
      </c>
      <c r="H139" s="15">
        <f t="shared" si="9"/>
        <v>-0.26000000000931323</v>
      </c>
      <c r="I139" s="15"/>
      <c r="J139" s="4"/>
      <c r="K139" s="4"/>
    </row>
    <row r="140" spans="1:11" x14ac:dyDescent="0.25">
      <c r="A140" s="9">
        <v>41949</v>
      </c>
      <c r="B140" s="10">
        <v>350793.62</v>
      </c>
      <c r="C140" s="10">
        <v>1782.63</v>
      </c>
      <c r="D140" s="10">
        <v>152085.68</v>
      </c>
      <c r="E140" s="11">
        <f t="shared" si="8"/>
        <v>196925.31</v>
      </c>
      <c r="F140" s="15">
        <f>15694+21231+160000</f>
        <v>196925</v>
      </c>
      <c r="G140" s="25" t="s">
        <v>9</v>
      </c>
      <c r="H140" s="15">
        <f t="shared" si="9"/>
        <v>-0.30999999999767169</v>
      </c>
      <c r="I140" s="15"/>
      <c r="J140" s="4"/>
      <c r="K140" s="4"/>
    </row>
    <row r="141" spans="1:11" x14ac:dyDescent="0.25">
      <c r="A141" s="9">
        <v>41950</v>
      </c>
      <c r="B141" s="10">
        <v>402502.45</v>
      </c>
      <c r="C141" s="10">
        <v>17204.5</v>
      </c>
      <c r="D141" s="10">
        <v>199621.86</v>
      </c>
      <c r="E141" s="11">
        <f t="shared" si="8"/>
        <v>185676.09000000003</v>
      </c>
      <c r="F141" s="15">
        <f>10440+17236+50000+30000+30000+48000</f>
        <v>185676</v>
      </c>
      <c r="G141" s="25" t="s">
        <v>9</v>
      </c>
      <c r="H141" s="15">
        <f t="shared" si="9"/>
        <v>-9.0000000025611371E-2</v>
      </c>
      <c r="I141" s="15"/>
      <c r="J141" s="4"/>
      <c r="K141" s="4"/>
    </row>
    <row r="142" spans="1:11" x14ac:dyDescent="0.25">
      <c r="A142" s="9">
        <v>41951</v>
      </c>
      <c r="B142" s="10">
        <v>486654.07</v>
      </c>
      <c r="C142" s="10">
        <v>146894</v>
      </c>
      <c r="D142" s="10">
        <v>192876.34</v>
      </c>
      <c r="E142" s="11">
        <f t="shared" si="8"/>
        <v>146883.73000000001</v>
      </c>
      <c r="F142" s="15">
        <f>2233+34650+20000+30000+60000</f>
        <v>146883</v>
      </c>
      <c r="G142" s="25" t="s">
        <v>9</v>
      </c>
      <c r="H142" s="15">
        <f t="shared" si="9"/>
        <v>-0.73000000001047738</v>
      </c>
      <c r="I142" s="15"/>
      <c r="J142" s="4"/>
      <c r="K142" s="4"/>
    </row>
    <row r="143" spans="1:11" x14ac:dyDescent="0.25">
      <c r="A143" s="9">
        <v>41952</v>
      </c>
      <c r="B143" s="10">
        <v>338439.76</v>
      </c>
      <c r="C143" s="10">
        <v>1175</v>
      </c>
      <c r="D143" s="10">
        <v>60279.86</v>
      </c>
      <c r="E143" s="11">
        <f t="shared" si="8"/>
        <v>276984.90000000002</v>
      </c>
      <c r="F143" s="15">
        <f>30000+246984.9</f>
        <v>276984.90000000002</v>
      </c>
      <c r="G143" s="25" t="s">
        <v>9</v>
      </c>
      <c r="H143" s="15">
        <f t="shared" si="9"/>
        <v>0</v>
      </c>
      <c r="I143" s="15"/>
      <c r="J143" s="4"/>
      <c r="K143" s="4"/>
    </row>
    <row r="144" spans="1:11" x14ac:dyDescent="0.25">
      <c r="A144" s="9">
        <v>41953</v>
      </c>
      <c r="B144" s="10">
        <v>249588.61</v>
      </c>
      <c r="C144" s="10">
        <v>10172.94</v>
      </c>
      <c r="D144" s="10">
        <v>141053.35999999999</v>
      </c>
      <c r="E144" s="11">
        <f t="shared" si="8"/>
        <v>98362.31</v>
      </c>
      <c r="F144" s="15">
        <f>15000+28363+55000</f>
        <v>98363</v>
      </c>
      <c r="G144" s="25" t="s">
        <v>9</v>
      </c>
      <c r="H144" s="15">
        <f t="shared" si="9"/>
        <v>0.69000000000232831</v>
      </c>
      <c r="I144" s="15"/>
      <c r="J144" s="4"/>
      <c r="K144" s="4"/>
    </row>
    <row r="145" spans="1:11" x14ac:dyDescent="0.25">
      <c r="A145" s="9">
        <v>41954</v>
      </c>
      <c r="B145" s="10">
        <v>270050.38</v>
      </c>
      <c r="C145" s="10">
        <v>1840</v>
      </c>
      <c r="D145" s="10">
        <v>161450.22</v>
      </c>
      <c r="E145" s="11">
        <f t="shared" si="8"/>
        <v>106760.16</v>
      </c>
      <c r="F145" s="15">
        <f>16760+20000+70000</f>
        <v>106760</v>
      </c>
      <c r="G145" s="25" t="s">
        <v>9</v>
      </c>
      <c r="H145" s="15">
        <f t="shared" si="9"/>
        <v>-0.16000000000349246</v>
      </c>
      <c r="I145" s="15"/>
      <c r="J145" s="4"/>
      <c r="K145" s="4"/>
    </row>
    <row r="146" spans="1:11" x14ac:dyDescent="0.25">
      <c r="A146" s="9">
        <v>41955</v>
      </c>
      <c r="B146" s="10">
        <v>334750.51</v>
      </c>
      <c r="C146" s="10">
        <v>920</v>
      </c>
      <c r="D146" s="10">
        <v>77229.179999999993</v>
      </c>
      <c r="E146" s="11">
        <f t="shared" si="8"/>
        <v>256601.33000000002</v>
      </c>
      <c r="F146" s="15">
        <f>865.2+45000+55000+70000+70000+15736</f>
        <v>256601.2</v>
      </c>
      <c r="G146" s="25" t="s">
        <v>9</v>
      </c>
      <c r="H146" s="15">
        <f t="shared" si="9"/>
        <v>-0.13000000000465661</v>
      </c>
      <c r="I146" s="15"/>
      <c r="J146" s="4"/>
      <c r="K146" s="4"/>
    </row>
    <row r="147" spans="1:11" x14ac:dyDescent="0.25">
      <c r="A147" s="9">
        <v>41956</v>
      </c>
      <c r="B147" s="10">
        <v>314786.86</v>
      </c>
      <c r="C147" s="10">
        <v>2240</v>
      </c>
      <c r="D147" s="10">
        <v>144372.97</v>
      </c>
      <c r="E147" s="11">
        <f t="shared" si="8"/>
        <v>168173.88999999998</v>
      </c>
      <c r="F147" s="15">
        <f>45000+115000+8174</f>
        <v>168174</v>
      </c>
      <c r="G147" s="25" t="s">
        <v>9</v>
      </c>
      <c r="H147" s="15">
        <f t="shared" si="9"/>
        <v>0.11000000001513399</v>
      </c>
      <c r="I147" s="15"/>
      <c r="J147" s="4"/>
      <c r="K147" s="4"/>
    </row>
    <row r="148" spans="1:11" x14ac:dyDescent="0.25">
      <c r="A148" s="9">
        <v>41957</v>
      </c>
      <c r="B148" s="10">
        <v>546100.49</v>
      </c>
      <c r="C148" s="10">
        <v>18750</v>
      </c>
      <c r="D148" s="10">
        <v>211768.35</v>
      </c>
      <c r="E148" s="11">
        <f t="shared" si="8"/>
        <v>315582.14</v>
      </c>
      <c r="F148" s="15">
        <f>140000+10582+25000+50000+90000</f>
        <v>315582</v>
      </c>
      <c r="G148" s="25" t="s">
        <v>9</v>
      </c>
      <c r="H148" s="15">
        <f t="shared" si="9"/>
        <v>-0.14000000001396984</v>
      </c>
      <c r="I148" s="15"/>
      <c r="J148" s="4"/>
      <c r="K148" s="4"/>
    </row>
    <row r="149" spans="1:11" x14ac:dyDescent="0.25">
      <c r="A149" s="9">
        <v>41958</v>
      </c>
      <c r="B149" s="10">
        <v>445036.44</v>
      </c>
      <c r="C149" s="10">
        <v>140786.5</v>
      </c>
      <c r="D149" s="10">
        <v>125350.94</v>
      </c>
      <c r="E149" s="11">
        <f t="shared" si="8"/>
        <v>178899</v>
      </c>
      <c r="F149" s="15">
        <f>8270+5629+30000+55000+80000</f>
        <v>178899</v>
      </c>
      <c r="G149" s="25" t="s">
        <v>9</v>
      </c>
      <c r="H149" s="15">
        <f t="shared" si="9"/>
        <v>0</v>
      </c>
      <c r="I149" s="15"/>
      <c r="J149" s="4"/>
      <c r="K149" s="4"/>
    </row>
    <row r="150" spans="1:11" x14ac:dyDescent="0.25">
      <c r="A150" s="9">
        <v>41959</v>
      </c>
      <c r="B150" s="10">
        <v>285130.49</v>
      </c>
      <c r="C150" s="10">
        <v>3490</v>
      </c>
      <c r="D150" s="10">
        <v>82131.100000000006</v>
      </c>
      <c r="E150" s="11">
        <f t="shared" si="8"/>
        <v>199509.38999999998</v>
      </c>
      <c r="F150" s="15">
        <f>24509.5+25000+70000+80000</f>
        <v>199509.5</v>
      </c>
      <c r="G150" s="25" t="s">
        <v>9</v>
      </c>
      <c r="H150" s="15">
        <f t="shared" si="9"/>
        <v>0.11000000001513399</v>
      </c>
      <c r="I150" s="15"/>
      <c r="J150" s="39" t="s">
        <v>28</v>
      </c>
      <c r="K150" s="4"/>
    </row>
    <row r="151" spans="1:11" x14ac:dyDescent="0.25">
      <c r="A151" s="9">
        <v>41960</v>
      </c>
      <c r="B151" s="10">
        <v>375387.23</v>
      </c>
      <c r="C151" s="10">
        <v>1264</v>
      </c>
      <c r="D151" s="10">
        <v>98079.08</v>
      </c>
      <c r="E151" s="11">
        <f t="shared" si="8"/>
        <v>276044.14999999997</v>
      </c>
      <c r="F151" s="15">
        <f>342+350+15352+30000+70000+80000+80000</f>
        <v>276044</v>
      </c>
      <c r="G151" s="25" t="s">
        <v>9</v>
      </c>
      <c r="H151" s="15">
        <f t="shared" si="9"/>
        <v>-0.1499999999650754</v>
      </c>
      <c r="I151" s="15"/>
      <c r="J151" s="4"/>
      <c r="K151" s="4"/>
    </row>
    <row r="152" spans="1:11" x14ac:dyDescent="0.25">
      <c r="A152" s="9">
        <v>41961</v>
      </c>
      <c r="B152" s="10">
        <v>376201.4</v>
      </c>
      <c r="C152" s="10">
        <v>16448.5</v>
      </c>
      <c r="D152" s="10">
        <v>130295.48</v>
      </c>
      <c r="E152" s="11">
        <f t="shared" si="8"/>
        <v>229457.42000000004</v>
      </c>
      <c r="F152" s="15">
        <f>55000+21727+35000+117730</f>
        <v>229457</v>
      </c>
      <c r="G152" s="25" t="s">
        <v>9</v>
      </c>
      <c r="H152" s="15">
        <f t="shared" si="9"/>
        <v>-0.42000000004190952</v>
      </c>
      <c r="I152" s="15"/>
      <c r="J152" s="4"/>
      <c r="K152" s="4"/>
    </row>
    <row r="153" spans="1:11" x14ac:dyDescent="0.25">
      <c r="A153" s="9">
        <v>41962</v>
      </c>
      <c r="B153" s="10">
        <v>342561.63</v>
      </c>
      <c r="C153" s="10">
        <v>20362.599999999999</v>
      </c>
      <c r="D153" s="10">
        <v>217816.02</v>
      </c>
      <c r="E153" s="11">
        <f t="shared" si="8"/>
        <v>104383.01000000004</v>
      </c>
      <c r="F153" s="15">
        <f>24383+25000+55000</f>
        <v>104383</v>
      </c>
      <c r="G153" s="25" t="s">
        <v>9</v>
      </c>
      <c r="H153" s="15">
        <f t="shared" si="9"/>
        <v>-1.0000000038417056E-2</v>
      </c>
      <c r="I153" s="15"/>
      <c r="J153" s="4" t="s">
        <v>29</v>
      </c>
      <c r="K153" s="4"/>
    </row>
    <row r="154" spans="1:11" x14ac:dyDescent="0.25">
      <c r="A154" s="9">
        <v>41963</v>
      </c>
      <c r="B154" s="10">
        <v>314029.15000000002</v>
      </c>
      <c r="C154" s="10">
        <v>1750</v>
      </c>
      <c r="D154" s="10">
        <v>164481.44</v>
      </c>
      <c r="E154" s="11">
        <f t="shared" si="8"/>
        <v>147797.71000000002</v>
      </c>
      <c r="F154" s="15">
        <f>8120+838.56+80000+23023+35000+816</f>
        <v>147797.56</v>
      </c>
      <c r="G154" s="25" t="s">
        <v>9</v>
      </c>
      <c r="H154" s="15">
        <f t="shared" si="9"/>
        <v>-0.15000000002328306</v>
      </c>
      <c r="I154" s="15"/>
      <c r="J154" s="4" t="s">
        <v>36</v>
      </c>
      <c r="K154" s="4"/>
    </row>
    <row r="155" spans="1:11" x14ac:dyDescent="0.25">
      <c r="A155" s="9">
        <v>41964</v>
      </c>
      <c r="B155" s="10">
        <v>482439.8</v>
      </c>
      <c r="C155" s="10">
        <v>18406.439999999999</v>
      </c>
      <c r="D155" s="10">
        <v>142820.32</v>
      </c>
      <c r="E155" s="11">
        <f t="shared" si="8"/>
        <v>321213.03999999998</v>
      </c>
      <c r="F155" s="15">
        <f>1521.64+80000+150000+73000+16690</f>
        <v>321211.64</v>
      </c>
      <c r="G155" s="25" t="s">
        <v>9</v>
      </c>
      <c r="H155" s="15">
        <f t="shared" si="9"/>
        <v>-1.3999999999650754</v>
      </c>
      <c r="I155" s="15"/>
      <c r="J155" s="4"/>
      <c r="K155" s="4"/>
    </row>
    <row r="156" spans="1:11" x14ac:dyDescent="0.25">
      <c r="A156" s="9">
        <v>41965</v>
      </c>
      <c r="B156" s="10">
        <v>595219.93000000005</v>
      </c>
      <c r="C156" s="10">
        <v>159294.5</v>
      </c>
      <c r="D156" s="10">
        <v>173604.57</v>
      </c>
      <c r="E156" s="11">
        <f t="shared" si="8"/>
        <v>262320.86000000004</v>
      </c>
      <c r="F156" s="15">
        <f>1935.5+76722.5+32469+60000+75000+16193</f>
        <v>262320</v>
      </c>
      <c r="G156" s="25" t="s">
        <v>9</v>
      </c>
      <c r="H156" s="15">
        <f t="shared" si="9"/>
        <v>-0.86000000004423782</v>
      </c>
      <c r="I156" s="15"/>
      <c r="J156" s="4"/>
      <c r="K156" s="4"/>
    </row>
    <row r="157" spans="1:11" x14ac:dyDescent="0.25">
      <c r="A157" s="9">
        <v>41966</v>
      </c>
      <c r="B157" s="10">
        <v>297491.73</v>
      </c>
      <c r="C157" s="10">
        <v>3435</v>
      </c>
      <c r="D157" s="10">
        <v>144654.21</v>
      </c>
      <c r="E157" s="11">
        <f t="shared" si="8"/>
        <v>149402.51999999999</v>
      </c>
      <c r="F157" s="15">
        <f>15000+59000+60000+15402.5</f>
        <v>149402.5</v>
      </c>
      <c r="G157" s="25" t="s">
        <v>9</v>
      </c>
      <c r="H157" s="15">
        <f t="shared" si="9"/>
        <v>-1.9999999989522621E-2</v>
      </c>
      <c r="I157" s="15"/>
      <c r="J157" s="4"/>
      <c r="K157" s="4"/>
    </row>
    <row r="158" spans="1:11" x14ac:dyDescent="0.25">
      <c r="A158" s="9">
        <v>41967</v>
      </c>
      <c r="B158" s="10">
        <v>275661.86</v>
      </c>
      <c r="C158" s="10">
        <v>3224.93</v>
      </c>
      <c r="D158" s="10">
        <v>119132.16</v>
      </c>
      <c r="E158" s="11">
        <f t="shared" si="8"/>
        <v>153304.76999999999</v>
      </c>
      <c r="F158" s="15">
        <f>891.38+50000+15413+87000</f>
        <v>153304.38</v>
      </c>
      <c r="G158" s="25" t="s">
        <v>9</v>
      </c>
      <c r="H158" s="15">
        <f t="shared" si="9"/>
        <v>-0.38999999998486601</v>
      </c>
      <c r="I158" s="15"/>
      <c r="J158" s="4"/>
      <c r="K158" s="4"/>
    </row>
    <row r="159" spans="1:11" x14ac:dyDescent="0.25">
      <c r="A159" s="9">
        <v>41968</v>
      </c>
      <c r="B159" s="10">
        <v>285408.76</v>
      </c>
      <c r="C159" s="10">
        <v>2956.13</v>
      </c>
      <c r="D159" s="10">
        <v>153861.44</v>
      </c>
      <c r="E159" s="11">
        <f t="shared" si="8"/>
        <v>128591.19</v>
      </c>
      <c r="F159" s="15">
        <f>45000+50000+17000+16237+354</f>
        <v>128591</v>
      </c>
      <c r="G159" s="25" t="s">
        <v>9</v>
      </c>
      <c r="H159" s="15">
        <f t="shared" si="9"/>
        <v>-0.19000000000232831</v>
      </c>
      <c r="I159" s="15"/>
      <c r="J159" s="4"/>
      <c r="K159" s="4"/>
    </row>
    <row r="160" spans="1:11" x14ac:dyDescent="0.25">
      <c r="A160" s="9">
        <v>41969</v>
      </c>
      <c r="B160" s="10">
        <v>285453.62</v>
      </c>
      <c r="C160" s="10">
        <v>11424.4</v>
      </c>
      <c r="D160" s="10">
        <v>130591.64</v>
      </c>
      <c r="E160" s="11">
        <f t="shared" si="8"/>
        <v>143437.57999999996</v>
      </c>
      <c r="F160" s="15">
        <f>3567.24+60000+45000+17582+17150+138</f>
        <v>143437.24</v>
      </c>
      <c r="G160" s="25" t="s">
        <v>9</v>
      </c>
      <c r="H160" s="15">
        <f t="shared" si="9"/>
        <v>-0.33999999996740371</v>
      </c>
      <c r="I160" s="15"/>
      <c r="J160" s="4"/>
      <c r="K160" s="4"/>
    </row>
    <row r="161" spans="1:11" x14ac:dyDescent="0.25">
      <c r="A161" s="9">
        <v>41970</v>
      </c>
      <c r="B161" s="10">
        <v>324236.49</v>
      </c>
      <c r="C161" s="10">
        <v>3974.46</v>
      </c>
      <c r="D161" s="10">
        <v>168254.58</v>
      </c>
      <c r="E161" s="11">
        <f t="shared" si="8"/>
        <v>152007.44999999998</v>
      </c>
      <c r="F161" s="15">
        <f>30000+40000+70000+12007.5</f>
        <v>152007.5</v>
      </c>
      <c r="G161" s="25" t="s">
        <v>9</v>
      </c>
      <c r="H161" s="15">
        <f t="shared" si="9"/>
        <v>5.0000000017462298E-2</v>
      </c>
      <c r="I161" s="15"/>
      <c r="J161" s="4"/>
      <c r="K161" s="4"/>
    </row>
    <row r="162" spans="1:11" x14ac:dyDescent="0.25">
      <c r="A162" s="9">
        <v>41971</v>
      </c>
      <c r="B162" s="10">
        <v>459765.17</v>
      </c>
      <c r="C162" s="10">
        <v>29108</v>
      </c>
      <c r="D162" s="10">
        <v>156484.19</v>
      </c>
      <c r="E162" s="11">
        <f t="shared" si="8"/>
        <v>274172.98</v>
      </c>
      <c r="F162" s="15">
        <f>15173+14000+50000+60000+20000+115000</f>
        <v>274173</v>
      </c>
      <c r="G162" s="25" t="s">
        <v>9</v>
      </c>
      <c r="H162" s="15">
        <f t="shared" si="9"/>
        <v>2.0000000018626451E-2</v>
      </c>
      <c r="I162" s="15"/>
      <c r="J162" s="4"/>
      <c r="K162" s="4"/>
    </row>
    <row r="163" spans="1:11" x14ac:dyDescent="0.25">
      <c r="A163" s="9">
        <v>41972</v>
      </c>
      <c r="B163" s="10">
        <v>541004.34</v>
      </c>
      <c r="C163" s="10">
        <v>149585.5</v>
      </c>
      <c r="D163" s="10">
        <v>68696.25</v>
      </c>
      <c r="E163" s="11">
        <f t="shared" si="8"/>
        <v>322722.58999999997</v>
      </c>
      <c r="F163" s="15">
        <f>8970+8225.3+16208.5+30000+42500+60000+70000+86818.5</f>
        <v>322722.3</v>
      </c>
      <c r="G163" s="25" t="s">
        <v>9</v>
      </c>
      <c r="H163" s="15">
        <f t="shared" si="9"/>
        <v>-0.28999999997904524</v>
      </c>
      <c r="I163" s="15"/>
      <c r="J163" s="4"/>
      <c r="K163" s="4"/>
    </row>
    <row r="164" spans="1:11" x14ac:dyDescent="0.25">
      <c r="A164" s="9">
        <v>41973</v>
      </c>
      <c r="B164" s="10">
        <v>351291.27</v>
      </c>
      <c r="C164" s="10">
        <v>4095</v>
      </c>
      <c r="D164" s="10">
        <v>28960.400000000001</v>
      </c>
      <c r="E164" s="11">
        <f t="shared" si="8"/>
        <v>318235.87</v>
      </c>
      <c r="F164" s="15">
        <f>16236+63000+120000+100000+19000</f>
        <v>318236</v>
      </c>
      <c r="G164" s="25" t="s">
        <v>9</v>
      </c>
      <c r="H164" s="15">
        <f t="shared" si="9"/>
        <v>0.13000000000465661</v>
      </c>
      <c r="I164" s="15"/>
      <c r="J164" s="4"/>
      <c r="K164" s="4"/>
    </row>
    <row r="165" spans="1:11" x14ac:dyDescent="0.25">
      <c r="A165" s="9"/>
      <c r="B165" s="10"/>
      <c r="C165" s="10"/>
      <c r="D165" s="10"/>
      <c r="E165" s="11">
        <f t="shared" si="8"/>
        <v>0</v>
      </c>
      <c r="F165" s="15">
        <v>0</v>
      </c>
      <c r="G165" s="25"/>
      <c r="H165" s="15">
        <f t="shared" si="9"/>
        <v>0</v>
      </c>
      <c r="I165" s="15"/>
      <c r="J165" s="4"/>
      <c r="K165" s="4"/>
    </row>
    <row r="166" spans="1:11" x14ac:dyDescent="0.25">
      <c r="A166" s="9"/>
      <c r="B166" s="10"/>
      <c r="C166" s="10"/>
      <c r="D166" s="10"/>
      <c r="E166" s="11">
        <f t="shared" si="8"/>
        <v>0</v>
      </c>
      <c r="F166" s="15">
        <v>0</v>
      </c>
      <c r="G166" s="25"/>
      <c r="H166" s="15">
        <f t="shared" si="9"/>
        <v>0</v>
      </c>
      <c r="I166" s="15"/>
      <c r="J166" s="4"/>
      <c r="K166" s="4"/>
    </row>
    <row r="167" spans="1:11" x14ac:dyDescent="0.25">
      <c r="A167" s="14"/>
      <c r="B167" s="10"/>
      <c r="C167" s="10"/>
      <c r="D167" s="10"/>
      <c r="E167" s="11">
        <f t="shared" si="8"/>
        <v>0</v>
      </c>
      <c r="F167" s="15"/>
      <c r="H167" s="4"/>
      <c r="I167" s="15"/>
      <c r="J167" s="4"/>
      <c r="K167" s="4"/>
    </row>
    <row r="168" spans="1:11" x14ac:dyDescent="0.25">
      <c r="A168" s="14"/>
      <c r="B168" s="13"/>
      <c r="C168" s="10"/>
      <c r="D168" s="10"/>
      <c r="E168" s="11">
        <f t="shared" si="8"/>
        <v>0</v>
      </c>
      <c r="F168" s="15"/>
      <c r="H168" s="4"/>
      <c r="I168" s="15"/>
      <c r="J168" s="4"/>
      <c r="K168" s="4"/>
    </row>
    <row r="169" spans="1:11" x14ac:dyDescent="0.25">
      <c r="A169" s="14"/>
      <c r="B169" s="10"/>
      <c r="C169" s="10"/>
      <c r="D169" s="10"/>
      <c r="E169" s="11">
        <f t="shared" si="8"/>
        <v>0</v>
      </c>
      <c r="F169" s="15"/>
      <c r="H169" s="4"/>
      <c r="I169" s="15"/>
      <c r="J169" s="4"/>
      <c r="K169" s="4"/>
    </row>
    <row r="170" spans="1:11" x14ac:dyDescent="0.25">
      <c r="A170" s="14"/>
      <c r="B170" s="10">
        <f>SUM(B135:B169)</f>
        <v>10875710.41</v>
      </c>
      <c r="C170" s="10">
        <f>SUM(C135:C169)</f>
        <v>957861.15999999992</v>
      </c>
      <c r="D170" s="10">
        <f>SUM(D135:D169)</f>
        <v>3990773.4999999995</v>
      </c>
      <c r="E170" s="11">
        <f t="shared" si="8"/>
        <v>5927075.75</v>
      </c>
      <c r="F170" s="15"/>
      <c r="H170" s="4"/>
      <c r="I170" s="15"/>
      <c r="J170" s="4"/>
      <c r="K170" s="4"/>
    </row>
    <row r="171" spans="1:11" x14ac:dyDescent="0.25">
      <c r="A171" s="14"/>
      <c r="B171" s="13"/>
      <c r="C171" s="10"/>
      <c r="D171" s="10"/>
      <c r="E171" s="11">
        <f t="shared" si="8"/>
        <v>0</v>
      </c>
      <c r="F171" s="15"/>
      <c r="H171" s="15"/>
      <c r="I171" s="15"/>
      <c r="J171" s="4"/>
      <c r="K171" s="4"/>
    </row>
    <row r="172" spans="1:11" x14ac:dyDescent="0.25">
      <c r="A172" s="14"/>
      <c r="B172" s="16"/>
      <c r="C172" s="10"/>
      <c r="D172" s="10"/>
      <c r="E172" s="11">
        <f t="shared" si="8"/>
        <v>0</v>
      </c>
      <c r="F172" s="15">
        <f>SUM(F136:F171)</f>
        <v>5697671.6799999997</v>
      </c>
      <c r="H172" s="4"/>
      <c r="I172" s="15">
        <f>SUM(I136:I171)</f>
        <v>0</v>
      </c>
      <c r="J172" s="4"/>
      <c r="K172" s="4"/>
    </row>
    <row r="173" spans="1:11" ht="15" x14ac:dyDescent="0.25">
      <c r="A173" s="4"/>
      <c r="B173" s="4"/>
      <c r="C173" s="4"/>
      <c r="D173" s="4"/>
      <c r="E173" s="4"/>
      <c r="H173" s="4"/>
      <c r="I173" s="4"/>
      <c r="J173" s="4"/>
      <c r="K173" s="4"/>
    </row>
    <row r="174" spans="1:11" ht="15" x14ac:dyDescent="0.25">
      <c r="A174" s="4"/>
      <c r="B174" s="4"/>
      <c r="C174" s="4"/>
      <c r="D174" s="4"/>
      <c r="E174" s="4"/>
      <c r="H174" s="4"/>
      <c r="I174" s="4"/>
      <c r="J174" s="4"/>
      <c r="K174" s="4"/>
    </row>
    <row r="175" spans="1:11" ht="15" x14ac:dyDescent="0.25">
      <c r="A175" s="4"/>
      <c r="B175" s="4"/>
      <c r="C175" s="4"/>
      <c r="D175" s="4"/>
      <c r="E175" s="4"/>
      <c r="H175" s="4"/>
      <c r="I175" s="4"/>
      <c r="J175" s="4"/>
      <c r="K175" s="4"/>
    </row>
    <row r="176" spans="1:11" ht="18.75" x14ac:dyDescent="0.3">
      <c r="B176" s="57" t="s">
        <v>43</v>
      </c>
      <c r="C176" s="57"/>
      <c r="D176" s="57"/>
      <c r="E176" s="2"/>
      <c r="F176" s="3"/>
      <c r="G176" s="3"/>
      <c r="H176" s="4"/>
      <c r="I176" s="4"/>
      <c r="J176" s="4"/>
      <c r="K176" s="4"/>
    </row>
    <row r="177" spans="1:11" x14ac:dyDescent="0.25">
      <c r="A177" s="5"/>
      <c r="B177" s="6"/>
      <c r="C177" s="23" t="s">
        <v>5</v>
      </c>
      <c r="D177" s="6"/>
      <c r="E177" s="7"/>
      <c r="F177" s="3"/>
      <c r="G177" s="3"/>
      <c r="H177" s="4"/>
      <c r="I177" s="4"/>
      <c r="J177" s="4"/>
      <c r="K177" s="4"/>
    </row>
    <row r="178" spans="1:11" ht="16.5" thickBot="1" x14ac:dyDescent="0.3">
      <c r="A178" s="19" t="s">
        <v>0</v>
      </c>
      <c r="B178" s="20" t="s">
        <v>1</v>
      </c>
      <c r="C178" s="21" t="s">
        <v>2</v>
      </c>
      <c r="D178" s="8" t="s">
        <v>3</v>
      </c>
      <c r="E178" s="22" t="s">
        <v>4</v>
      </c>
      <c r="F178" s="27" t="s">
        <v>8</v>
      </c>
      <c r="G178" s="40"/>
      <c r="H178" s="4"/>
      <c r="I178" s="4"/>
      <c r="J178" s="4"/>
      <c r="K178" s="4"/>
    </row>
    <row r="179" spans="1:11" ht="16.5" thickTop="1" x14ac:dyDescent="0.25">
      <c r="A179" s="9">
        <v>41974</v>
      </c>
      <c r="B179" s="10">
        <v>298144</v>
      </c>
      <c r="C179" s="10">
        <v>1577.58</v>
      </c>
      <c r="D179" s="10">
        <v>181385.26</v>
      </c>
      <c r="E179" s="11">
        <f>B179-C179-D179</f>
        <v>115181.15999999997</v>
      </c>
      <c r="F179" s="15">
        <f>95000+16632+3549</f>
        <v>115181</v>
      </c>
      <c r="G179" s="49" t="s">
        <v>9</v>
      </c>
      <c r="H179" s="15">
        <f t="shared" ref="H179:H210" si="10">F179-E179</f>
        <v>-0.15999999997438863</v>
      </c>
      <c r="I179" s="4"/>
      <c r="K179" s="4"/>
    </row>
    <row r="180" spans="1:11" x14ac:dyDescent="0.25">
      <c r="A180" s="9">
        <v>41975</v>
      </c>
      <c r="B180" s="10">
        <v>262555.3</v>
      </c>
      <c r="C180" s="10">
        <v>4121.57</v>
      </c>
      <c r="D180" s="10">
        <v>151364.12</v>
      </c>
      <c r="E180" s="11">
        <f t="shared" ref="E180:E216" si="11">B180-C180-D180</f>
        <v>107069.60999999999</v>
      </c>
      <c r="F180" s="15">
        <f>10000+17070+80000</f>
        <v>107070</v>
      </c>
      <c r="G180" s="49" t="s">
        <v>9</v>
      </c>
      <c r="H180" s="15">
        <f t="shared" si="10"/>
        <v>0.39000000001396984</v>
      </c>
      <c r="I180" s="4"/>
      <c r="K180" s="4"/>
    </row>
    <row r="181" spans="1:11" x14ac:dyDescent="0.25">
      <c r="A181" s="9">
        <v>41976</v>
      </c>
      <c r="B181" s="10">
        <v>331120.78999999998</v>
      </c>
      <c r="C181" s="10">
        <f>8875.04+13256</f>
        <v>22131.040000000001</v>
      </c>
      <c r="D181" s="10">
        <v>155913.28</v>
      </c>
      <c r="E181" s="11">
        <f t="shared" si="11"/>
        <v>153076.47</v>
      </c>
      <c r="F181" s="15">
        <f>40000+70000+20376+22700</f>
        <v>153076</v>
      </c>
      <c r="G181" s="49" t="s">
        <v>9</v>
      </c>
      <c r="H181" s="15">
        <f t="shared" si="10"/>
        <v>-0.47000000000116415</v>
      </c>
      <c r="I181" s="4"/>
      <c r="K181" s="4"/>
    </row>
    <row r="182" spans="1:11" x14ac:dyDescent="0.25">
      <c r="A182" s="9">
        <v>41977</v>
      </c>
      <c r="B182" s="10">
        <v>447866.59</v>
      </c>
      <c r="C182" s="10">
        <v>5614.58</v>
      </c>
      <c r="D182" s="10">
        <v>140707.22</v>
      </c>
      <c r="E182" s="11">
        <f t="shared" si="11"/>
        <v>301544.79000000004</v>
      </c>
      <c r="F182" s="15">
        <f>294.84+674+10000+12000+4932+17781+80000+92000+3862.9+80000</f>
        <v>301544.74</v>
      </c>
      <c r="G182" s="49" t="s">
        <v>9</v>
      </c>
      <c r="H182" s="15">
        <f t="shared" si="10"/>
        <v>-5.0000000046566129E-2</v>
      </c>
      <c r="I182" s="4"/>
      <c r="K182" s="4"/>
    </row>
    <row r="183" spans="1:11" x14ac:dyDescent="0.25">
      <c r="A183" s="9">
        <v>41978</v>
      </c>
      <c r="B183" s="10">
        <v>591434</v>
      </c>
      <c r="C183" s="10">
        <v>27046</v>
      </c>
      <c r="D183" s="10">
        <v>192010.73</v>
      </c>
      <c r="E183" s="11">
        <f t="shared" si="11"/>
        <v>372377.27</v>
      </c>
      <c r="F183" s="15">
        <f>29055.5+45067.5+70000+70000+100000+30000+28254</f>
        <v>372377</v>
      </c>
      <c r="G183" s="49" t="s">
        <v>9</v>
      </c>
      <c r="H183" s="15">
        <f t="shared" si="10"/>
        <v>-0.27000000001862645</v>
      </c>
      <c r="I183" s="4"/>
      <c r="K183" s="4"/>
    </row>
    <row r="184" spans="1:11" x14ac:dyDescent="0.25">
      <c r="A184" s="9">
        <v>41979</v>
      </c>
      <c r="B184" s="10">
        <v>471694.79</v>
      </c>
      <c r="C184" s="10">
        <v>209951.37</v>
      </c>
      <c r="D184" s="10">
        <v>197403.42</v>
      </c>
      <c r="E184" s="11">
        <f t="shared" si="11"/>
        <v>64339.999999999971</v>
      </c>
      <c r="F184" s="15">
        <f>30000+18441+899+15000</f>
        <v>64340</v>
      </c>
      <c r="G184" s="49" t="s">
        <v>9</v>
      </c>
      <c r="H184" s="15">
        <f t="shared" si="10"/>
        <v>0</v>
      </c>
      <c r="I184" s="4"/>
      <c r="K184" s="4"/>
    </row>
    <row r="185" spans="1:11" x14ac:dyDescent="0.25">
      <c r="A185" s="9">
        <v>41980</v>
      </c>
      <c r="B185" s="10">
        <v>373089.29</v>
      </c>
      <c r="C185" s="10">
        <v>1490</v>
      </c>
      <c r="D185" s="10">
        <v>43298.86</v>
      </c>
      <c r="E185" s="11">
        <f t="shared" si="11"/>
        <v>328300.43</v>
      </c>
      <c r="F185" s="15">
        <f>4964.1+16336+50000+80000+90000+87000</f>
        <v>328300.09999999998</v>
      </c>
      <c r="G185" s="49" t="s">
        <v>9</v>
      </c>
      <c r="H185" s="15">
        <f t="shared" si="10"/>
        <v>-0.33000000001629815</v>
      </c>
      <c r="I185" s="4"/>
      <c r="K185" s="4"/>
    </row>
    <row r="186" spans="1:11" x14ac:dyDescent="0.25">
      <c r="A186" s="9">
        <v>41981</v>
      </c>
      <c r="B186" s="10">
        <v>366565.85</v>
      </c>
      <c r="C186" s="10">
        <v>10386.469999999999</v>
      </c>
      <c r="D186" s="10">
        <v>163024.26999999999</v>
      </c>
      <c r="E186" s="11">
        <f t="shared" si="11"/>
        <v>193155.11000000002</v>
      </c>
      <c r="F186" s="15">
        <f>31050+13760+17345+26000+50000+55000</f>
        <v>193155</v>
      </c>
      <c r="G186" s="49" t="s">
        <v>9</v>
      </c>
      <c r="H186" s="15">
        <f t="shared" si="10"/>
        <v>-0.11000000001513399</v>
      </c>
      <c r="I186" s="60" t="s">
        <v>49</v>
      </c>
      <c r="J186" s="253"/>
      <c r="K186" s="4"/>
    </row>
    <row r="187" spans="1:11" x14ac:dyDescent="0.25">
      <c r="A187" s="9">
        <v>41982</v>
      </c>
      <c r="B187" s="10">
        <v>359972.24</v>
      </c>
      <c r="C187" s="10">
        <v>9017.15</v>
      </c>
      <c r="D187" s="10">
        <v>200647.56</v>
      </c>
      <c r="E187" s="11">
        <f t="shared" si="11"/>
        <v>150307.52999999997</v>
      </c>
      <c r="F187" s="15">
        <f>10650+5059.4+25724+90000+18874</f>
        <v>150307.4</v>
      </c>
      <c r="G187" s="49" t="s">
        <v>9</v>
      </c>
      <c r="H187" s="15">
        <f t="shared" si="10"/>
        <v>-0.12999999997555278</v>
      </c>
      <c r="I187" s="4"/>
      <c r="K187" s="4"/>
    </row>
    <row r="188" spans="1:11" x14ac:dyDescent="0.25">
      <c r="A188" s="9">
        <v>41983</v>
      </c>
      <c r="B188" s="10">
        <v>497945.52</v>
      </c>
      <c r="C188" s="10">
        <v>3130</v>
      </c>
      <c r="D188" s="10">
        <v>260293.24</v>
      </c>
      <c r="E188" s="11">
        <f t="shared" si="11"/>
        <v>234522.28000000003</v>
      </c>
      <c r="F188" s="15">
        <f>14522+60000+160000</f>
        <v>234522</v>
      </c>
      <c r="G188" s="49" t="s">
        <v>9</v>
      </c>
      <c r="H188" s="15">
        <f t="shared" si="10"/>
        <v>-0.28000000002793968</v>
      </c>
      <c r="I188" s="4"/>
      <c r="K188" s="4"/>
    </row>
    <row r="189" spans="1:11" x14ac:dyDescent="0.25">
      <c r="A189" s="9">
        <v>41984</v>
      </c>
      <c r="B189" s="10">
        <v>568204.32999999996</v>
      </c>
      <c r="C189" s="10">
        <v>10445</v>
      </c>
      <c r="D189" s="10">
        <v>195034.32</v>
      </c>
      <c r="E189" s="11">
        <f t="shared" si="11"/>
        <v>362725.00999999995</v>
      </c>
      <c r="F189" s="15">
        <f>140000+60000+17775+70000+75000</f>
        <v>362775</v>
      </c>
      <c r="G189" s="49" t="s">
        <v>9</v>
      </c>
      <c r="H189" s="15">
        <f t="shared" si="10"/>
        <v>49.990000000048894</v>
      </c>
      <c r="I189" s="51" t="s">
        <v>37</v>
      </c>
      <c r="J189" s="52"/>
      <c r="K189" s="4"/>
    </row>
    <row r="190" spans="1:11" x14ac:dyDescent="0.25">
      <c r="A190" s="9">
        <v>41985</v>
      </c>
      <c r="B190" s="10">
        <v>620770.52</v>
      </c>
      <c r="C190" s="10">
        <v>19766.5</v>
      </c>
      <c r="D190" s="10">
        <v>162850.82</v>
      </c>
      <c r="E190" s="11">
        <f t="shared" si="11"/>
        <v>438153.2</v>
      </c>
      <c r="F190" s="15">
        <f>2740.5+18412+60000+100000+100000+75000+82000</f>
        <v>438152.5</v>
      </c>
      <c r="G190" s="49" t="s">
        <v>9</v>
      </c>
      <c r="H190" s="15">
        <f t="shared" si="10"/>
        <v>-0.70000000001164153</v>
      </c>
      <c r="I190" s="4"/>
      <c r="K190" s="4"/>
    </row>
    <row r="191" spans="1:11" x14ac:dyDescent="0.25">
      <c r="A191" s="9">
        <v>41986</v>
      </c>
      <c r="B191" s="10">
        <v>604953</v>
      </c>
      <c r="C191" s="10">
        <v>157081.70000000001</v>
      </c>
      <c r="D191" s="10">
        <v>296025.2</v>
      </c>
      <c r="E191" s="11">
        <f t="shared" si="11"/>
        <v>151846.09999999998</v>
      </c>
      <c r="F191" s="15">
        <f>23000+35000+11471+82375</f>
        <v>151846</v>
      </c>
      <c r="G191" s="49" t="s">
        <v>9</v>
      </c>
      <c r="H191" s="15">
        <f t="shared" si="10"/>
        <v>-9.9999999976716936E-2</v>
      </c>
      <c r="I191" s="4"/>
      <c r="K191" s="4"/>
    </row>
    <row r="192" spans="1:11" x14ac:dyDescent="0.25">
      <c r="A192" s="9">
        <v>41987</v>
      </c>
      <c r="B192" s="10">
        <v>321367.88</v>
      </c>
      <c r="C192" s="10">
        <v>4446</v>
      </c>
      <c r="D192" s="10">
        <v>43688.78</v>
      </c>
      <c r="E192" s="11">
        <f t="shared" si="11"/>
        <v>273233.09999999998</v>
      </c>
      <c r="F192" s="15">
        <f>17233+80000+85000+91000</f>
        <v>273233</v>
      </c>
      <c r="G192" s="49" t="s">
        <v>9</v>
      </c>
      <c r="H192" s="15">
        <f t="shared" si="10"/>
        <v>-9.9999999976716936E-2</v>
      </c>
      <c r="I192" s="4"/>
      <c r="K192" s="4"/>
    </row>
    <row r="193" spans="1:11" x14ac:dyDescent="0.25">
      <c r="A193" s="9">
        <v>41988</v>
      </c>
      <c r="B193" s="10">
        <v>393588.73</v>
      </c>
      <c r="C193" s="10">
        <v>10025</v>
      </c>
      <c r="D193" s="10">
        <v>149309.92000000001</v>
      </c>
      <c r="E193" s="11">
        <f t="shared" si="11"/>
        <v>234253.80999999997</v>
      </c>
      <c r="F193" s="15">
        <f>180000+18253</f>
        <v>198253</v>
      </c>
      <c r="G193" s="49" t="s">
        <v>9</v>
      </c>
      <c r="H193" s="15">
        <f t="shared" si="10"/>
        <v>-36000.809999999969</v>
      </c>
      <c r="J193" s="60" t="s">
        <v>155</v>
      </c>
      <c r="K193" s="60"/>
    </row>
    <row r="194" spans="1:11" x14ac:dyDescent="0.25">
      <c r="A194" s="9">
        <v>41989</v>
      </c>
      <c r="B194" s="10">
        <v>420321.75</v>
      </c>
      <c r="C194" s="10">
        <v>10129.450000000001</v>
      </c>
      <c r="D194" s="10">
        <v>118316.94</v>
      </c>
      <c r="E194" s="11">
        <f t="shared" si="11"/>
        <v>291875.36</v>
      </c>
      <c r="F194" s="15">
        <f>1088+30000+35000+61000+30750+50000+120000+37</f>
        <v>327875</v>
      </c>
      <c r="G194" s="49" t="s">
        <v>9</v>
      </c>
      <c r="H194" s="15">
        <f t="shared" si="10"/>
        <v>35999.640000000014</v>
      </c>
      <c r="J194" s="60" t="s">
        <v>779</v>
      </c>
      <c r="K194" s="60"/>
    </row>
    <row r="195" spans="1:11" x14ac:dyDescent="0.25">
      <c r="A195" s="9">
        <v>41990</v>
      </c>
      <c r="B195" s="10">
        <v>506585.11</v>
      </c>
      <c r="C195" s="10">
        <v>5564.96</v>
      </c>
      <c r="D195" s="10">
        <v>138461.34</v>
      </c>
      <c r="E195" s="11">
        <f t="shared" si="11"/>
        <v>362558.80999999994</v>
      </c>
      <c r="F195" s="15">
        <f>20954+45000+50000+57000+65000+80000+3662.2+490+6395.3+19296.5+10147+4613.5</f>
        <v>362558.5</v>
      </c>
      <c r="G195" s="49" t="s">
        <v>9</v>
      </c>
      <c r="H195" s="15">
        <f t="shared" si="10"/>
        <v>-0.30999999993946403</v>
      </c>
      <c r="I195" s="4"/>
      <c r="K195" s="4"/>
    </row>
    <row r="196" spans="1:11" x14ac:dyDescent="0.25">
      <c r="A196" s="9">
        <v>41991</v>
      </c>
      <c r="B196" s="10">
        <v>515853.06</v>
      </c>
      <c r="C196" s="10">
        <v>276869.81</v>
      </c>
      <c r="D196" s="10">
        <v>137757.10999999999</v>
      </c>
      <c r="E196" s="11">
        <f t="shared" si="11"/>
        <v>101226.14000000001</v>
      </c>
      <c r="F196" s="15">
        <f>80000+21226</f>
        <v>101226</v>
      </c>
      <c r="G196" s="49" t="s">
        <v>9</v>
      </c>
      <c r="H196" s="15">
        <f t="shared" si="10"/>
        <v>-0.14000000001396984</v>
      </c>
      <c r="I196" s="4"/>
      <c r="K196" s="4"/>
    </row>
    <row r="197" spans="1:11" x14ac:dyDescent="0.25">
      <c r="A197" s="9">
        <v>41992</v>
      </c>
      <c r="B197" s="10">
        <v>748603.94</v>
      </c>
      <c r="C197" s="10">
        <v>84158</v>
      </c>
      <c r="D197" s="10">
        <v>217851.32</v>
      </c>
      <c r="E197" s="11">
        <f t="shared" si="11"/>
        <v>446594.61999999994</v>
      </c>
      <c r="F197" s="15">
        <f>944.1+1500+572.3+7401.86+5125.32+5744.02+12436.25+30620+120000+120000+15000+30000+80000+6624+4968+5658</f>
        <v>446593.85</v>
      </c>
      <c r="G197" s="49" t="s">
        <v>9</v>
      </c>
      <c r="H197" s="15">
        <f t="shared" si="10"/>
        <v>-0.76999999996041879</v>
      </c>
      <c r="I197" s="4"/>
      <c r="K197" s="4"/>
    </row>
    <row r="198" spans="1:11" x14ac:dyDescent="0.25">
      <c r="A198" s="9">
        <v>41993</v>
      </c>
      <c r="B198" s="10">
        <v>588170.85</v>
      </c>
      <c r="C198" s="10">
        <v>172297.07</v>
      </c>
      <c r="D198" s="10">
        <v>279908.05</v>
      </c>
      <c r="E198" s="11">
        <f t="shared" si="11"/>
        <v>135965.72999999998</v>
      </c>
      <c r="F198" s="15">
        <f>5700+10000+57263+63000</f>
        <v>135963</v>
      </c>
      <c r="G198" s="49" t="s">
        <v>9</v>
      </c>
      <c r="H198" s="15">
        <f t="shared" si="10"/>
        <v>-2.7299999999813735</v>
      </c>
      <c r="I198" s="4"/>
      <c r="K198" s="4"/>
    </row>
    <row r="199" spans="1:11" x14ac:dyDescent="0.25">
      <c r="A199" s="9">
        <v>41994</v>
      </c>
      <c r="B199" s="10">
        <v>398927.85</v>
      </c>
      <c r="C199" s="10">
        <v>1455</v>
      </c>
      <c r="D199" s="10">
        <v>105906.62</v>
      </c>
      <c r="E199" s="11">
        <f t="shared" si="11"/>
        <v>291566.23</v>
      </c>
      <c r="F199" s="15">
        <f>70000+95000+85000+19500+22066</f>
        <v>291566</v>
      </c>
      <c r="G199" s="49" t="s">
        <v>9</v>
      </c>
      <c r="H199" s="15">
        <f t="shared" si="10"/>
        <v>-0.22999999998137355</v>
      </c>
      <c r="I199" s="4"/>
      <c r="K199" s="4"/>
    </row>
    <row r="200" spans="1:11" x14ac:dyDescent="0.25">
      <c r="A200" s="9">
        <v>41995</v>
      </c>
      <c r="B200" s="10">
        <v>613608.99</v>
      </c>
      <c r="C200" s="10">
        <v>10116.5</v>
      </c>
      <c r="D200" s="10">
        <v>132315.1</v>
      </c>
      <c r="E200" s="11">
        <f t="shared" si="11"/>
        <v>471177.39</v>
      </c>
      <c r="F200" s="15">
        <f>25000+21177+50000+175000+100000+100000</f>
        <v>471177</v>
      </c>
      <c r="G200" s="49" t="s">
        <v>9</v>
      </c>
      <c r="H200" s="15">
        <f t="shared" si="10"/>
        <v>-0.39000000001396984</v>
      </c>
      <c r="I200" s="4"/>
      <c r="K200" s="4"/>
    </row>
    <row r="201" spans="1:11" x14ac:dyDescent="0.25">
      <c r="A201" s="9">
        <v>41996</v>
      </c>
      <c r="B201" s="10">
        <v>839547.05</v>
      </c>
      <c r="C201" s="10">
        <v>3653.72</v>
      </c>
      <c r="D201" s="10">
        <v>162517.42000000001</v>
      </c>
      <c r="E201" s="11">
        <f t="shared" si="11"/>
        <v>673375.91</v>
      </c>
      <c r="F201" s="15">
        <f>90000+100000+100000+100000+110000+50000+2025.5+1697+19653.5+100000</f>
        <v>673376</v>
      </c>
      <c r="G201" s="49" t="s">
        <v>9</v>
      </c>
      <c r="H201" s="15">
        <f t="shared" si="10"/>
        <v>8.999999996740371E-2</v>
      </c>
      <c r="I201" s="4"/>
      <c r="K201" s="4"/>
    </row>
    <row r="202" spans="1:11" x14ac:dyDescent="0.25">
      <c r="A202" s="9">
        <v>41997</v>
      </c>
      <c r="B202" s="10">
        <v>638990.1</v>
      </c>
      <c r="C202" s="10">
        <v>5862</v>
      </c>
      <c r="D202" s="10">
        <v>286685.05</v>
      </c>
      <c r="E202" s="11">
        <f t="shared" si="11"/>
        <v>346443.05</v>
      </c>
      <c r="F202" s="15">
        <f>31426+120000+45000+150000+17</f>
        <v>346443</v>
      </c>
      <c r="G202" s="49" t="s">
        <v>9</v>
      </c>
      <c r="H202" s="15">
        <f t="shared" si="10"/>
        <v>-4.9999999988358468E-2</v>
      </c>
      <c r="I202" s="4"/>
      <c r="K202" s="4"/>
    </row>
    <row r="203" spans="1:11" x14ac:dyDescent="0.25">
      <c r="A203" s="58">
        <v>41998</v>
      </c>
      <c r="B203" s="271" t="s">
        <v>45</v>
      </c>
      <c r="C203" s="272"/>
      <c r="D203" s="273"/>
      <c r="E203" s="53" t="e">
        <f t="shared" si="11"/>
        <v>#VALUE!</v>
      </c>
      <c r="F203" s="55">
        <v>0</v>
      </c>
      <c r="G203" s="59"/>
      <c r="H203" s="55" t="e">
        <f t="shared" si="10"/>
        <v>#VALUE!</v>
      </c>
      <c r="I203" s="46"/>
      <c r="K203" s="4"/>
    </row>
    <row r="204" spans="1:11" x14ac:dyDescent="0.25">
      <c r="A204" s="9">
        <v>41999</v>
      </c>
      <c r="B204" s="10">
        <v>594111.80000000005</v>
      </c>
      <c r="C204" s="10">
        <v>27244</v>
      </c>
      <c r="D204" s="10">
        <v>119955</v>
      </c>
      <c r="E204" s="11">
        <f t="shared" si="11"/>
        <v>446912.80000000005</v>
      </c>
      <c r="F204" s="15">
        <f>21913+34000+70000+80000+31000+80000+130000</f>
        <v>446913</v>
      </c>
      <c r="G204" s="49" t="s">
        <v>9</v>
      </c>
      <c r="H204" s="15">
        <f t="shared" si="10"/>
        <v>0.19999999995343387</v>
      </c>
      <c r="I204" s="4"/>
      <c r="K204" s="4"/>
    </row>
    <row r="205" spans="1:11" x14ac:dyDescent="0.25">
      <c r="A205" s="9">
        <v>42000</v>
      </c>
      <c r="B205" s="10">
        <v>495560.95</v>
      </c>
      <c r="C205" s="10">
        <v>53285</v>
      </c>
      <c r="D205" s="10">
        <v>277751.23</v>
      </c>
      <c r="E205" s="11">
        <f t="shared" si="11"/>
        <v>164524.72000000003</v>
      </c>
      <c r="F205" s="15">
        <f>45000+20030+12400.5+19280+46870+20943</f>
        <v>164523.5</v>
      </c>
      <c r="G205" s="49" t="s">
        <v>9</v>
      </c>
      <c r="H205" s="15">
        <f t="shared" si="10"/>
        <v>-1.220000000030268</v>
      </c>
      <c r="J205" s="4"/>
      <c r="K205" s="4"/>
    </row>
    <row r="206" spans="1:11" x14ac:dyDescent="0.25">
      <c r="A206" s="9">
        <v>42001</v>
      </c>
      <c r="B206" s="10">
        <v>285585.71999999997</v>
      </c>
      <c r="C206" s="10">
        <v>7354.3</v>
      </c>
      <c r="D206" s="10">
        <v>238287.6</v>
      </c>
      <c r="E206" s="11">
        <f t="shared" si="11"/>
        <v>39943.819999999978</v>
      </c>
      <c r="F206" s="15">
        <f>10000+10000+19944</f>
        <v>39944</v>
      </c>
      <c r="G206" s="49" t="s">
        <v>9</v>
      </c>
      <c r="H206" s="15">
        <f t="shared" si="10"/>
        <v>0.18000000002211891</v>
      </c>
      <c r="J206" s="4"/>
      <c r="K206" s="4"/>
    </row>
    <row r="207" spans="1:11" x14ac:dyDescent="0.25">
      <c r="A207" s="9">
        <v>42002</v>
      </c>
      <c r="B207" s="10">
        <v>438983.19</v>
      </c>
      <c r="C207" s="10">
        <v>14931.85</v>
      </c>
      <c r="D207" s="10">
        <v>293603.88</v>
      </c>
      <c r="E207" s="11">
        <f t="shared" si="11"/>
        <v>130447.46000000002</v>
      </c>
      <c r="F207" s="15">
        <f>3017+105000+22430</f>
        <v>130447</v>
      </c>
      <c r="G207" s="49" t="s">
        <v>9</v>
      </c>
      <c r="H207" s="15">
        <f t="shared" si="10"/>
        <v>-0.46000000002095476</v>
      </c>
      <c r="I207" s="62" t="s">
        <v>50</v>
      </c>
      <c r="J207" s="63" t="s">
        <v>87</v>
      </c>
      <c r="K207" s="4"/>
    </row>
    <row r="208" spans="1:11" x14ac:dyDescent="0.25">
      <c r="A208" s="9">
        <v>42003</v>
      </c>
      <c r="B208" s="10">
        <v>597146.1</v>
      </c>
      <c r="C208" s="10">
        <v>9688</v>
      </c>
      <c r="D208" s="10">
        <v>165758.78</v>
      </c>
      <c r="E208" s="11">
        <f t="shared" si="11"/>
        <v>421699.31999999995</v>
      </c>
      <c r="F208" s="15">
        <f>10000+80000+90000+21700+120000+40000+60000</f>
        <v>421700</v>
      </c>
      <c r="G208" s="64" t="s">
        <v>9</v>
      </c>
      <c r="H208" s="15">
        <f t="shared" si="10"/>
        <v>0.68000000005122274</v>
      </c>
      <c r="I208" s="4"/>
      <c r="K208" s="4"/>
    </row>
    <row r="209" spans="1:11" x14ac:dyDescent="0.25">
      <c r="A209" s="9">
        <v>42004</v>
      </c>
      <c r="B209" s="10">
        <v>628301.53</v>
      </c>
      <c r="C209" s="10">
        <v>8315.6</v>
      </c>
      <c r="D209" s="10">
        <v>401407.52</v>
      </c>
      <c r="E209" s="11">
        <f t="shared" si="11"/>
        <v>218578.41000000003</v>
      </c>
      <c r="F209" s="15">
        <f>6220+100000+85000+26915+423+20</f>
        <v>218578</v>
      </c>
      <c r="G209" s="49" t="s">
        <v>9</v>
      </c>
      <c r="H209" s="15">
        <f t="shared" si="10"/>
        <v>-0.41000000003259629</v>
      </c>
      <c r="I209" s="4"/>
      <c r="K209" s="4"/>
    </row>
    <row r="210" spans="1:11" x14ac:dyDescent="0.25">
      <c r="A210" s="9"/>
      <c r="B210" s="10"/>
      <c r="C210" s="10"/>
      <c r="D210" s="10"/>
      <c r="E210" s="11">
        <f t="shared" si="11"/>
        <v>0</v>
      </c>
      <c r="F210" s="15">
        <v>0</v>
      </c>
      <c r="G210" s="49"/>
      <c r="H210" s="15">
        <f t="shared" si="10"/>
        <v>0</v>
      </c>
      <c r="I210" s="4"/>
      <c r="K210" s="4"/>
    </row>
    <row r="211" spans="1:11" x14ac:dyDescent="0.25">
      <c r="A211" s="14"/>
      <c r="B211" s="10"/>
      <c r="C211" s="10"/>
      <c r="D211" s="10"/>
      <c r="E211" s="11">
        <f t="shared" si="11"/>
        <v>0</v>
      </c>
      <c r="H211" s="4"/>
      <c r="I211" s="4"/>
      <c r="J211" s="4"/>
      <c r="K211" s="4"/>
    </row>
    <row r="212" spans="1:11" x14ac:dyDescent="0.25">
      <c r="A212" s="14"/>
      <c r="B212" s="13"/>
      <c r="C212" s="10"/>
      <c r="D212" s="10"/>
      <c r="E212" s="11">
        <f t="shared" si="11"/>
        <v>0</v>
      </c>
      <c r="H212" s="4"/>
      <c r="I212" s="4"/>
      <c r="J212" s="4"/>
      <c r="K212" s="4"/>
    </row>
    <row r="213" spans="1:11" x14ac:dyDescent="0.25">
      <c r="A213" s="14"/>
      <c r="B213" s="10"/>
      <c r="C213" s="10"/>
      <c r="D213" s="10"/>
      <c r="E213" s="11">
        <f t="shared" si="11"/>
        <v>0</v>
      </c>
      <c r="H213" s="4"/>
      <c r="I213" s="4"/>
      <c r="J213" s="4"/>
      <c r="K213" s="4"/>
    </row>
    <row r="214" spans="1:11" x14ac:dyDescent="0.25">
      <c r="A214" s="14"/>
      <c r="B214" s="10">
        <f>SUM(B179:B213)</f>
        <v>14819570.819999998</v>
      </c>
      <c r="C214" s="10">
        <f>SUM(C179:C213)</f>
        <v>1187155.2200000002</v>
      </c>
      <c r="D214" s="10">
        <f>SUM(D179:D213)</f>
        <v>5609439.959999999</v>
      </c>
      <c r="E214" s="11">
        <f t="shared" si="11"/>
        <v>8022975.6399999987</v>
      </c>
      <c r="H214" s="15"/>
      <c r="I214" s="4"/>
      <c r="J214" s="4"/>
      <c r="K214" s="4"/>
    </row>
    <row r="215" spans="1:11" x14ac:dyDescent="0.25">
      <c r="A215" s="14"/>
      <c r="B215" s="13"/>
      <c r="C215" s="10"/>
      <c r="D215" s="10"/>
      <c r="E215" s="11">
        <f t="shared" si="11"/>
        <v>0</v>
      </c>
      <c r="H215" s="4"/>
      <c r="I215" s="4"/>
      <c r="J215" s="4"/>
      <c r="K215" s="4"/>
    </row>
    <row r="216" spans="1:11" x14ac:dyDescent="0.25">
      <c r="A216" s="14"/>
      <c r="B216" s="16"/>
      <c r="C216" s="10"/>
      <c r="D216" s="10"/>
      <c r="E216" s="11">
        <f t="shared" si="11"/>
        <v>0</v>
      </c>
      <c r="H216" s="4"/>
      <c r="I216" s="4"/>
      <c r="J216" s="4"/>
      <c r="K216" s="4"/>
    </row>
  </sheetData>
  <mergeCells count="2">
    <mergeCell ref="B203:D203"/>
    <mergeCell ref="B1:D1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21"/>
  <sheetViews>
    <sheetView workbookViewId="0">
      <selection activeCell="A2" sqref="A2"/>
    </sheetView>
  </sheetViews>
  <sheetFormatPr baseColWidth="10" defaultRowHeight="15" x14ac:dyDescent="0.25"/>
  <cols>
    <col min="1" max="1" width="11.28515625" customWidth="1"/>
    <col min="3" max="3" width="4" customWidth="1"/>
    <col min="5" max="5" width="4.140625" customWidth="1"/>
    <col min="7" max="7" width="3.140625" customWidth="1"/>
    <col min="9" max="9" width="3.7109375" customWidth="1"/>
    <col min="11" max="11" width="3.5703125" customWidth="1"/>
    <col min="13" max="13" width="3.7109375" customWidth="1"/>
    <col min="15" max="15" width="3.140625" customWidth="1"/>
    <col min="16" max="16" width="10.5703125" customWidth="1"/>
    <col min="18" max="18" width="3.5703125" customWidth="1"/>
    <col min="20" max="20" width="3.85546875" customWidth="1"/>
    <col min="22" max="22" width="4" customWidth="1"/>
    <col min="24" max="24" width="4.7109375" customWidth="1"/>
    <col min="26" max="26" width="4.85546875" customWidth="1"/>
    <col min="28" max="28" width="4.85546875" customWidth="1"/>
    <col min="30" max="30" width="3.85546875" customWidth="1"/>
    <col min="32" max="32" width="4.5703125" customWidth="1"/>
    <col min="34" max="34" width="5.42578125" customWidth="1"/>
    <col min="36" max="36" width="10.7109375" customWidth="1"/>
    <col min="38" max="38" width="4.85546875" customWidth="1"/>
    <col min="40" max="40" width="4.28515625" customWidth="1"/>
  </cols>
  <sheetData>
    <row r="2" spans="1:42" x14ac:dyDescent="0.25">
      <c r="I2" t="s">
        <v>381</v>
      </c>
      <c r="S2" t="s">
        <v>381</v>
      </c>
      <c r="Z2" t="s">
        <v>381</v>
      </c>
      <c r="AL2" t="s">
        <v>381</v>
      </c>
    </row>
    <row r="5" spans="1:42" ht="15.75" thickBot="1" x14ac:dyDescent="0.3">
      <c r="B5" s="229" t="s">
        <v>660</v>
      </c>
      <c r="C5" s="229"/>
      <c r="D5" s="236" t="s">
        <v>344</v>
      </c>
      <c r="E5" s="229"/>
      <c r="F5" s="227" t="s">
        <v>382</v>
      </c>
      <c r="G5" s="231"/>
      <c r="H5" s="230" t="s">
        <v>645</v>
      </c>
      <c r="I5" s="232"/>
      <c r="J5" s="304" t="s">
        <v>646</v>
      </c>
      <c r="K5" s="304"/>
      <c r="L5" s="235" t="s">
        <v>345</v>
      </c>
      <c r="M5" s="235"/>
      <c r="N5" s="227" t="s">
        <v>647</v>
      </c>
      <c r="O5" s="231"/>
      <c r="P5" s="230"/>
      <c r="Q5" s="230" t="s">
        <v>648</v>
      </c>
      <c r="R5" s="231"/>
      <c r="S5" s="229" t="s">
        <v>649</v>
      </c>
      <c r="T5" s="229"/>
      <c r="U5" s="233" t="s">
        <v>346</v>
      </c>
      <c r="V5" s="233"/>
      <c r="W5" s="228" t="s">
        <v>650</v>
      </c>
      <c r="X5" s="228"/>
      <c r="Y5" s="228" t="s">
        <v>347</v>
      </c>
      <c r="Z5" s="228"/>
      <c r="AA5" s="228" t="s">
        <v>347</v>
      </c>
      <c r="AB5" s="228"/>
      <c r="AC5" s="228" t="s">
        <v>651</v>
      </c>
      <c r="AD5" s="234"/>
      <c r="AE5" s="228" t="s">
        <v>652</v>
      </c>
      <c r="AF5" s="234"/>
      <c r="AG5" s="228" t="s">
        <v>653</v>
      </c>
      <c r="AH5" s="234"/>
      <c r="AI5" s="228" t="s">
        <v>654</v>
      </c>
      <c r="AJ5" s="234"/>
      <c r="AK5" s="228" t="s">
        <v>655</v>
      </c>
      <c r="AL5" s="234"/>
      <c r="AM5" s="228" t="s">
        <v>658</v>
      </c>
      <c r="AN5" s="234"/>
      <c r="AO5" s="228" t="s">
        <v>659</v>
      </c>
      <c r="AP5" s="132"/>
    </row>
    <row r="6" spans="1:42" ht="15.75" customHeight="1" thickTop="1" thickBot="1" x14ac:dyDescent="0.3">
      <c r="B6" s="137" t="s">
        <v>348</v>
      </c>
      <c r="C6" s="136"/>
      <c r="D6" s="139" t="s">
        <v>349</v>
      </c>
      <c r="F6" s="142" t="s">
        <v>349</v>
      </c>
      <c r="G6" s="100"/>
      <c r="H6" s="139" t="s">
        <v>349</v>
      </c>
      <c r="J6" s="142" t="s">
        <v>349</v>
      </c>
      <c r="K6" s="100"/>
      <c r="L6" s="139" t="s">
        <v>351</v>
      </c>
      <c r="M6" s="100"/>
      <c r="N6" s="139" t="s">
        <v>349</v>
      </c>
      <c r="O6" s="100"/>
      <c r="P6" s="100"/>
      <c r="Q6" s="139" t="s">
        <v>351</v>
      </c>
      <c r="R6" s="100"/>
      <c r="S6" s="142" t="s">
        <v>353</v>
      </c>
      <c r="T6" s="100"/>
      <c r="U6" s="139" t="s">
        <v>355</v>
      </c>
      <c r="V6" s="146"/>
      <c r="W6" s="142" t="s">
        <v>357</v>
      </c>
      <c r="Y6" s="139" t="s">
        <v>358</v>
      </c>
      <c r="Z6" s="146"/>
      <c r="AA6" s="142" t="s">
        <v>360</v>
      </c>
      <c r="AB6" s="100"/>
      <c r="AC6" s="149" t="s">
        <v>362</v>
      </c>
      <c r="AD6" s="100"/>
      <c r="AE6" s="140" t="s">
        <v>363</v>
      </c>
      <c r="AF6" s="146"/>
      <c r="AG6" s="143" t="s">
        <v>364</v>
      </c>
      <c r="AH6" s="100"/>
      <c r="AI6" s="143" t="s">
        <v>365</v>
      </c>
      <c r="AJ6" s="100"/>
      <c r="AK6" s="143" t="s">
        <v>366</v>
      </c>
      <c r="AL6" s="100"/>
      <c r="AM6" s="143" t="s">
        <v>656</v>
      </c>
      <c r="AN6" s="144"/>
      <c r="AO6" s="143" t="s">
        <v>657</v>
      </c>
      <c r="AP6" s="144"/>
    </row>
    <row r="7" spans="1:42" ht="15.75" customHeight="1" thickTop="1" thickBot="1" x14ac:dyDescent="0.3">
      <c r="B7" s="138" t="s">
        <v>367</v>
      </c>
      <c r="C7" s="133"/>
      <c r="D7" s="141" t="s">
        <v>368</v>
      </c>
      <c r="E7" s="133"/>
      <c r="F7" s="143" t="s">
        <v>369</v>
      </c>
      <c r="G7" s="133"/>
      <c r="H7" s="140" t="s">
        <v>370</v>
      </c>
      <c r="J7" s="143" t="s">
        <v>350</v>
      </c>
      <c r="K7" s="144"/>
      <c r="L7" s="140" t="s">
        <v>371</v>
      </c>
      <c r="M7" s="133"/>
      <c r="N7" s="141" t="s">
        <v>372</v>
      </c>
      <c r="P7" s="134"/>
      <c r="Q7" s="141" t="s">
        <v>352</v>
      </c>
      <c r="R7" s="134"/>
      <c r="S7" s="145" t="s">
        <v>354</v>
      </c>
      <c r="T7" s="134"/>
      <c r="U7" s="141" t="s">
        <v>356</v>
      </c>
      <c r="V7" s="134"/>
      <c r="W7" s="145" t="s">
        <v>373</v>
      </c>
      <c r="Y7" s="147" t="s">
        <v>359</v>
      </c>
      <c r="Z7" s="134"/>
      <c r="AA7" s="148" t="s">
        <v>361</v>
      </c>
      <c r="AB7" s="134"/>
      <c r="AC7" s="143" t="s">
        <v>374</v>
      </c>
      <c r="AD7" s="144"/>
      <c r="AE7" s="140" t="s">
        <v>375</v>
      </c>
      <c r="AF7" s="144"/>
      <c r="AG7" s="143" t="s">
        <v>376</v>
      </c>
      <c r="AH7" s="144"/>
      <c r="AI7" s="143" t="s">
        <v>377</v>
      </c>
      <c r="AJ7" s="144"/>
      <c r="AK7" s="143" t="s">
        <v>378</v>
      </c>
      <c r="AL7" s="144"/>
      <c r="AM7" s="143" t="s">
        <v>379</v>
      </c>
      <c r="AN7" s="144"/>
      <c r="AO7" s="143" t="s">
        <v>380</v>
      </c>
      <c r="AP7" s="144"/>
    </row>
    <row r="8" spans="1:42" ht="16.5" thickTop="1" thickBot="1" x14ac:dyDescent="0.3">
      <c r="C8" s="133"/>
      <c r="E8" s="133"/>
      <c r="G8" s="133"/>
      <c r="I8" s="135"/>
      <c r="J8" s="144"/>
      <c r="K8" s="135"/>
      <c r="M8" s="133"/>
      <c r="O8" s="135"/>
      <c r="P8" s="135"/>
      <c r="Q8" s="133"/>
      <c r="R8" s="135"/>
      <c r="S8" s="133"/>
      <c r="T8" s="133"/>
      <c r="U8" s="133"/>
      <c r="V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50"/>
      <c r="AO8" s="133"/>
      <c r="AP8" s="133"/>
    </row>
    <row r="9" spans="1:42" ht="39.75" customHeight="1" thickBot="1" x14ac:dyDescent="0.3">
      <c r="A9" s="226">
        <v>42280</v>
      </c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226">
        <v>42280</v>
      </c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226">
        <v>42280</v>
      </c>
      <c r="AK9" s="151"/>
      <c r="AL9" s="151"/>
      <c r="AM9" s="151"/>
      <c r="AN9" s="151"/>
      <c r="AO9" s="151"/>
    </row>
    <row r="10" spans="1:42" ht="36" customHeight="1" thickBot="1" x14ac:dyDescent="0.3">
      <c r="A10" s="226">
        <v>42287</v>
      </c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226">
        <v>42287</v>
      </c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226">
        <v>42287</v>
      </c>
      <c r="AK10" s="151"/>
      <c r="AL10" s="151"/>
      <c r="AM10" s="151"/>
      <c r="AN10" s="151"/>
      <c r="AO10" s="151"/>
    </row>
    <row r="11" spans="1:42" ht="36" customHeight="1" thickBot="1" x14ac:dyDescent="0.3">
      <c r="A11" s="226">
        <v>42294</v>
      </c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226">
        <v>42294</v>
      </c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226">
        <v>42294</v>
      </c>
      <c r="AK11" s="151"/>
      <c r="AL11" s="151"/>
      <c r="AM11" s="151"/>
      <c r="AN11" s="151"/>
      <c r="AO11" s="151"/>
    </row>
    <row r="12" spans="1:42" ht="37.5" customHeight="1" thickBot="1" x14ac:dyDescent="0.3">
      <c r="A12" s="226">
        <v>42301</v>
      </c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226">
        <v>42301</v>
      </c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226">
        <v>42301</v>
      </c>
      <c r="AK12" s="151"/>
      <c r="AL12" s="151"/>
      <c r="AM12" s="151"/>
      <c r="AN12" s="151"/>
      <c r="AO12" s="151"/>
    </row>
    <row r="13" spans="1:42" ht="38.25" customHeight="1" thickBot="1" x14ac:dyDescent="0.3">
      <c r="A13" s="226">
        <v>42308</v>
      </c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226">
        <v>42308</v>
      </c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226">
        <v>42308</v>
      </c>
      <c r="AK13" s="151"/>
      <c r="AL13" s="151"/>
      <c r="AM13" s="151"/>
      <c r="AN13" s="151"/>
      <c r="AO13" s="151"/>
    </row>
    <row r="14" spans="1:42" ht="36" customHeight="1" thickBot="1" x14ac:dyDescent="0.3">
      <c r="A14" s="226">
        <v>42315</v>
      </c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226">
        <v>42315</v>
      </c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226">
        <v>42315</v>
      </c>
      <c r="AK14" s="151"/>
      <c r="AL14" s="151"/>
      <c r="AM14" s="151"/>
      <c r="AN14" s="151"/>
      <c r="AO14" s="151"/>
    </row>
    <row r="15" spans="1:42" ht="35.25" customHeight="1" thickBot="1" x14ac:dyDescent="0.3">
      <c r="A15" s="226">
        <v>42322</v>
      </c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226">
        <v>42322</v>
      </c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226">
        <v>42322</v>
      </c>
      <c r="AK15" s="151"/>
      <c r="AL15" s="151"/>
      <c r="AM15" s="151"/>
      <c r="AN15" s="151"/>
      <c r="AO15" s="151"/>
    </row>
    <row r="16" spans="1:42" ht="34.5" customHeight="1" thickBot="1" x14ac:dyDescent="0.3">
      <c r="A16" s="226">
        <v>42329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226">
        <v>42329</v>
      </c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226">
        <v>42329</v>
      </c>
      <c r="AK16" s="151"/>
      <c r="AL16" s="151"/>
      <c r="AM16" s="151"/>
      <c r="AN16" s="151"/>
      <c r="AO16" s="151"/>
    </row>
    <row r="17" spans="1:41" ht="37.5" customHeight="1" thickBot="1" x14ac:dyDescent="0.3">
      <c r="A17" s="226">
        <v>42336</v>
      </c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226">
        <v>42336</v>
      </c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226">
        <v>42336</v>
      </c>
      <c r="AK17" s="151"/>
      <c r="AL17" s="151"/>
      <c r="AM17" s="151"/>
      <c r="AN17" s="151"/>
      <c r="AO17" s="151"/>
    </row>
    <row r="18" spans="1:41" ht="38.25" customHeight="1" thickBot="1" x14ac:dyDescent="0.3">
      <c r="A18" s="226">
        <v>42343</v>
      </c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226">
        <v>42343</v>
      </c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226">
        <v>42343</v>
      </c>
      <c r="AK18" s="151"/>
      <c r="AL18" s="151"/>
      <c r="AM18" s="151"/>
      <c r="AN18" s="151"/>
      <c r="AO18" s="151"/>
    </row>
    <row r="19" spans="1:41" ht="38.25" customHeight="1" thickBot="1" x14ac:dyDescent="0.3">
      <c r="A19" s="226">
        <v>42350</v>
      </c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226">
        <v>42350</v>
      </c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226">
        <v>42350</v>
      </c>
      <c r="AK19" s="151"/>
      <c r="AL19" s="151"/>
      <c r="AM19" s="151"/>
      <c r="AN19" s="151"/>
      <c r="AO19" s="151"/>
    </row>
    <row r="20" spans="1:41" ht="36.75" customHeight="1" thickBot="1" x14ac:dyDescent="0.3">
      <c r="A20" s="226">
        <v>42357</v>
      </c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226">
        <v>42357</v>
      </c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226">
        <v>42357</v>
      </c>
      <c r="AK20" s="151"/>
      <c r="AL20" s="151"/>
      <c r="AM20" s="151"/>
      <c r="AN20" s="151"/>
      <c r="AO20" s="151"/>
    </row>
    <row r="21" spans="1:41" ht="36" customHeight="1" thickBot="1" x14ac:dyDescent="0.3">
      <c r="A21" s="226">
        <v>42364</v>
      </c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226">
        <v>42364</v>
      </c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226">
        <v>42364</v>
      </c>
      <c r="AK21" s="151"/>
      <c r="AL21" s="151"/>
      <c r="AM21" s="151"/>
      <c r="AN21" s="151"/>
      <c r="AO21" s="151"/>
    </row>
  </sheetData>
  <mergeCells count="1">
    <mergeCell ref="J5:K5"/>
  </mergeCells>
  <pageMargins left="0.31496062992125984" right="0.11811023622047245" top="0.74803149606299213" bottom="0.74803149606299213" header="0.31496062992125984" footer="0.31496062992125984"/>
  <pageSetup paperSize="9" scale="90" orientation="landscape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9"/>
  <sheetViews>
    <sheetView workbookViewId="0">
      <selection activeCell="G4" sqref="G4"/>
    </sheetView>
  </sheetViews>
  <sheetFormatPr baseColWidth="10" defaultRowHeight="15.75" x14ac:dyDescent="0.25"/>
  <cols>
    <col min="1" max="1" width="13.28515625" style="167" customWidth="1"/>
    <col min="2" max="2" width="6.85546875" style="25" bestFit="1" customWidth="1"/>
    <col min="3" max="3" width="28.85546875" style="12" customWidth="1"/>
    <col min="4" max="4" width="12.7109375" style="17" bestFit="1" customWidth="1"/>
    <col min="5" max="5" width="23.28515625" style="12" customWidth="1"/>
    <col min="6" max="6" width="13.7109375" style="17" bestFit="1" customWidth="1"/>
    <col min="7" max="7" width="14.28515625" style="12" customWidth="1"/>
    <col min="8" max="8" width="2.7109375" style="4" customWidth="1"/>
    <col min="9" max="9" width="6.28515625" style="4" hidden="1" customWidth="1"/>
    <col min="10" max="10" width="13.140625" style="12" customWidth="1"/>
    <col min="11" max="11" width="11.85546875" style="18" bestFit="1" customWidth="1"/>
    <col min="12" max="12" width="12.7109375" style="18" bestFit="1" customWidth="1"/>
    <col min="13" max="13" width="13.7109375" style="18" bestFit="1" customWidth="1"/>
    <col min="14" max="14" width="11.42578125" style="18"/>
    <col min="15" max="16384" width="11.42578125" style="4"/>
  </cols>
  <sheetData>
    <row r="1" spans="1:14" ht="18.75" x14ac:dyDescent="0.3">
      <c r="B1" s="274" t="s">
        <v>496</v>
      </c>
      <c r="C1" s="274"/>
      <c r="D1" s="274"/>
      <c r="E1" s="274"/>
      <c r="F1" s="274"/>
      <c r="G1" s="2"/>
      <c r="H1" s="3"/>
      <c r="I1" s="3"/>
      <c r="K1" s="4"/>
      <c r="L1" s="4"/>
      <c r="M1" s="4"/>
      <c r="N1" s="4"/>
    </row>
    <row r="2" spans="1:14" x14ac:dyDescent="0.25">
      <c r="A2" s="168"/>
      <c r="B2" s="305"/>
      <c r="C2" s="305"/>
      <c r="D2" s="6"/>
      <c r="E2" s="7"/>
      <c r="F2" s="6"/>
      <c r="G2" s="7"/>
      <c r="H2" s="3"/>
      <c r="I2" s="3"/>
      <c r="K2" s="4"/>
      <c r="L2" s="4"/>
      <c r="M2" s="4"/>
      <c r="N2" s="4"/>
    </row>
    <row r="3" spans="1:14" ht="35.25" thickBot="1" x14ac:dyDescent="0.4">
      <c r="A3" s="169" t="s">
        <v>0</v>
      </c>
      <c r="B3" s="170" t="s">
        <v>473</v>
      </c>
      <c r="C3" s="171" t="s">
        <v>474</v>
      </c>
      <c r="D3" s="172" t="s">
        <v>475</v>
      </c>
      <c r="E3" s="173" t="s">
        <v>476</v>
      </c>
      <c r="F3" s="8" t="s">
        <v>477</v>
      </c>
      <c r="G3" s="174" t="s">
        <v>478</v>
      </c>
      <c r="H3" s="3"/>
      <c r="I3" s="3"/>
      <c r="J3" s="175" t="s">
        <v>479</v>
      </c>
      <c r="K3" s="4"/>
      <c r="L3" s="4"/>
      <c r="M3" s="4"/>
      <c r="N3" s="4"/>
    </row>
    <row r="4" spans="1:14" thickTop="1" x14ac:dyDescent="0.25">
      <c r="A4" s="184">
        <v>42230</v>
      </c>
      <c r="B4" s="176" t="s">
        <v>485</v>
      </c>
      <c r="C4" s="177" t="s">
        <v>483</v>
      </c>
      <c r="D4" s="17">
        <v>27185.119999999999</v>
      </c>
      <c r="E4" s="177"/>
      <c r="G4" s="180">
        <f t="shared" ref="G4" si="0">D4-F4</f>
        <v>27185.119999999999</v>
      </c>
      <c r="H4" s="178"/>
      <c r="I4" s="178"/>
      <c r="J4" s="12" t="s">
        <v>480</v>
      </c>
      <c r="K4" s="178"/>
      <c r="L4" s="4"/>
      <c r="M4" s="4"/>
      <c r="N4" s="4"/>
    </row>
    <row r="5" spans="1:14" ht="15" x14ac:dyDescent="0.25">
      <c r="A5" s="184">
        <v>42233</v>
      </c>
      <c r="B5" s="176" t="s">
        <v>487</v>
      </c>
      <c r="C5" s="177" t="s">
        <v>345</v>
      </c>
      <c r="D5" s="17">
        <v>552.38</v>
      </c>
      <c r="E5" s="177" t="s">
        <v>488</v>
      </c>
      <c r="G5" s="180">
        <f t="shared" ref="G5:G6" si="1">D5-F5</f>
        <v>552.38</v>
      </c>
      <c r="H5" s="178"/>
      <c r="I5" s="178"/>
      <c r="J5" s="12" t="s">
        <v>484</v>
      </c>
      <c r="K5" s="179"/>
      <c r="L5" s="179"/>
      <c r="M5" s="4"/>
      <c r="N5" s="4"/>
    </row>
    <row r="6" spans="1:14" ht="15" x14ac:dyDescent="0.25">
      <c r="A6" s="184">
        <v>42235</v>
      </c>
      <c r="B6" s="176" t="s">
        <v>489</v>
      </c>
      <c r="C6" s="177" t="s">
        <v>486</v>
      </c>
      <c r="D6" s="17">
        <v>106.14</v>
      </c>
      <c r="E6" s="177"/>
      <c r="G6" s="180">
        <f t="shared" si="1"/>
        <v>106.14</v>
      </c>
      <c r="H6" s="178"/>
      <c r="I6" s="178"/>
      <c r="J6" s="12" t="s">
        <v>480</v>
      </c>
      <c r="K6" s="179"/>
      <c r="L6" s="179"/>
      <c r="M6" s="4"/>
      <c r="N6" s="4"/>
    </row>
    <row r="7" spans="1:14" ht="15" x14ac:dyDescent="0.25">
      <c r="A7" s="184">
        <v>42238</v>
      </c>
      <c r="B7" s="176" t="s">
        <v>490</v>
      </c>
      <c r="C7" s="177" t="s">
        <v>345</v>
      </c>
      <c r="D7" s="17">
        <v>964.16</v>
      </c>
      <c r="E7" s="177" t="s">
        <v>488</v>
      </c>
      <c r="G7" s="180">
        <f t="shared" ref="G7:G11" si="2">D7-F7</f>
        <v>964.16</v>
      </c>
      <c r="H7" s="178"/>
      <c r="I7" s="178"/>
      <c r="J7" s="12" t="s">
        <v>484</v>
      </c>
      <c r="K7" s="179"/>
      <c r="L7" s="179"/>
      <c r="M7" s="4"/>
      <c r="N7" s="4"/>
    </row>
    <row r="8" spans="1:14" ht="15" x14ac:dyDescent="0.25">
      <c r="A8" s="184">
        <v>42243</v>
      </c>
      <c r="B8" s="176" t="s">
        <v>492</v>
      </c>
      <c r="C8" s="177" t="s">
        <v>491</v>
      </c>
      <c r="D8" s="17">
        <v>1117.2</v>
      </c>
      <c r="E8" s="177"/>
      <c r="G8" s="180">
        <f t="shared" si="2"/>
        <v>1117.2</v>
      </c>
      <c r="H8" s="178"/>
      <c r="I8" s="178"/>
      <c r="J8" s="12" t="s">
        <v>480</v>
      </c>
      <c r="K8" s="179"/>
      <c r="L8" s="179"/>
      <c r="M8" s="4"/>
      <c r="N8" s="4"/>
    </row>
    <row r="9" spans="1:14" ht="15" x14ac:dyDescent="0.25">
      <c r="A9" s="184">
        <v>42244</v>
      </c>
      <c r="B9" s="176" t="s">
        <v>493</v>
      </c>
      <c r="C9" s="177" t="s">
        <v>481</v>
      </c>
      <c r="D9" s="17">
        <v>1036.3499999999999</v>
      </c>
      <c r="E9" s="177"/>
      <c r="G9" s="180">
        <f t="shared" si="2"/>
        <v>1036.3499999999999</v>
      </c>
      <c r="H9" s="178"/>
      <c r="I9" s="178"/>
      <c r="J9" s="12" t="s">
        <v>482</v>
      </c>
      <c r="K9" s="179"/>
      <c r="L9" s="179"/>
      <c r="M9" s="4"/>
      <c r="N9" s="4"/>
    </row>
    <row r="10" spans="1:14" ht="15" x14ac:dyDescent="0.25">
      <c r="A10" s="184">
        <v>42245</v>
      </c>
      <c r="B10" s="176" t="s">
        <v>494</v>
      </c>
      <c r="C10" s="177" t="s">
        <v>491</v>
      </c>
      <c r="D10" s="17">
        <v>1011.36</v>
      </c>
      <c r="E10" s="177"/>
      <c r="G10" s="180">
        <f t="shared" si="2"/>
        <v>1011.36</v>
      </c>
      <c r="H10" s="178"/>
      <c r="I10" s="178"/>
      <c r="J10" s="12" t="s">
        <v>480</v>
      </c>
      <c r="K10" s="179"/>
      <c r="L10" s="179"/>
      <c r="M10" s="4"/>
      <c r="N10" s="4"/>
    </row>
    <row r="11" spans="1:14" ht="15" x14ac:dyDescent="0.25">
      <c r="A11" s="184">
        <v>42245</v>
      </c>
      <c r="B11" s="176" t="s">
        <v>495</v>
      </c>
      <c r="C11" s="177" t="s">
        <v>491</v>
      </c>
      <c r="D11" s="17">
        <v>1166.0999999999999</v>
      </c>
      <c r="E11" s="177"/>
      <c r="G11" s="180">
        <f t="shared" si="2"/>
        <v>1166.0999999999999</v>
      </c>
      <c r="H11" s="178"/>
      <c r="I11" s="178"/>
      <c r="J11" s="12" t="s">
        <v>480</v>
      </c>
      <c r="K11" s="179"/>
      <c r="L11" s="179"/>
      <c r="M11" s="4"/>
      <c r="N11" s="4"/>
    </row>
    <row r="12" spans="1:14" x14ac:dyDescent="0.25">
      <c r="B12" s="181"/>
      <c r="G12" s="183"/>
    </row>
    <row r="13" spans="1:14" ht="15" x14ac:dyDescent="0.25">
      <c r="A13" s="182"/>
      <c r="B13" s="181"/>
      <c r="C13" s="4"/>
      <c r="D13" s="4"/>
      <c r="E13" s="4"/>
      <c r="F13" s="4"/>
      <c r="G13" s="156"/>
      <c r="J13" s="4"/>
      <c r="K13" s="4"/>
      <c r="L13" s="4"/>
      <c r="M13" s="4"/>
      <c r="N13" s="4"/>
    </row>
    <row r="14" spans="1:14" ht="15" x14ac:dyDescent="0.25">
      <c r="A14" s="182"/>
      <c r="B14" s="181"/>
      <c r="C14" s="4"/>
      <c r="D14" s="4"/>
      <c r="E14" s="4"/>
      <c r="F14" s="4"/>
      <c r="G14" s="160">
        <f>SUM(G4:G13)</f>
        <v>33138.81</v>
      </c>
      <c r="J14" s="4"/>
      <c r="K14" s="4"/>
      <c r="L14" s="4"/>
      <c r="M14" s="4"/>
      <c r="N14" s="4"/>
    </row>
    <row r="15" spans="1:14" ht="15" x14ac:dyDescent="0.25">
      <c r="A15" s="182"/>
      <c r="B15" s="181"/>
      <c r="C15" s="4"/>
      <c r="D15" s="4"/>
      <c r="E15" s="4"/>
      <c r="F15" s="4"/>
      <c r="G15" s="156"/>
      <c r="J15" s="4"/>
      <c r="K15" s="4"/>
      <c r="L15" s="4"/>
      <c r="M15" s="4"/>
      <c r="N15" s="4"/>
    </row>
    <row r="16" spans="1:14" ht="15" x14ac:dyDescent="0.25">
      <c r="A16" s="182"/>
      <c r="B16" s="181"/>
      <c r="C16" s="4"/>
      <c r="D16" s="4"/>
      <c r="E16" s="4"/>
      <c r="F16" s="4"/>
      <c r="G16" s="4"/>
      <c r="J16" s="4"/>
      <c r="K16" s="4"/>
      <c r="L16" s="4"/>
      <c r="M16" s="4"/>
      <c r="N16" s="4"/>
    </row>
    <row r="17" spans="1:14" ht="15" x14ac:dyDescent="0.25">
      <c r="A17" s="182"/>
      <c r="B17" s="181"/>
      <c r="C17" s="4"/>
      <c r="D17" s="4"/>
      <c r="E17" s="4"/>
      <c r="F17" s="4"/>
      <c r="G17" s="4"/>
      <c r="J17" s="4"/>
      <c r="K17" s="4"/>
      <c r="L17" s="4"/>
      <c r="M17" s="4"/>
      <c r="N17" s="4"/>
    </row>
    <row r="18" spans="1:14" ht="15" x14ac:dyDescent="0.25">
      <c r="A18" s="182"/>
      <c r="B18" s="181"/>
      <c r="C18" s="4"/>
      <c r="D18" s="4"/>
      <c r="E18" s="4"/>
      <c r="F18" s="4"/>
      <c r="G18" s="4"/>
      <c r="J18" s="4"/>
      <c r="K18" s="4"/>
      <c r="L18" s="4"/>
      <c r="M18" s="4"/>
      <c r="N18" s="4"/>
    </row>
    <row r="19" spans="1:14" ht="15" x14ac:dyDescent="0.25">
      <c r="A19" s="182"/>
      <c r="B19" s="181"/>
      <c r="C19" s="4"/>
      <c r="D19" s="4"/>
      <c r="E19" s="4"/>
      <c r="F19" s="4"/>
      <c r="G19" s="4"/>
      <c r="J19" s="4"/>
      <c r="K19" s="4"/>
      <c r="L19" s="4"/>
      <c r="M19" s="4"/>
      <c r="N19" s="4"/>
    </row>
    <row r="20" spans="1:14" ht="15" x14ac:dyDescent="0.25">
      <c r="A20" s="182"/>
      <c r="B20" s="181"/>
      <c r="C20" s="4"/>
      <c r="D20" s="4"/>
      <c r="E20" s="4"/>
      <c r="F20" s="4"/>
      <c r="G20" s="4"/>
      <c r="J20" s="4"/>
      <c r="K20" s="4"/>
      <c r="L20" s="4"/>
      <c r="M20" s="4"/>
      <c r="N20" s="4"/>
    </row>
    <row r="21" spans="1:14" ht="15" x14ac:dyDescent="0.25">
      <c r="A21" s="182"/>
      <c r="B21" s="181"/>
      <c r="C21" s="4"/>
      <c r="D21" s="4"/>
      <c r="E21" s="4"/>
      <c r="F21" s="4"/>
      <c r="G21" s="4"/>
      <c r="J21" s="4"/>
      <c r="K21" s="4"/>
      <c r="L21" s="4"/>
      <c r="M21" s="4"/>
      <c r="N21" s="4"/>
    </row>
    <row r="22" spans="1:14" ht="15" x14ac:dyDescent="0.25">
      <c r="A22" s="182"/>
      <c r="B22" s="181"/>
      <c r="C22" s="4"/>
      <c r="D22" s="4"/>
      <c r="E22" s="4"/>
      <c r="F22" s="4"/>
      <c r="G22" s="4"/>
      <c r="J22" s="4"/>
      <c r="K22" s="4"/>
      <c r="L22" s="4"/>
      <c r="M22" s="4"/>
      <c r="N22" s="4"/>
    </row>
    <row r="23" spans="1:14" ht="15" x14ac:dyDescent="0.25">
      <c r="A23" s="182"/>
      <c r="B23" s="181"/>
      <c r="C23" s="4"/>
      <c r="D23" s="4"/>
      <c r="E23" s="4"/>
      <c r="F23" s="4"/>
      <c r="G23" s="4"/>
      <c r="J23" s="4"/>
      <c r="K23" s="4"/>
      <c r="L23" s="4"/>
      <c r="M23" s="4"/>
      <c r="N23" s="4"/>
    </row>
    <row r="24" spans="1:14" ht="15" x14ac:dyDescent="0.25">
      <c r="A24" s="182"/>
      <c r="B24" s="181"/>
      <c r="C24" s="4"/>
      <c r="D24" s="4"/>
      <c r="E24" s="4"/>
      <c r="F24" s="4"/>
      <c r="G24" s="4"/>
      <c r="J24" s="4"/>
      <c r="K24" s="4"/>
      <c r="L24" s="4"/>
      <c r="M24" s="4"/>
      <c r="N24" s="4"/>
    </row>
    <row r="25" spans="1:14" ht="15" x14ac:dyDescent="0.25">
      <c r="A25" s="182"/>
      <c r="B25" s="181"/>
      <c r="C25" s="4"/>
      <c r="D25" s="4"/>
      <c r="E25" s="4"/>
      <c r="F25" s="4"/>
      <c r="G25" s="4"/>
      <c r="J25" s="4"/>
      <c r="K25" s="4"/>
      <c r="L25" s="4"/>
      <c r="M25" s="4"/>
      <c r="N25" s="4"/>
    </row>
    <row r="26" spans="1:14" ht="15" x14ac:dyDescent="0.25">
      <c r="A26" s="182"/>
      <c r="B26" s="181"/>
      <c r="C26" s="4"/>
      <c r="D26" s="4"/>
      <c r="E26" s="4"/>
      <c r="F26" s="4"/>
      <c r="G26" s="4"/>
      <c r="J26" s="4"/>
      <c r="K26" s="4"/>
      <c r="L26" s="4"/>
      <c r="M26" s="4"/>
      <c r="N26" s="4"/>
    </row>
    <row r="27" spans="1:14" ht="15" x14ac:dyDescent="0.25">
      <c r="A27" s="182"/>
      <c r="B27" s="181"/>
      <c r="C27" s="4"/>
      <c r="D27" s="4"/>
      <c r="E27" s="4"/>
      <c r="F27" s="4"/>
      <c r="G27" s="4"/>
      <c r="J27" s="4"/>
      <c r="K27" s="4"/>
      <c r="L27" s="4"/>
      <c r="M27" s="4"/>
      <c r="N27" s="4"/>
    </row>
    <row r="28" spans="1:14" ht="15" x14ac:dyDescent="0.25">
      <c r="A28" s="182"/>
      <c r="B28" s="181"/>
      <c r="C28" s="4"/>
      <c r="D28" s="4"/>
      <c r="E28" s="4"/>
      <c r="F28" s="4"/>
      <c r="G28" s="4"/>
      <c r="J28" s="4"/>
      <c r="K28" s="4"/>
      <c r="L28" s="4"/>
      <c r="M28" s="4"/>
      <c r="N28" s="4"/>
    </row>
    <row r="29" spans="1:14" ht="15" x14ac:dyDescent="0.25">
      <c r="A29" s="182"/>
      <c r="B29" s="181"/>
      <c r="C29" s="4"/>
      <c r="D29" s="4"/>
      <c r="E29" s="4"/>
      <c r="F29" s="4"/>
      <c r="G29" s="4"/>
      <c r="J29" s="4"/>
      <c r="K29" s="4"/>
      <c r="L29" s="4"/>
      <c r="M29" s="4"/>
      <c r="N29" s="4"/>
    </row>
    <row r="30" spans="1:14" ht="15" x14ac:dyDescent="0.25">
      <c r="A30" s="182"/>
      <c r="B30" s="181"/>
      <c r="C30" s="4"/>
      <c r="D30" s="4"/>
      <c r="E30" s="4"/>
      <c r="F30" s="4"/>
      <c r="G30" s="4"/>
      <c r="J30" s="4"/>
      <c r="K30" s="4"/>
      <c r="L30" s="4"/>
      <c r="M30" s="4"/>
      <c r="N30" s="4"/>
    </row>
    <row r="31" spans="1:14" ht="15" x14ac:dyDescent="0.25">
      <c r="A31" s="182"/>
      <c r="B31" s="181"/>
      <c r="C31" s="4"/>
      <c r="D31" s="4"/>
      <c r="E31" s="4"/>
      <c r="F31" s="4"/>
      <c r="G31" s="4"/>
      <c r="J31" s="4"/>
      <c r="K31" s="4"/>
      <c r="L31" s="4"/>
      <c r="M31" s="4"/>
      <c r="N31" s="4"/>
    </row>
    <row r="32" spans="1:14" ht="15" x14ac:dyDescent="0.25">
      <c r="A32" s="182"/>
      <c r="B32" s="181"/>
      <c r="C32" s="4"/>
      <c r="D32" s="4"/>
      <c r="E32" s="4"/>
      <c r="F32" s="4"/>
      <c r="G32" s="4"/>
      <c r="J32" s="4"/>
      <c r="K32" s="4"/>
      <c r="L32" s="4"/>
      <c r="M32" s="4"/>
      <c r="N32" s="4"/>
    </row>
    <row r="33" spans="1:14" ht="15" x14ac:dyDescent="0.25">
      <c r="A33" s="182"/>
      <c r="B33" s="181"/>
      <c r="C33" s="4"/>
      <c r="D33" s="4"/>
      <c r="E33" s="4"/>
      <c r="F33" s="4"/>
      <c r="G33" s="4"/>
      <c r="J33" s="4"/>
      <c r="K33" s="4"/>
      <c r="L33" s="4"/>
      <c r="M33" s="4"/>
      <c r="N33" s="4"/>
    </row>
    <row r="34" spans="1:14" ht="15" x14ac:dyDescent="0.25">
      <c r="A34" s="182"/>
      <c r="B34" s="181"/>
      <c r="C34" s="4"/>
      <c r="D34" s="4"/>
      <c r="E34" s="4"/>
      <c r="F34" s="4"/>
      <c r="G34" s="4"/>
      <c r="J34" s="4"/>
      <c r="K34" s="4"/>
      <c r="L34" s="4"/>
      <c r="M34" s="4"/>
      <c r="N34" s="4"/>
    </row>
    <row r="35" spans="1:14" ht="15" x14ac:dyDescent="0.25">
      <c r="A35" s="182"/>
      <c r="B35" s="181"/>
      <c r="C35" s="4"/>
      <c r="D35" s="4"/>
      <c r="E35" s="4"/>
      <c r="F35" s="4"/>
      <c r="G35" s="4"/>
      <c r="J35" s="4"/>
      <c r="K35" s="4"/>
      <c r="L35" s="4"/>
      <c r="M35" s="4"/>
      <c r="N35" s="4"/>
    </row>
    <row r="36" spans="1:14" ht="15" x14ac:dyDescent="0.25">
      <c r="A36" s="182"/>
      <c r="B36" s="181"/>
      <c r="C36" s="4"/>
      <c r="D36" s="4"/>
      <c r="E36" s="4"/>
      <c r="F36" s="4"/>
      <c r="G36" s="4"/>
      <c r="J36" s="4"/>
      <c r="K36" s="4"/>
      <c r="L36" s="4"/>
      <c r="M36" s="4"/>
      <c r="N36" s="4"/>
    </row>
    <row r="37" spans="1:14" ht="15" x14ac:dyDescent="0.25">
      <c r="A37" s="182"/>
      <c r="B37" s="181"/>
      <c r="C37" s="4"/>
      <c r="D37" s="4"/>
      <c r="E37" s="4"/>
      <c r="F37" s="4"/>
      <c r="G37" s="4"/>
      <c r="J37" s="4"/>
      <c r="K37" s="4"/>
      <c r="L37" s="4"/>
      <c r="M37" s="4"/>
      <c r="N37" s="4"/>
    </row>
    <row r="38" spans="1:14" ht="15" x14ac:dyDescent="0.25">
      <c r="A38" s="182"/>
      <c r="B38" s="181"/>
      <c r="C38" s="4"/>
      <c r="D38" s="4"/>
      <c r="E38" s="4"/>
      <c r="F38" s="4"/>
      <c r="G38" s="4"/>
      <c r="J38" s="4"/>
      <c r="K38" s="4"/>
      <c r="L38" s="4"/>
      <c r="M38" s="4"/>
      <c r="N38" s="4"/>
    </row>
    <row r="39" spans="1:14" ht="15" x14ac:dyDescent="0.25">
      <c r="A39" s="182"/>
      <c r="B39" s="181"/>
      <c r="C39" s="4"/>
      <c r="D39" s="4"/>
      <c r="E39" s="4"/>
      <c r="F39" s="4"/>
      <c r="G39" s="4"/>
      <c r="J39" s="4"/>
      <c r="K39" s="4"/>
      <c r="L39" s="4"/>
      <c r="M39" s="4"/>
      <c r="N39" s="4"/>
    </row>
    <row r="40" spans="1:14" ht="15" x14ac:dyDescent="0.25">
      <c r="A40" s="182"/>
      <c r="B40" s="181"/>
      <c r="C40" s="4"/>
      <c r="D40" s="4"/>
      <c r="E40" s="4"/>
      <c r="F40" s="4"/>
      <c r="G40" s="4"/>
      <c r="J40" s="4"/>
      <c r="K40" s="4"/>
      <c r="L40" s="4"/>
      <c r="M40" s="4"/>
      <c r="N40" s="4"/>
    </row>
    <row r="41" spans="1:14" ht="15" x14ac:dyDescent="0.25">
      <c r="A41" s="182"/>
      <c r="B41" s="181"/>
      <c r="C41" s="4"/>
      <c r="D41" s="4"/>
      <c r="E41" s="4"/>
      <c r="F41" s="4"/>
      <c r="G41" s="4"/>
      <c r="J41" s="4"/>
      <c r="K41" s="4"/>
      <c r="L41" s="4"/>
      <c r="M41" s="4"/>
      <c r="N41" s="4"/>
    </row>
    <row r="42" spans="1:14" ht="15" x14ac:dyDescent="0.25">
      <c r="A42" s="182"/>
      <c r="B42" s="181"/>
      <c r="C42" s="4"/>
      <c r="D42" s="4"/>
      <c r="E42" s="4"/>
      <c r="F42" s="4"/>
      <c r="G42" s="4"/>
      <c r="J42" s="4"/>
      <c r="K42" s="4"/>
      <c r="L42" s="4"/>
      <c r="M42" s="4"/>
      <c r="N42" s="4"/>
    </row>
    <row r="43" spans="1:14" ht="15" x14ac:dyDescent="0.25">
      <c r="A43" s="182"/>
      <c r="B43" s="181"/>
      <c r="C43" s="4"/>
      <c r="D43" s="4"/>
      <c r="E43" s="4"/>
      <c r="F43" s="4"/>
      <c r="G43" s="4"/>
      <c r="J43" s="4"/>
      <c r="K43" s="4"/>
      <c r="L43" s="4"/>
      <c r="M43" s="4"/>
      <c r="N43" s="4"/>
    </row>
    <row r="44" spans="1:14" ht="15" x14ac:dyDescent="0.25">
      <c r="A44" s="182"/>
      <c r="B44" s="181"/>
      <c r="C44" s="4"/>
      <c r="D44" s="4"/>
      <c r="E44" s="4"/>
      <c r="F44" s="4"/>
      <c r="G44" s="4"/>
      <c r="J44" s="4"/>
      <c r="K44" s="4"/>
      <c r="L44" s="4"/>
      <c r="M44" s="4"/>
      <c r="N44" s="4"/>
    </row>
    <row r="45" spans="1:14" ht="15" x14ac:dyDescent="0.25">
      <c r="A45" s="182"/>
      <c r="B45" s="181"/>
      <c r="C45" s="4"/>
      <c r="D45" s="4"/>
      <c r="E45" s="4"/>
      <c r="F45" s="4"/>
      <c r="G45" s="4"/>
      <c r="J45" s="4"/>
      <c r="K45" s="4"/>
      <c r="L45" s="4"/>
      <c r="M45" s="4"/>
      <c r="N45" s="4"/>
    </row>
    <row r="46" spans="1:14" ht="15" x14ac:dyDescent="0.25">
      <c r="A46" s="182"/>
      <c r="B46" s="181"/>
      <c r="C46" s="4"/>
      <c r="D46" s="4"/>
      <c r="E46" s="4"/>
      <c r="F46" s="4"/>
      <c r="G46" s="4"/>
      <c r="J46" s="4"/>
      <c r="K46" s="4"/>
      <c r="L46" s="4"/>
      <c r="M46" s="4"/>
      <c r="N46" s="4"/>
    </row>
    <row r="47" spans="1:14" ht="15" x14ac:dyDescent="0.25">
      <c r="A47" s="182"/>
      <c r="B47" s="181"/>
      <c r="C47" s="4"/>
      <c r="D47" s="4"/>
      <c r="E47" s="4"/>
      <c r="F47" s="4"/>
      <c r="G47" s="4"/>
      <c r="J47" s="4"/>
      <c r="K47" s="4"/>
      <c r="L47" s="4"/>
      <c r="M47" s="4"/>
      <c r="N47" s="4"/>
    </row>
    <row r="48" spans="1:14" ht="15" x14ac:dyDescent="0.25">
      <c r="A48" s="182"/>
      <c r="B48" s="181"/>
      <c r="C48" s="4"/>
      <c r="D48" s="4"/>
      <c r="E48" s="4"/>
      <c r="F48" s="4"/>
      <c r="G48" s="4"/>
      <c r="J48" s="4"/>
      <c r="K48" s="4"/>
      <c r="L48" s="4"/>
      <c r="M48" s="4"/>
      <c r="N48" s="4"/>
    </row>
    <row r="49" spans="1:14" ht="15" x14ac:dyDescent="0.25">
      <c r="A49" s="182"/>
      <c r="B49" s="181"/>
      <c r="C49" s="4"/>
      <c r="D49" s="4"/>
      <c r="E49" s="4"/>
      <c r="F49" s="4"/>
      <c r="G49" s="4"/>
      <c r="J49" s="4"/>
      <c r="K49" s="4"/>
      <c r="L49" s="4"/>
      <c r="M49" s="4"/>
      <c r="N49" s="4"/>
    </row>
    <row r="50" spans="1:14" ht="15" x14ac:dyDescent="0.25">
      <c r="A50" s="182"/>
      <c r="B50" s="181"/>
      <c r="C50" s="4"/>
      <c r="D50" s="4"/>
      <c r="E50" s="4"/>
      <c r="F50" s="4"/>
      <c r="G50" s="4"/>
      <c r="J50" s="4"/>
      <c r="K50" s="4"/>
      <c r="L50" s="4"/>
      <c r="M50" s="4"/>
      <c r="N50" s="4"/>
    </row>
    <row r="51" spans="1:14" ht="15" x14ac:dyDescent="0.25">
      <c r="A51" s="182"/>
      <c r="B51" s="181"/>
      <c r="C51" s="4"/>
      <c r="D51" s="4"/>
      <c r="E51" s="4"/>
      <c r="F51" s="4"/>
      <c r="G51" s="4"/>
      <c r="J51" s="4"/>
      <c r="K51" s="4"/>
      <c r="L51" s="4"/>
      <c r="M51" s="4"/>
      <c r="N51" s="4"/>
    </row>
    <row r="52" spans="1:14" ht="15" x14ac:dyDescent="0.25">
      <c r="A52" s="182"/>
      <c r="B52" s="181"/>
      <c r="C52" s="4"/>
      <c r="D52" s="4"/>
      <c r="E52" s="4"/>
      <c r="F52" s="4"/>
      <c r="G52" s="4"/>
      <c r="J52" s="4"/>
      <c r="K52" s="4"/>
      <c r="L52" s="4"/>
      <c r="M52" s="4"/>
      <c r="N52" s="4"/>
    </row>
    <row r="53" spans="1:14" ht="15" x14ac:dyDescent="0.25">
      <c r="A53" s="182"/>
      <c r="B53" s="181"/>
      <c r="C53" s="4"/>
      <c r="D53" s="4"/>
      <c r="E53" s="4"/>
      <c r="F53" s="4"/>
      <c r="G53" s="4"/>
      <c r="J53" s="4"/>
      <c r="K53" s="4"/>
      <c r="L53" s="4"/>
      <c r="M53" s="4"/>
      <c r="N53" s="4"/>
    </row>
    <row r="54" spans="1:14" ht="15" x14ac:dyDescent="0.25">
      <c r="A54" s="182"/>
      <c r="B54" s="181"/>
      <c r="C54" s="4"/>
      <c r="D54" s="4"/>
      <c r="E54" s="4"/>
      <c r="F54" s="4"/>
      <c r="G54" s="4"/>
      <c r="J54" s="4"/>
      <c r="K54" s="4"/>
      <c r="L54" s="4"/>
      <c r="M54" s="4"/>
      <c r="N54" s="4"/>
    </row>
    <row r="55" spans="1:14" ht="15" x14ac:dyDescent="0.25">
      <c r="A55" s="182"/>
      <c r="B55" s="181"/>
      <c r="C55" s="4"/>
      <c r="D55" s="4"/>
      <c r="E55" s="4"/>
      <c r="F55" s="4"/>
      <c r="G55" s="4"/>
      <c r="J55" s="4"/>
      <c r="K55" s="4"/>
      <c r="L55" s="4"/>
      <c r="M55" s="4"/>
      <c r="N55" s="4"/>
    </row>
    <row r="56" spans="1:14" ht="15" x14ac:dyDescent="0.25">
      <c r="A56" s="182"/>
      <c r="B56" s="181"/>
      <c r="C56" s="4"/>
      <c r="D56" s="4"/>
      <c r="E56" s="4"/>
      <c r="F56" s="4"/>
      <c r="G56" s="4"/>
      <c r="J56" s="4"/>
      <c r="K56" s="4"/>
      <c r="L56" s="4"/>
      <c r="M56" s="4"/>
      <c r="N56" s="4"/>
    </row>
    <row r="57" spans="1:14" ht="15" x14ac:dyDescent="0.25">
      <c r="A57" s="182"/>
      <c r="B57" s="181"/>
      <c r="C57" s="4"/>
      <c r="D57" s="4"/>
      <c r="E57" s="4"/>
      <c r="F57" s="4"/>
      <c r="G57" s="4"/>
      <c r="J57" s="4"/>
      <c r="K57" s="4"/>
      <c r="L57" s="4"/>
      <c r="M57" s="4"/>
      <c r="N57" s="4"/>
    </row>
    <row r="58" spans="1:14" ht="15" x14ac:dyDescent="0.25">
      <c r="A58" s="182"/>
      <c r="B58" s="181"/>
      <c r="C58" s="4"/>
      <c r="D58" s="4"/>
      <c r="E58" s="4"/>
      <c r="F58" s="4"/>
      <c r="G58" s="4"/>
      <c r="J58" s="4"/>
      <c r="K58" s="4"/>
      <c r="L58" s="4"/>
      <c r="M58" s="4"/>
      <c r="N58" s="4"/>
    </row>
    <row r="59" spans="1:14" ht="15" x14ac:dyDescent="0.25">
      <c r="A59" s="182"/>
      <c r="B59" s="181"/>
      <c r="C59" s="4"/>
      <c r="D59" s="4"/>
      <c r="E59" s="4"/>
      <c r="F59" s="4"/>
      <c r="G59" s="4"/>
      <c r="J59" s="4"/>
      <c r="K59" s="4"/>
      <c r="L59" s="4"/>
      <c r="M59" s="4"/>
      <c r="N59" s="4"/>
    </row>
    <row r="60" spans="1:14" ht="15" x14ac:dyDescent="0.25">
      <c r="A60" s="182"/>
      <c r="B60" s="181"/>
      <c r="C60" s="4"/>
      <c r="D60" s="4"/>
      <c r="E60" s="4"/>
      <c r="F60" s="4"/>
      <c r="G60" s="4"/>
      <c r="J60" s="4"/>
      <c r="K60" s="4"/>
      <c r="L60" s="4"/>
      <c r="M60" s="4"/>
      <c r="N60" s="4"/>
    </row>
    <row r="61" spans="1:14" ht="15" x14ac:dyDescent="0.25">
      <c r="A61" s="182"/>
      <c r="B61" s="181"/>
      <c r="C61" s="4"/>
      <c r="D61" s="4"/>
      <c r="E61" s="4"/>
      <c r="F61" s="4"/>
      <c r="G61" s="4"/>
      <c r="J61" s="4"/>
      <c r="K61" s="4"/>
      <c r="L61" s="4"/>
      <c r="M61" s="4"/>
      <c r="N61" s="4"/>
    </row>
    <row r="62" spans="1:14" ht="15" x14ac:dyDescent="0.25">
      <c r="A62" s="182"/>
      <c r="B62" s="181"/>
      <c r="C62" s="4"/>
      <c r="D62" s="4"/>
      <c r="E62" s="4"/>
      <c r="F62" s="4"/>
      <c r="G62" s="4"/>
      <c r="J62" s="4"/>
      <c r="K62" s="4"/>
      <c r="L62" s="4"/>
      <c r="M62" s="4"/>
      <c r="N62" s="4"/>
    </row>
    <row r="63" spans="1:14" ht="15" x14ac:dyDescent="0.25">
      <c r="A63" s="182"/>
      <c r="B63" s="181"/>
      <c r="C63" s="4"/>
      <c r="D63" s="4"/>
      <c r="E63" s="4"/>
      <c r="F63" s="4"/>
      <c r="G63" s="4"/>
      <c r="J63" s="4"/>
      <c r="K63" s="4"/>
      <c r="L63" s="4"/>
      <c r="M63" s="4"/>
      <c r="N63" s="4"/>
    </row>
    <row r="64" spans="1:14" ht="15" x14ac:dyDescent="0.25">
      <c r="A64" s="182"/>
      <c r="B64" s="181"/>
      <c r="C64" s="4"/>
      <c r="D64" s="4"/>
      <c r="E64" s="4"/>
      <c r="F64" s="4"/>
      <c r="G64" s="4"/>
      <c r="J64" s="4"/>
      <c r="K64" s="4"/>
      <c r="L64" s="4"/>
      <c r="M64" s="4"/>
      <c r="N64" s="4"/>
    </row>
    <row r="65" spans="1:14" ht="15" x14ac:dyDescent="0.25">
      <c r="A65" s="182"/>
      <c r="B65" s="181"/>
      <c r="C65" s="4"/>
      <c r="D65" s="4"/>
      <c r="E65" s="4"/>
      <c r="F65" s="4"/>
      <c r="G65" s="4"/>
      <c r="J65" s="4"/>
      <c r="K65" s="4"/>
      <c r="L65" s="4"/>
      <c r="M65" s="4"/>
      <c r="N65" s="4"/>
    </row>
    <row r="66" spans="1:14" ht="15" x14ac:dyDescent="0.25">
      <c r="A66" s="182"/>
      <c r="B66" s="181"/>
      <c r="C66" s="4"/>
      <c r="D66" s="4"/>
      <c r="E66" s="4"/>
      <c r="F66" s="4"/>
      <c r="G66" s="4"/>
      <c r="J66" s="4"/>
      <c r="K66" s="4"/>
      <c r="L66" s="4"/>
      <c r="M66" s="4"/>
      <c r="N66" s="4"/>
    </row>
    <row r="67" spans="1:14" ht="15" x14ac:dyDescent="0.25">
      <c r="A67" s="182"/>
      <c r="B67" s="181"/>
      <c r="C67" s="4"/>
      <c r="D67" s="4"/>
      <c r="E67" s="4"/>
      <c r="F67" s="4"/>
      <c r="G67" s="4"/>
      <c r="J67" s="4"/>
      <c r="K67" s="4"/>
      <c r="L67" s="4"/>
      <c r="M67" s="4"/>
      <c r="N67" s="4"/>
    </row>
    <row r="68" spans="1:14" ht="15" x14ac:dyDescent="0.25">
      <c r="A68" s="182"/>
      <c r="B68" s="181"/>
      <c r="C68" s="4"/>
      <c r="D68" s="4"/>
      <c r="E68" s="4"/>
      <c r="F68" s="4"/>
      <c r="G68" s="4"/>
      <c r="J68" s="4"/>
      <c r="K68" s="4"/>
      <c r="L68" s="4"/>
      <c r="M68" s="4"/>
      <c r="N68" s="4"/>
    </row>
    <row r="69" spans="1:14" ht="15" x14ac:dyDescent="0.25">
      <c r="A69" s="182"/>
      <c r="B69" s="181"/>
      <c r="C69" s="4"/>
      <c r="D69" s="4"/>
      <c r="E69" s="4"/>
      <c r="F69" s="4"/>
      <c r="G69" s="4"/>
      <c r="J69" s="4"/>
      <c r="K69" s="4"/>
      <c r="L69" s="4"/>
      <c r="M69" s="4"/>
      <c r="N69" s="4"/>
    </row>
    <row r="70" spans="1:14" ht="15" x14ac:dyDescent="0.25">
      <c r="A70" s="182"/>
      <c r="B70" s="181"/>
      <c r="C70" s="4"/>
      <c r="D70" s="4"/>
      <c r="E70" s="4"/>
      <c r="F70" s="4"/>
      <c r="G70" s="4"/>
      <c r="J70" s="4"/>
      <c r="K70" s="4"/>
      <c r="L70" s="4"/>
      <c r="M70" s="4"/>
      <c r="N70" s="4"/>
    </row>
    <row r="71" spans="1:14" ht="15" x14ac:dyDescent="0.25">
      <c r="A71" s="182"/>
      <c r="B71" s="181"/>
      <c r="C71" s="4"/>
      <c r="D71" s="4"/>
      <c r="E71" s="4"/>
      <c r="F71" s="4"/>
      <c r="G71" s="4"/>
      <c r="J71" s="4"/>
      <c r="K71" s="4"/>
      <c r="L71" s="4"/>
      <c r="M71" s="4"/>
      <c r="N71" s="4"/>
    </row>
    <row r="72" spans="1:14" ht="15" x14ac:dyDescent="0.25">
      <c r="A72" s="182"/>
      <c r="B72" s="181"/>
      <c r="C72" s="4"/>
      <c r="D72" s="4"/>
      <c r="E72" s="4"/>
      <c r="F72" s="4"/>
      <c r="G72" s="4"/>
      <c r="J72" s="4"/>
      <c r="K72" s="4"/>
      <c r="L72" s="4"/>
      <c r="M72" s="4"/>
      <c r="N72" s="4"/>
    </row>
    <row r="73" spans="1:14" ht="15" x14ac:dyDescent="0.25">
      <c r="A73" s="182"/>
      <c r="B73" s="181"/>
      <c r="C73" s="4"/>
      <c r="D73" s="4"/>
      <c r="E73" s="4"/>
      <c r="F73" s="4"/>
      <c r="G73" s="4"/>
      <c r="J73" s="4"/>
      <c r="K73" s="4"/>
      <c r="L73" s="4"/>
      <c r="M73" s="4"/>
      <c r="N73" s="4"/>
    </row>
    <row r="74" spans="1:14" ht="15" x14ac:dyDescent="0.25">
      <c r="A74" s="182"/>
      <c r="B74" s="181"/>
      <c r="C74" s="4"/>
      <c r="D74" s="4"/>
      <c r="E74" s="4"/>
      <c r="F74" s="4"/>
      <c r="G74" s="4"/>
      <c r="J74" s="4"/>
      <c r="K74" s="4"/>
      <c r="L74" s="4"/>
      <c r="M74" s="4"/>
      <c r="N74" s="4"/>
    </row>
    <row r="75" spans="1:14" ht="15" x14ac:dyDescent="0.25">
      <c r="A75" s="182"/>
      <c r="B75" s="181"/>
      <c r="C75" s="4"/>
      <c r="D75" s="4"/>
      <c r="E75" s="4"/>
      <c r="F75" s="4"/>
      <c r="G75" s="4"/>
      <c r="J75" s="4"/>
      <c r="K75" s="4"/>
      <c r="L75" s="4"/>
      <c r="M75" s="4"/>
      <c r="N75" s="4"/>
    </row>
    <row r="76" spans="1:14" ht="15" x14ac:dyDescent="0.25">
      <c r="A76" s="182"/>
      <c r="B76" s="181"/>
      <c r="C76" s="4"/>
      <c r="D76" s="4"/>
      <c r="E76" s="4"/>
      <c r="F76" s="4"/>
      <c r="G76" s="4"/>
      <c r="J76" s="4"/>
      <c r="K76" s="4"/>
      <c r="L76" s="4"/>
      <c r="M76" s="4"/>
      <c r="N76" s="4"/>
    </row>
    <row r="77" spans="1:14" ht="15" x14ac:dyDescent="0.25">
      <c r="A77" s="182"/>
      <c r="B77" s="181"/>
      <c r="C77" s="4"/>
      <c r="D77" s="4"/>
      <c r="E77" s="4"/>
      <c r="F77" s="4"/>
      <c r="G77" s="4"/>
      <c r="J77" s="4"/>
      <c r="K77" s="4"/>
      <c r="L77" s="4"/>
      <c r="M77" s="4"/>
      <c r="N77" s="4"/>
    </row>
    <row r="78" spans="1:14" ht="15" x14ac:dyDescent="0.25">
      <c r="A78" s="182"/>
      <c r="B78" s="181"/>
      <c r="C78" s="4"/>
      <c r="D78" s="4"/>
      <c r="E78" s="4"/>
      <c r="F78" s="4"/>
      <c r="G78" s="4"/>
      <c r="J78" s="4"/>
      <c r="K78" s="4"/>
      <c r="L78" s="4"/>
      <c r="M78" s="4"/>
      <c r="N78" s="4"/>
    </row>
    <row r="79" spans="1:14" ht="15" x14ac:dyDescent="0.25">
      <c r="A79" s="182"/>
      <c r="B79" s="181"/>
      <c r="C79" s="4"/>
      <c r="D79" s="4"/>
      <c r="E79" s="4"/>
      <c r="F79" s="4"/>
      <c r="G79" s="4"/>
      <c r="J79" s="4"/>
      <c r="K79" s="4"/>
      <c r="L79" s="4"/>
      <c r="M79" s="4"/>
      <c r="N79" s="4"/>
    </row>
    <row r="80" spans="1:14" ht="15" x14ac:dyDescent="0.25">
      <c r="A80" s="182"/>
      <c r="B80" s="181"/>
      <c r="C80" s="4"/>
      <c r="D80" s="4"/>
      <c r="E80" s="4"/>
      <c r="F80" s="4"/>
      <c r="G80" s="4"/>
      <c r="J80" s="4"/>
      <c r="K80" s="4"/>
      <c r="L80" s="4"/>
      <c r="M80" s="4"/>
      <c r="N80" s="4"/>
    </row>
    <row r="81" spans="1:14" ht="15" x14ac:dyDescent="0.25">
      <c r="A81" s="182"/>
      <c r="B81" s="181"/>
      <c r="C81" s="4"/>
      <c r="D81" s="4"/>
      <c r="E81" s="4"/>
      <c r="F81" s="4"/>
      <c r="G81" s="4"/>
      <c r="J81" s="4"/>
      <c r="K81" s="4"/>
      <c r="L81" s="4"/>
      <c r="M81" s="4"/>
      <c r="N81" s="4"/>
    </row>
    <row r="82" spans="1:14" ht="15" x14ac:dyDescent="0.25">
      <c r="A82" s="182"/>
      <c r="B82" s="181"/>
      <c r="C82" s="4"/>
      <c r="D82" s="4"/>
      <c r="E82" s="4"/>
      <c r="F82" s="4"/>
      <c r="G82" s="4"/>
      <c r="J82" s="4"/>
      <c r="K82" s="4"/>
      <c r="L82" s="4"/>
      <c r="M82" s="4"/>
      <c r="N82" s="4"/>
    </row>
    <row r="83" spans="1:14" ht="15" x14ac:dyDescent="0.25">
      <c r="A83" s="182"/>
      <c r="B83" s="181"/>
      <c r="C83" s="4"/>
      <c r="D83" s="4"/>
      <c r="E83" s="4"/>
      <c r="F83" s="4"/>
      <c r="G83" s="4"/>
      <c r="J83" s="4"/>
      <c r="K83" s="4"/>
      <c r="L83" s="4"/>
      <c r="M83" s="4"/>
      <c r="N83" s="4"/>
    </row>
    <row r="84" spans="1:14" ht="15" x14ac:dyDescent="0.25">
      <c r="A84" s="182"/>
      <c r="B84" s="181"/>
      <c r="C84" s="4"/>
      <c r="D84" s="4"/>
      <c r="E84" s="4"/>
      <c r="F84" s="4"/>
      <c r="G84" s="4"/>
      <c r="J84" s="4"/>
      <c r="K84" s="4"/>
      <c r="L84" s="4"/>
      <c r="M84" s="4"/>
      <c r="N84" s="4"/>
    </row>
    <row r="85" spans="1:14" ht="15" x14ac:dyDescent="0.25">
      <c r="A85" s="182"/>
      <c r="B85" s="181"/>
      <c r="C85" s="4"/>
      <c r="D85" s="4"/>
      <c r="E85" s="4"/>
      <c r="F85" s="4"/>
      <c r="G85" s="4"/>
      <c r="J85" s="4"/>
      <c r="K85" s="4"/>
      <c r="L85" s="4"/>
      <c r="M85" s="4"/>
      <c r="N85" s="4"/>
    </row>
    <row r="86" spans="1:14" ht="15" x14ac:dyDescent="0.25">
      <c r="A86" s="182"/>
      <c r="B86" s="181"/>
      <c r="C86" s="4"/>
      <c r="D86" s="4"/>
      <c r="E86" s="4"/>
      <c r="F86" s="4"/>
      <c r="G86" s="4"/>
      <c r="J86" s="4"/>
      <c r="K86" s="4"/>
      <c r="L86" s="4"/>
      <c r="M86" s="4"/>
      <c r="N86" s="4"/>
    </row>
    <row r="87" spans="1:14" ht="15" x14ac:dyDescent="0.25">
      <c r="A87" s="182"/>
      <c r="B87" s="181"/>
      <c r="C87" s="4"/>
      <c r="D87" s="4"/>
      <c r="E87" s="4"/>
      <c r="F87" s="4"/>
      <c r="G87" s="4"/>
      <c r="J87" s="4"/>
      <c r="K87" s="4"/>
      <c r="L87" s="4"/>
      <c r="M87" s="4"/>
      <c r="N87" s="4"/>
    </row>
    <row r="88" spans="1:14" ht="15" x14ac:dyDescent="0.25">
      <c r="A88" s="182"/>
      <c r="B88" s="181"/>
      <c r="C88" s="4"/>
      <c r="D88" s="4"/>
      <c r="E88" s="4"/>
      <c r="F88" s="4"/>
      <c r="G88" s="4"/>
      <c r="J88" s="4"/>
      <c r="K88" s="4"/>
      <c r="L88" s="4"/>
      <c r="M88" s="4"/>
      <c r="N88" s="4"/>
    </row>
    <row r="89" spans="1:14" ht="15" x14ac:dyDescent="0.25">
      <c r="A89" s="182"/>
      <c r="B89" s="181"/>
      <c r="C89" s="4"/>
      <c r="D89" s="4"/>
      <c r="E89" s="4"/>
      <c r="F89" s="4"/>
      <c r="G89" s="4"/>
      <c r="J89" s="4"/>
      <c r="K89" s="4"/>
      <c r="L89" s="4"/>
      <c r="M89" s="4"/>
      <c r="N89" s="4"/>
    </row>
    <row r="90" spans="1:14" ht="15" x14ac:dyDescent="0.25">
      <c r="A90" s="182"/>
      <c r="B90" s="181"/>
      <c r="C90" s="4"/>
      <c r="D90" s="4"/>
      <c r="E90" s="4"/>
      <c r="F90" s="4"/>
      <c r="G90" s="4"/>
      <c r="J90" s="4"/>
      <c r="K90" s="4"/>
      <c r="L90" s="4"/>
      <c r="M90" s="4"/>
      <c r="N90" s="4"/>
    </row>
    <row r="91" spans="1:14" ht="15" x14ac:dyDescent="0.25">
      <c r="A91" s="182"/>
      <c r="B91" s="181"/>
      <c r="C91" s="4"/>
      <c r="D91" s="4"/>
      <c r="E91" s="4"/>
      <c r="F91" s="4"/>
      <c r="G91" s="4"/>
      <c r="J91" s="4"/>
      <c r="K91" s="4"/>
      <c r="L91" s="4"/>
      <c r="M91" s="4"/>
      <c r="N91" s="4"/>
    </row>
    <row r="92" spans="1:14" ht="15" x14ac:dyDescent="0.25">
      <c r="A92" s="182"/>
      <c r="B92" s="181"/>
      <c r="C92" s="4"/>
      <c r="D92" s="4"/>
      <c r="E92" s="4"/>
      <c r="F92" s="4"/>
      <c r="G92" s="4"/>
      <c r="J92" s="4"/>
      <c r="K92" s="4"/>
      <c r="L92" s="4"/>
      <c r="M92" s="4"/>
      <c r="N92" s="4"/>
    </row>
    <row r="93" spans="1:14" ht="15" x14ac:dyDescent="0.25">
      <c r="A93" s="182"/>
      <c r="B93" s="181"/>
      <c r="C93" s="4"/>
      <c r="D93" s="4"/>
      <c r="E93" s="4"/>
      <c r="F93" s="4"/>
      <c r="G93" s="4"/>
      <c r="J93" s="4"/>
      <c r="K93" s="4"/>
      <c r="L93" s="4"/>
      <c r="M93" s="4"/>
      <c r="N93" s="4"/>
    </row>
    <row r="94" spans="1:14" ht="15" x14ac:dyDescent="0.25">
      <c r="A94" s="182"/>
      <c r="B94" s="181"/>
      <c r="C94" s="4"/>
      <c r="D94" s="4"/>
      <c r="E94" s="4"/>
      <c r="F94" s="4"/>
      <c r="G94" s="4"/>
      <c r="J94" s="4"/>
      <c r="K94" s="4"/>
      <c r="L94" s="4"/>
      <c r="M94" s="4"/>
      <c r="N94" s="4"/>
    </row>
    <row r="95" spans="1:14" ht="15" x14ac:dyDescent="0.25">
      <c r="A95" s="182"/>
      <c r="B95" s="181"/>
      <c r="C95" s="4"/>
      <c r="D95" s="4"/>
      <c r="E95" s="4"/>
      <c r="F95" s="4"/>
      <c r="G95" s="4"/>
      <c r="J95" s="4"/>
      <c r="K95" s="4"/>
      <c r="L95" s="4"/>
      <c r="M95" s="4"/>
      <c r="N95" s="4"/>
    </row>
    <row r="96" spans="1:14" ht="15" x14ac:dyDescent="0.25">
      <c r="A96" s="182"/>
      <c r="B96" s="181"/>
      <c r="C96" s="4"/>
      <c r="D96" s="4"/>
      <c r="E96" s="4"/>
      <c r="F96" s="4"/>
      <c r="G96" s="4"/>
      <c r="J96" s="4"/>
      <c r="K96" s="4"/>
      <c r="L96" s="4"/>
      <c r="M96" s="4"/>
      <c r="N96" s="4"/>
    </row>
    <row r="97" spans="1:14" ht="15" x14ac:dyDescent="0.25">
      <c r="A97" s="182"/>
      <c r="B97" s="181"/>
      <c r="C97" s="4"/>
      <c r="D97" s="4"/>
      <c r="E97" s="4"/>
      <c r="F97" s="4"/>
      <c r="G97" s="4"/>
      <c r="J97" s="4"/>
      <c r="K97" s="4"/>
      <c r="L97" s="4"/>
      <c r="M97" s="4"/>
      <c r="N97" s="4"/>
    </row>
    <row r="98" spans="1:14" ht="15" x14ac:dyDescent="0.25">
      <c r="A98" s="182"/>
      <c r="B98" s="181"/>
      <c r="C98" s="4"/>
      <c r="D98" s="4"/>
      <c r="E98" s="4"/>
      <c r="F98" s="4"/>
      <c r="G98" s="4"/>
      <c r="J98" s="4"/>
      <c r="K98" s="4"/>
      <c r="L98" s="4"/>
      <c r="M98" s="4"/>
      <c r="N98" s="4"/>
    </row>
    <row r="99" spans="1:14" ht="15" x14ac:dyDescent="0.25">
      <c r="A99" s="182"/>
      <c r="B99" s="181"/>
      <c r="C99" s="4"/>
      <c r="D99" s="4"/>
      <c r="E99" s="4"/>
      <c r="F99" s="4"/>
      <c r="G99" s="4"/>
      <c r="J99" s="4"/>
      <c r="K99" s="4"/>
      <c r="L99" s="4"/>
      <c r="M99" s="4"/>
      <c r="N99" s="4"/>
    </row>
    <row r="100" spans="1:14" ht="15" x14ac:dyDescent="0.25">
      <c r="A100" s="182"/>
      <c r="B100" s="181"/>
      <c r="C100" s="4"/>
      <c r="D100" s="4"/>
      <c r="E100" s="4"/>
      <c r="F100" s="4"/>
      <c r="G100" s="4"/>
      <c r="J100" s="4"/>
      <c r="K100" s="4"/>
      <c r="L100" s="4"/>
      <c r="M100" s="4"/>
      <c r="N100" s="4"/>
    </row>
    <row r="101" spans="1:14" ht="15" x14ac:dyDescent="0.25">
      <c r="A101" s="182"/>
      <c r="B101" s="181"/>
      <c r="C101" s="4"/>
      <c r="D101" s="4"/>
      <c r="E101" s="4"/>
      <c r="F101" s="4"/>
      <c r="G101" s="4"/>
      <c r="J101" s="4"/>
      <c r="K101" s="4"/>
      <c r="L101" s="4"/>
      <c r="M101" s="4"/>
      <c r="N101" s="4"/>
    </row>
    <row r="102" spans="1:14" ht="15" x14ac:dyDescent="0.25">
      <c r="A102" s="182"/>
      <c r="B102" s="181"/>
      <c r="C102" s="4"/>
      <c r="D102" s="4"/>
      <c r="E102" s="4"/>
      <c r="F102" s="4"/>
      <c r="G102" s="4"/>
      <c r="J102" s="4"/>
      <c r="K102" s="4"/>
      <c r="L102" s="4"/>
      <c r="M102" s="4"/>
      <c r="N102" s="4"/>
    </row>
    <row r="103" spans="1:14" ht="15" x14ac:dyDescent="0.25">
      <c r="A103" s="182"/>
      <c r="B103" s="181"/>
      <c r="C103" s="4"/>
      <c r="D103" s="4"/>
      <c r="E103" s="4"/>
      <c r="F103" s="4"/>
      <c r="G103" s="4"/>
      <c r="J103" s="4"/>
      <c r="K103" s="4"/>
      <c r="L103" s="4"/>
      <c r="M103" s="4"/>
      <c r="N103" s="4"/>
    </row>
    <row r="104" spans="1:14" ht="15" x14ac:dyDescent="0.25">
      <c r="A104" s="182"/>
      <c r="B104" s="181"/>
      <c r="C104" s="4"/>
      <c r="D104" s="4"/>
      <c r="E104" s="4"/>
      <c r="F104" s="4"/>
      <c r="G104" s="4"/>
      <c r="J104" s="4"/>
      <c r="K104" s="4"/>
      <c r="L104" s="4"/>
      <c r="M104" s="4"/>
      <c r="N104" s="4"/>
    </row>
    <row r="105" spans="1:14" ht="15" x14ac:dyDescent="0.25">
      <c r="A105" s="182"/>
      <c r="B105" s="181"/>
      <c r="C105" s="4"/>
      <c r="D105" s="4"/>
      <c r="E105" s="4"/>
      <c r="F105" s="4"/>
      <c r="G105" s="4"/>
      <c r="J105" s="4"/>
      <c r="K105" s="4"/>
      <c r="L105" s="4"/>
      <c r="M105" s="4"/>
      <c r="N105" s="4"/>
    </row>
    <row r="106" spans="1:14" ht="15" x14ac:dyDescent="0.25">
      <c r="A106" s="182"/>
      <c r="B106" s="181"/>
      <c r="C106" s="4"/>
      <c r="D106" s="4"/>
      <c r="E106" s="4"/>
      <c r="F106" s="4"/>
      <c r="G106" s="4"/>
      <c r="J106" s="4"/>
      <c r="K106" s="4"/>
      <c r="L106" s="4"/>
      <c r="M106" s="4"/>
      <c r="N106" s="4"/>
    </row>
    <row r="107" spans="1:14" ht="15" x14ac:dyDescent="0.25">
      <c r="A107" s="182"/>
      <c r="B107" s="181"/>
      <c r="C107" s="4"/>
      <c r="D107" s="4"/>
      <c r="E107" s="4"/>
      <c r="F107" s="4"/>
      <c r="G107" s="4"/>
      <c r="J107" s="4"/>
      <c r="K107" s="4"/>
      <c r="L107" s="4"/>
      <c r="M107" s="4"/>
      <c r="N107" s="4"/>
    </row>
    <row r="108" spans="1:14" ht="15" x14ac:dyDescent="0.25">
      <c r="A108" s="182"/>
      <c r="B108" s="181"/>
      <c r="C108" s="4"/>
      <c r="D108" s="4"/>
      <c r="E108" s="4"/>
      <c r="F108" s="4"/>
      <c r="G108" s="4"/>
      <c r="J108" s="4"/>
      <c r="K108" s="4"/>
      <c r="L108" s="4"/>
      <c r="M108" s="4"/>
      <c r="N108" s="4"/>
    </row>
    <row r="109" spans="1:14" ht="15" x14ac:dyDescent="0.25">
      <c r="A109" s="182"/>
      <c r="B109" s="181"/>
      <c r="C109" s="4"/>
      <c r="D109" s="4"/>
      <c r="E109" s="4"/>
      <c r="F109" s="4"/>
      <c r="G109" s="4"/>
      <c r="J109" s="4"/>
      <c r="K109" s="4"/>
      <c r="L109" s="4"/>
      <c r="M109" s="4"/>
      <c r="N109" s="4"/>
    </row>
    <row r="110" spans="1:14" ht="15" x14ac:dyDescent="0.25">
      <c r="A110" s="182"/>
      <c r="B110" s="181"/>
      <c r="C110" s="4"/>
      <c r="D110" s="4"/>
      <c r="E110" s="4"/>
      <c r="F110" s="4"/>
      <c r="G110" s="4"/>
      <c r="J110" s="4"/>
      <c r="K110" s="4"/>
      <c r="L110" s="4"/>
      <c r="M110" s="4"/>
      <c r="N110" s="4"/>
    </row>
    <row r="111" spans="1:14" ht="15" x14ac:dyDescent="0.25">
      <c r="A111" s="182"/>
      <c r="B111" s="181"/>
      <c r="C111" s="4"/>
      <c r="D111" s="4"/>
      <c r="E111" s="4"/>
      <c r="F111" s="4"/>
      <c r="G111" s="4"/>
      <c r="J111" s="4"/>
      <c r="K111" s="4"/>
      <c r="L111" s="4"/>
      <c r="M111" s="4"/>
      <c r="N111" s="4"/>
    </row>
    <row r="112" spans="1:14" ht="15" x14ac:dyDescent="0.25">
      <c r="A112" s="182"/>
      <c r="B112" s="181"/>
      <c r="C112" s="4"/>
      <c r="D112" s="4"/>
      <c r="E112" s="4"/>
      <c r="F112" s="4"/>
      <c r="G112" s="4"/>
      <c r="J112" s="4"/>
      <c r="K112" s="4"/>
      <c r="L112" s="4"/>
      <c r="M112" s="4"/>
      <c r="N112" s="4"/>
    </row>
    <row r="113" spans="1:14" ht="15" x14ac:dyDescent="0.25">
      <c r="A113" s="182"/>
      <c r="B113" s="181"/>
      <c r="C113" s="4"/>
      <c r="D113" s="4"/>
      <c r="E113" s="4"/>
      <c r="F113" s="4"/>
      <c r="G113" s="4"/>
      <c r="J113" s="4"/>
      <c r="K113" s="4"/>
      <c r="L113" s="4"/>
      <c r="M113" s="4"/>
      <c r="N113" s="4"/>
    </row>
    <row r="114" spans="1:14" ht="15" x14ac:dyDescent="0.25">
      <c r="A114" s="182"/>
      <c r="B114" s="181"/>
      <c r="C114" s="4"/>
      <c r="D114" s="4"/>
      <c r="E114" s="4"/>
      <c r="F114" s="4"/>
      <c r="G114" s="4"/>
      <c r="J114" s="4"/>
      <c r="K114" s="4"/>
      <c r="L114" s="4"/>
      <c r="M114" s="4"/>
      <c r="N114" s="4"/>
    </row>
    <row r="115" spans="1:14" ht="15" x14ac:dyDescent="0.25">
      <c r="A115" s="182"/>
      <c r="B115" s="181"/>
      <c r="C115" s="4"/>
      <c r="D115" s="4"/>
      <c r="E115" s="4"/>
      <c r="F115" s="4"/>
      <c r="G115" s="4"/>
      <c r="J115" s="4"/>
      <c r="K115" s="4"/>
      <c r="L115" s="4"/>
      <c r="M115" s="4"/>
      <c r="N115" s="4"/>
    </row>
    <row r="116" spans="1:14" ht="15" x14ac:dyDescent="0.25">
      <c r="A116" s="182"/>
      <c r="B116" s="181"/>
      <c r="C116" s="4"/>
      <c r="D116" s="4"/>
      <c r="E116" s="4"/>
      <c r="F116" s="4"/>
      <c r="G116" s="4"/>
      <c r="J116" s="4"/>
      <c r="K116" s="4"/>
      <c r="L116" s="4"/>
      <c r="M116" s="4"/>
      <c r="N116" s="4"/>
    </row>
    <row r="117" spans="1:14" ht="15" x14ac:dyDescent="0.25">
      <c r="A117" s="182"/>
      <c r="B117" s="181"/>
      <c r="C117" s="4"/>
      <c r="D117" s="4"/>
      <c r="E117" s="4"/>
      <c r="F117" s="4"/>
      <c r="G117" s="4"/>
      <c r="J117" s="4"/>
      <c r="K117" s="4"/>
      <c r="L117" s="4"/>
      <c r="M117" s="4"/>
      <c r="N117" s="4"/>
    </row>
    <row r="118" spans="1:14" ht="15" x14ac:dyDescent="0.25">
      <c r="A118" s="182"/>
      <c r="B118" s="181"/>
      <c r="C118" s="4"/>
      <c r="D118" s="4"/>
      <c r="E118" s="4"/>
      <c r="F118" s="4"/>
      <c r="G118" s="4"/>
      <c r="J118" s="4"/>
      <c r="K118" s="4"/>
      <c r="L118" s="4"/>
      <c r="M118" s="4"/>
      <c r="N118" s="4"/>
    </row>
    <row r="119" spans="1:14" ht="15" x14ac:dyDescent="0.25">
      <c r="A119" s="182"/>
      <c r="B119" s="181"/>
      <c r="C119" s="4"/>
      <c r="D119" s="4"/>
      <c r="E119" s="4"/>
      <c r="F119" s="4"/>
      <c r="G119" s="4"/>
      <c r="J119" s="4"/>
      <c r="K119" s="4"/>
      <c r="L119" s="4"/>
      <c r="M119" s="4"/>
      <c r="N119" s="4"/>
    </row>
    <row r="120" spans="1:14" ht="15" x14ac:dyDescent="0.25">
      <c r="A120" s="182"/>
      <c r="B120" s="181"/>
      <c r="C120" s="4"/>
      <c r="D120" s="4"/>
      <c r="E120" s="4"/>
      <c r="F120" s="4"/>
      <c r="G120" s="4"/>
      <c r="J120" s="4"/>
      <c r="K120" s="4"/>
      <c r="L120" s="4"/>
      <c r="M120" s="4"/>
      <c r="N120" s="4"/>
    </row>
    <row r="121" spans="1:14" ht="15" x14ac:dyDescent="0.25">
      <c r="A121" s="182"/>
      <c r="B121" s="181"/>
      <c r="C121" s="4"/>
      <c r="D121" s="4"/>
      <c r="E121" s="4"/>
      <c r="F121" s="4"/>
      <c r="G121" s="4"/>
      <c r="J121" s="4"/>
      <c r="K121" s="4"/>
      <c r="L121" s="4"/>
      <c r="M121" s="4"/>
      <c r="N121" s="4"/>
    </row>
    <row r="122" spans="1:14" ht="15" x14ac:dyDescent="0.25">
      <c r="A122" s="182"/>
      <c r="B122" s="181"/>
      <c r="C122" s="4"/>
      <c r="D122" s="4"/>
      <c r="E122" s="4"/>
      <c r="F122" s="4"/>
      <c r="G122" s="4"/>
      <c r="J122" s="4"/>
      <c r="K122" s="4"/>
      <c r="L122" s="4"/>
      <c r="M122" s="4"/>
      <c r="N122" s="4"/>
    </row>
    <row r="123" spans="1:14" ht="15" x14ac:dyDescent="0.25">
      <c r="A123" s="182"/>
      <c r="B123" s="181"/>
      <c r="C123" s="4"/>
      <c r="D123" s="4"/>
      <c r="E123" s="4"/>
      <c r="F123" s="4"/>
      <c r="G123" s="4"/>
      <c r="J123" s="4"/>
      <c r="K123" s="4"/>
      <c r="L123" s="4"/>
      <c r="M123" s="4"/>
      <c r="N123" s="4"/>
    </row>
    <row r="124" spans="1:14" ht="15" x14ac:dyDescent="0.25">
      <c r="A124" s="182"/>
      <c r="B124" s="181"/>
      <c r="C124" s="4"/>
      <c r="D124" s="4"/>
      <c r="E124" s="4"/>
      <c r="F124" s="4"/>
      <c r="G124" s="4"/>
      <c r="J124" s="4"/>
      <c r="K124" s="4"/>
      <c r="L124" s="4"/>
      <c r="M124" s="4"/>
      <c r="N124" s="4"/>
    </row>
    <row r="125" spans="1:14" ht="15" x14ac:dyDescent="0.25">
      <c r="A125" s="182"/>
      <c r="B125" s="181"/>
      <c r="C125" s="4"/>
      <c r="D125" s="4"/>
      <c r="E125" s="4"/>
      <c r="F125" s="4"/>
      <c r="G125" s="4"/>
      <c r="J125" s="4"/>
      <c r="K125" s="4"/>
      <c r="L125" s="4"/>
      <c r="M125" s="4"/>
      <c r="N125" s="4"/>
    </row>
    <row r="126" spans="1:14" ht="15" x14ac:dyDescent="0.25">
      <c r="A126" s="182"/>
      <c r="B126" s="181"/>
      <c r="C126" s="4"/>
      <c r="D126" s="4"/>
      <c r="E126" s="4"/>
      <c r="F126" s="4"/>
      <c r="G126" s="4"/>
      <c r="J126" s="4"/>
      <c r="K126" s="4"/>
      <c r="L126" s="4"/>
      <c r="M126" s="4"/>
      <c r="N126" s="4"/>
    </row>
    <row r="127" spans="1:14" ht="15" x14ac:dyDescent="0.25">
      <c r="A127" s="182"/>
      <c r="B127" s="181"/>
      <c r="C127" s="4"/>
      <c r="D127" s="4"/>
      <c r="E127" s="4"/>
      <c r="F127" s="4"/>
      <c r="G127" s="4"/>
      <c r="J127" s="4"/>
      <c r="K127" s="4"/>
      <c r="L127" s="4"/>
      <c r="M127" s="4"/>
      <c r="N127" s="4"/>
    </row>
    <row r="128" spans="1:14" ht="15" x14ac:dyDescent="0.25">
      <c r="A128" s="182"/>
      <c r="B128" s="181"/>
      <c r="C128" s="4"/>
      <c r="D128" s="4"/>
      <c r="E128" s="4"/>
      <c r="F128" s="4"/>
      <c r="G128" s="4"/>
      <c r="J128" s="4"/>
      <c r="K128" s="4"/>
      <c r="L128" s="4"/>
      <c r="M128" s="4"/>
      <c r="N128" s="4"/>
    </row>
    <row r="129" spans="1:14" ht="15" x14ac:dyDescent="0.25">
      <c r="A129" s="182"/>
      <c r="B129" s="181"/>
      <c r="C129" s="4"/>
      <c r="D129" s="4"/>
      <c r="E129" s="4"/>
      <c r="F129" s="4"/>
      <c r="G129" s="4"/>
      <c r="J129" s="4"/>
      <c r="K129" s="4"/>
      <c r="L129" s="4"/>
      <c r="M129" s="4"/>
      <c r="N129" s="4"/>
    </row>
    <row r="130" spans="1:14" ht="15" x14ac:dyDescent="0.25">
      <c r="A130" s="182"/>
      <c r="B130" s="181"/>
      <c r="C130" s="4"/>
      <c r="D130" s="4"/>
      <c r="E130" s="4"/>
      <c r="F130" s="4"/>
      <c r="G130" s="4"/>
      <c r="J130" s="4"/>
      <c r="K130" s="4"/>
      <c r="L130" s="4"/>
      <c r="M130" s="4"/>
      <c r="N130" s="4"/>
    </row>
    <row r="131" spans="1:14" ht="15" x14ac:dyDescent="0.25">
      <c r="A131" s="182"/>
      <c r="B131" s="181"/>
      <c r="C131" s="4"/>
      <c r="D131" s="4"/>
      <c r="E131" s="4"/>
      <c r="F131" s="4"/>
      <c r="G131" s="4"/>
      <c r="J131" s="4"/>
      <c r="K131" s="4"/>
      <c r="L131" s="4"/>
      <c r="M131" s="4"/>
      <c r="N131" s="4"/>
    </row>
    <row r="132" spans="1:14" ht="15" x14ac:dyDescent="0.25">
      <c r="A132" s="182"/>
      <c r="B132" s="181"/>
      <c r="C132" s="4"/>
      <c r="D132" s="4"/>
      <c r="E132" s="4"/>
      <c r="F132" s="4"/>
      <c r="G132" s="4"/>
      <c r="J132" s="4"/>
      <c r="K132" s="4"/>
      <c r="L132" s="4"/>
      <c r="M132" s="4"/>
      <c r="N132" s="4"/>
    </row>
    <row r="133" spans="1:14" ht="15" x14ac:dyDescent="0.25">
      <c r="A133" s="182"/>
      <c r="B133" s="181"/>
      <c r="C133" s="4"/>
      <c r="D133" s="4"/>
      <c r="E133" s="4"/>
      <c r="F133" s="4"/>
      <c r="G133" s="4"/>
      <c r="J133" s="4"/>
      <c r="K133" s="4"/>
      <c r="L133" s="4"/>
      <c r="M133" s="4"/>
      <c r="N133" s="4"/>
    </row>
    <row r="134" spans="1:14" ht="15" x14ac:dyDescent="0.25">
      <c r="A134" s="182"/>
      <c r="B134" s="181"/>
      <c r="C134" s="4"/>
      <c r="D134" s="4"/>
      <c r="E134" s="4"/>
      <c r="F134" s="4"/>
      <c r="G134" s="4"/>
      <c r="J134" s="4"/>
      <c r="K134" s="4"/>
      <c r="L134" s="4"/>
      <c r="M134" s="4"/>
      <c r="N134" s="4"/>
    </row>
    <row r="135" spans="1:14" ht="15" x14ac:dyDescent="0.25">
      <c r="A135" s="182"/>
      <c r="B135" s="181"/>
      <c r="C135" s="4"/>
      <c r="D135" s="4"/>
      <c r="E135" s="4"/>
      <c r="F135" s="4"/>
      <c r="G135" s="4"/>
      <c r="J135" s="4"/>
      <c r="K135" s="4"/>
      <c r="L135" s="4"/>
      <c r="M135" s="4"/>
      <c r="N135" s="4"/>
    </row>
    <row r="136" spans="1:14" ht="15" x14ac:dyDescent="0.25">
      <c r="A136" s="182"/>
      <c r="B136" s="181"/>
      <c r="C136" s="4"/>
      <c r="D136" s="4"/>
      <c r="E136" s="4"/>
      <c r="F136" s="4"/>
      <c r="G136" s="4"/>
      <c r="J136" s="4"/>
      <c r="K136" s="4"/>
      <c r="L136" s="4"/>
      <c r="M136" s="4"/>
      <c r="N136" s="4"/>
    </row>
    <row r="137" spans="1:14" x14ac:dyDescent="0.25">
      <c r="B137" s="181"/>
    </row>
    <row r="138" spans="1:14" x14ac:dyDescent="0.25">
      <c r="B138" s="181"/>
    </row>
    <row r="139" spans="1:14" x14ac:dyDescent="0.25">
      <c r="B139" s="181"/>
    </row>
    <row r="140" spans="1:14" x14ac:dyDescent="0.25">
      <c r="B140" s="181"/>
    </row>
    <row r="141" spans="1:14" x14ac:dyDescent="0.25">
      <c r="B141" s="181"/>
    </row>
    <row r="142" spans="1:14" x14ac:dyDescent="0.25">
      <c r="B142" s="181"/>
    </row>
    <row r="143" spans="1:14" x14ac:dyDescent="0.25">
      <c r="B143" s="181"/>
    </row>
    <row r="144" spans="1:14" x14ac:dyDescent="0.25">
      <c r="B144" s="181"/>
    </row>
    <row r="145" spans="1:14" x14ac:dyDescent="0.25">
      <c r="B145" s="181"/>
    </row>
    <row r="146" spans="1:14" x14ac:dyDescent="0.25">
      <c r="B146" s="181"/>
    </row>
    <row r="147" spans="1:14" x14ac:dyDescent="0.25">
      <c r="B147" s="181"/>
    </row>
    <row r="148" spans="1:14" ht="15" x14ac:dyDescent="0.25">
      <c r="A148" s="182"/>
      <c r="B148" s="181"/>
      <c r="C148" s="4"/>
      <c r="D148" s="4"/>
      <c r="E148" s="4"/>
      <c r="F148" s="4"/>
      <c r="G148" s="4"/>
      <c r="J148" s="4"/>
      <c r="K148" s="4"/>
      <c r="L148" s="4"/>
      <c r="M148" s="4"/>
      <c r="N148" s="4"/>
    </row>
    <row r="149" spans="1:14" ht="15" x14ac:dyDescent="0.25">
      <c r="A149" s="182"/>
      <c r="B149" s="181"/>
      <c r="C149" s="4"/>
      <c r="D149" s="4"/>
      <c r="E149" s="4"/>
      <c r="F149" s="4"/>
      <c r="G149" s="4"/>
      <c r="J149" s="4"/>
      <c r="K149" s="4"/>
      <c r="L149" s="4"/>
      <c r="M149" s="4"/>
      <c r="N149" s="4"/>
    </row>
    <row r="150" spans="1:14" ht="15" x14ac:dyDescent="0.25">
      <c r="A150" s="182"/>
      <c r="B150" s="181"/>
      <c r="C150" s="4"/>
      <c r="D150" s="4"/>
      <c r="E150" s="4"/>
      <c r="F150" s="4"/>
      <c r="G150" s="4"/>
      <c r="J150" s="4"/>
      <c r="K150" s="4"/>
      <c r="L150" s="4"/>
      <c r="M150" s="4"/>
      <c r="N150" s="4"/>
    </row>
    <row r="151" spans="1:14" ht="15" x14ac:dyDescent="0.25">
      <c r="A151" s="182"/>
      <c r="B151" s="181"/>
      <c r="C151" s="4"/>
      <c r="D151" s="4"/>
      <c r="E151" s="4"/>
      <c r="F151" s="4"/>
      <c r="G151" s="4"/>
      <c r="J151" s="4"/>
      <c r="K151" s="4"/>
      <c r="L151" s="4"/>
      <c r="M151" s="4"/>
      <c r="N151" s="4"/>
    </row>
    <row r="152" spans="1:14" ht="15" x14ac:dyDescent="0.25">
      <c r="A152" s="182"/>
      <c r="B152" s="181"/>
      <c r="C152" s="4"/>
      <c r="D152" s="4"/>
      <c r="E152" s="4"/>
      <c r="F152" s="4"/>
      <c r="G152" s="4"/>
      <c r="J152" s="4"/>
      <c r="K152" s="4"/>
      <c r="L152" s="4"/>
      <c r="M152" s="4"/>
      <c r="N152" s="4"/>
    </row>
    <row r="153" spans="1:14" ht="15" x14ac:dyDescent="0.25">
      <c r="A153" s="182"/>
      <c r="B153" s="181"/>
      <c r="C153" s="4"/>
      <c r="D153" s="4"/>
      <c r="E153" s="4"/>
      <c r="F153" s="4"/>
      <c r="G153" s="4"/>
      <c r="J153" s="4"/>
      <c r="K153" s="4"/>
      <c r="L153" s="4"/>
      <c r="M153" s="4"/>
      <c r="N153" s="4"/>
    </row>
    <row r="154" spans="1:14" ht="15" x14ac:dyDescent="0.25">
      <c r="A154" s="182"/>
      <c r="B154" s="181"/>
      <c r="C154" s="4"/>
      <c r="D154" s="4"/>
      <c r="E154" s="4"/>
      <c r="F154" s="4"/>
      <c r="G154" s="4"/>
      <c r="J154" s="4"/>
      <c r="K154" s="4"/>
      <c r="L154" s="4"/>
      <c r="M154" s="4"/>
      <c r="N154" s="4"/>
    </row>
    <row r="155" spans="1:14" ht="15" x14ac:dyDescent="0.25">
      <c r="A155" s="182"/>
      <c r="B155" s="181"/>
      <c r="C155" s="4"/>
      <c r="D155" s="4"/>
      <c r="E155" s="4"/>
      <c r="F155" s="4"/>
      <c r="G155" s="4"/>
      <c r="J155" s="4"/>
      <c r="K155" s="4"/>
      <c r="L155" s="4"/>
      <c r="M155" s="4"/>
      <c r="N155" s="4"/>
    </row>
    <row r="156" spans="1:14" ht="15" x14ac:dyDescent="0.25">
      <c r="A156" s="182"/>
      <c r="B156" s="181"/>
      <c r="C156" s="4"/>
      <c r="D156" s="4"/>
      <c r="E156" s="4"/>
      <c r="F156" s="4"/>
      <c r="G156" s="4"/>
      <c r="J156" s="4"/>
      <c r="K156" s="4"/>
      <c r="L156" s="4"/>
      <c r="M156" s="4"/>
      <c r="N156" s="4"/>
    </row>
    <row r="157" spans="1:14" ht="15" x14ac:dyDescent="0.25">
      <c r="A157" s="182"/>
      <c r="B157" s="181"/>
      <c r="C157" s="4"/>
      <c r="D157" s="4"/>
      <c r="E157" s="4"/>
      <c r="F157" s="4"/>
      <c r="G157" s="4"/>
      <c r="J157" s="4"/>
      <c r="K157" s="4"/>
      <c r="L157" s="4"/>
      <c r="M157" s="4"/>
      <c r="N157" s="4"/>
    </row>
    <row r="158" spans="1:14" ht="15" x14ac:dyDescent="0.25">
      <c r="A158" s="182"/>
      <c r="B158" s="181"/>
      <c r="C158" s="4"/>
      <c r="D158" s="4"/>
      <c r="E158" s="4"/>
      <c r="F158" s="4"/>
      <c r="G158" s="4"/>
      <c r="J158" s="4"/>
      <c r="K158" s="4"/>
      <c r="L158" s="4"/>
      <c r="M158" s="4"/>
      <c r="N158" s="4"/>
    </row>
    <row r="159" spans="1:14" ht="15" x14ac:dyDescent="0.25">
      <c r="A159" s="182"/>
      <c r="B159" s="181"/>
      <c r="C159" s="4"/>
      <c r="D159" s="4"/>
      <c r="E159" s="4"/>
      <c r="F159" s="4"/>
      <c r="G159" s="4"/>
      <c r="J159" s="4"/>
      <c r="K159" s="4"/>
      <c r="L159" s="4"/>
      <c r="M159" s="4"/>
      <c r="N159" s="4"/>
    </row>
    <row r="160" spans="1:14" ht="15" x14ac:dyDescent="0.25">
      <c r="A160" s="182"/>
      <c r="B160" s="181"/>
      <c r="C160" s="4"/>
      <c r="D160" s="4"/>
      <c r="E160" s="4"/>
      <c r="F160" s="4"/>
      <c r="G160" s="4"/>
      <c r="J160" s="4"/>
      <c r="K160" s="4"/>
      <c r="L160" s="4"/>
      <c r="M160" s="4"/>
      <c r="N160" s="4"/>
    </row>
    <row r="161" spans="1:14" ht="15" x14ac:dyDescent="0.25">
      <c r="A161" s="182"/>
      <c r="B161" s="181"/>
      <c r="C161" s="4"/>
      <c r="D161" s="4"/>
      <c r="E161" s="4"/>
      <c r="F161" s="4"/>
      <c r="G161" s="4"/>
      <c r="J161" s="4"/>
      <c r="K161" s="4"/>
      <c r="L161" s="4"/>
      <c r="M161" s="4"/>
      <c r="N161" s="4"/>
    </row>
    <row r="162" spans="1:14" ht="15" x14ac:dyDescent="0.25">
      <c r="A162" s="182"/>
      <c r="B162" s="181"/>
      <c r="C162" s="4"/>
      <c r="D162" s="4"/>
      <c r="E162" s="4"/>
      <c r="F162" s="4"/>
      <c r="G162" s="4"/>
      <c r="J162" s="4"/>
      <c r="K162" s="4"/>
      <c r="L162" s="4"/>
      <c r="M162" s="4"/>
      <c r="N162" s="4"/>
    </row>
    <row r="163" spans="1:14" ht="15" x14ac:dyDescent="0.25">
      <c r="A163" s="182"/>
      <c r="B163" s="181"/>
      <c r="C163" s="4"/>
      <c r="D163" s="4"/>
      <c r="E163" s="4"/>
      <c r="F163" s="4"/>
      <c r="G163" s="4"/>
      <c r="J163" s="4"/>
      <c r="K163" s="4"/>
      <c r="L163" s="4"/>
      <c r="M163" s="4"/>
      <c r="N163" s="4"/>
    </row>
    <row r="164" spans="1:14" ht="15" x14ac:dyDescent="0.25">
      <c r="A164" s="182"/>
      <c r="B164" s="181"/>
      <c r="C164" s="4"/>
      <c r="D164" s="4"/>
      <c r="E164" s="4"/>
      <c r="F164" s="4"/>
      <c r="G164" s="4"/>
      <c r="J164" s="4"/>
      <c r="K164" s="4"/>
      <c r="L164" s="4"/>
      <c r="M164" s="4"/>
      <c r="N164" s="4"/>
    </row>
    <row r="165" spans="1:14" ht="15" x14ac:dyDescent="0.25">
      <c r="A165" s="182"/>
      <c r="B165" s="181"/>
      <c r="C165" s="4"/>
      <c r="D165" s="4"/>
      <c r="E165" s="4"/>
      <c r="F165" s="4"/>
      <c r="G165" s="4"/>
      <c r="J165" s="4"/>
      <c r="K165" s="4"/>
      <c r="L165" s="4"/>
      <c r="M165" s="4"/>
      <c r="N165" s="4"/>
    </row>
    <row r="166" spans="1:14" ht="15" x14ac:dyDescent="0.25">
      <c r="A166" s="182"/>
      <c r="B166" s="181"/>
      <c r="C166" s="4"/>
      <c r="D166" s="4"/>
      <c r="E166" s="4"/>
      <c r="F166" s="4"/>
      <c r="G166" s="4"/>
      <c r="J166" s="4"/>
      <c r="K166" s="4"/>
      <c r="L166" s="4"/>
      <c r="M166" s="4"/>
      <c r="N166" s="4"/>
    </row>
    <row r="167" spans="1:14" ht="15" x14ac:dyDescent="0.25">
      <c r="A167" s="182"/>
      <c r="B167" s="181"/>
      <c r="C167" s="4"/>
      <c r="D167" s="4"/>
      <c r="E167" s="4"/>
      <c r="F167" s="4"/>
      <c r="G167" s="4"/>
      <c r="J167" s="4"/>
      <c r="K167" s="4"/>
      <c r="L167" s="4"/>
      <c r="M167" s="4"/>
      <c r="N167" s="4"/>
    </row>
    <row r="168" spans="1:14" ht="15" x14ac:dyDescent="0.25">
      <c r="A168" s="182"/>
      <c r="B168" s="181"/>
      <c r="C168" s="4"/>
      <c r="D168" s="4"/>
      <c r="E168" s="4"/>
      <c r="F168" s="4"/>
      <c r="G168" s="4"/>
      <c r="J168" s="4"/>
      <c r="K168" s="4"/>
      <c r="L168" s="4"/>
      <c r="M168" s="4"/>
      <c r="N168" s="4"/>
    </row>
    <row r="169" spans="1:14" ht="15" x14ac:dyDescent="0.25">
      <c r="A169" s="182"/>
      <c r="B169" s="181"/>
      <c r="C169" s="4"/>
      <c r="D169" s="4"/>
      <c r="E169" s="4"/>
      <c r="F169" s="4"/>
      <c r="G169" s="4"/>
      <c r="J169" s="4"/>
      <c r="K169" s="4"/>
      <c r="L169" s="4"/>
      <c r="M169" s="4"/>
      <c r="N169" s="4"/>
    </row>
    <row r="170" spans="1:14" ht="15" x14ac:dyDescent="0.25">
      <c r="A170" s="182"/>
      <c r="B170" s="181"/>
      <c r="C170" s="4"/>
      <c r="D170" s="4"/>
      <c r="E170" s="4"/>
      <c r="F170" s="4"/>
      <c r="G170" s="4"/>
      <c r="J170" s="4"/>
      <c r="K170" s="4"/>
      <c r="L170" s="4"/>
      <c r="M170" s="4"/>
      <c r="N170" s="4"/>
    </row>
    <row r="171" spans="1:14" ht="15" x14ac:dyDescent="0.25">
      <c r="A171" s="182"/>
      <c r="B171" s="181"/>
      <c r="C171" s="4"/>
      <c r="D171" s="4"/>
      <c r="E171" s="4"/>
      <c r="F171" s="4"/>
      <c r="G171" s="4"/>
      <c r="J171" s="4"/>
      <c r="K171" s="4"/>
      <c r="L171" s="4"/>
      <c r="M171" s="4"/>
      <c r="N171" s="4"/>
    </row>
    <row r="172" spans="1:14" ht="15" x14ac:dyDescent="0.25">
      <c r="A172" s="182"/>
      <c r="B172" s="181"/>
      <c r="C172" s="4"/>
      <c r="D172" s="4"/>
      <c r="E172" s="4"/>
      <c r="F172" s="4"/>
      <c r="G172" s="4"/>
      <c r="J172" s="4"/>
      <c r="K172" s="4"/>
      <c r="L172" s="4"/>
      <c r="M172" s="4"/>
      <c r="N172" s="4"/>
    </row>
    <row r="173" spans="1:14" ht="15" x14ac:dyDescent="0.25">
      <c r="A173" s="182"/>
      <c r="B173" s="181"/>
      <c r="C173" s="4"/>
      <c r="D173" s="4"/>
      <c r="E173" s="4"/>
      <c r="F173" s="4"/>
      <c r="G173" s="4"/>
      <c r="J173" s="4"/>
      <c r="K173" s="4"/>
      <c r="L173" s="4"/>
      <c r="M173" s="4"/>
      <c r="N173" s="4"/>
    </row>
    <row r="174" spans="1:14" ht="15" x14ac:dyDescent="0.25">
      <c r="A174" s="182"/>
      <c r="B174" s="181"/>
      <c r="C174" s="4"/>
      <c r="D174" s="4"/>
      <c r="E174" s="4"/>
      <c r="F174" s="4"/>
      <c r="G174" s="4"/>
      <c r="J174" s="4"/>
      <c r="K174" s="4"/>
      <c r="L174" s="4"/>
      <c r="M174" s="4"/>
      <c r="N174" s="4"/>
    </row>
    <row r="175" spans="1:14" ht="15" x14ac:dyDescent="0.25">
      <c r="A175" s="182"/>
      <c r="B175" s="181"/>
      <c r="C175" s="4"/>
      <c r="D175" s="4"/>
      <c r="E175" s="4"/>
      <c r="F175" s="4"/>
      <c r="G175" s="4"/>
      <c r="J175" s="4"/>
      <c r="K175" s="4"/>
      <c r="L175" s="4"/>
      <c r="M175" s="4"/>
      <c r="N175" s="4"/>
    </row>
    <row r="176" spans="1:14" ht="15" x14ac:dyDescent="0.25">
      <c r="A176" s="182"/>
      <c r="B176" s="181"/>
      <c r="C176" s="4"/>
      <c r="D176" s="4"/>
      <c r="E176" s="4"/>
      <c r="F176" s="4"/>
      <c r="G176" s="4"/>
      <c r="J176" s="4"/>
      <c r="K176" s="4"/>
      <c r="L176" s="4"/>
      <c r="M176" s="4"/>
      <c r="N176" s="4"/>
    </row>
    <row r="177" spans="1:14" ht="15" x14ac:dyDescent="0.25">
      <c r="A177" s="182"/>
      <c r="B177" s="181"/>
      <c r="C177" s="4"/>
      <c r="D177" s="4"/>
      <c r="E177" s="4"/>
      <c r="F177" s="4"/>
      <c r="G177" s="4"/>
      <c r="J177" s="4"/>
      <c r="K177" s="4"/>
      <c r="L177" s="4"/>
      <c r="M177" s="4"/>
      <c r="N177" s="4"/>
    </row>
    <row r="178" spans="1:14" ht="15" x14ac:dyDescent="0.25">
      <c r="A178" s="182"/>
      <c r="B178" s="181"/>
      <c r="C178" s="4"/>
      <c r="D178" s="4"/>
      <c r="E178" s="4"/>
      <c r="F178" s="4"/>
      <c r="G178" s="4"/>
      <c r="J178" s="4"/>
      <c r="K178" s="4"/>
      <c r="L178" s="4"/>
      <c r="M178" s="4"/>
      <c r="N178" s="4"/>
    </row>
    <row r="179" spans="1:14" ht="15" x14ac:dyDescent="0.25">
      <c r="A179" s="182"/>
      <c r="B179" s="181"/>
      <c r="C179" s="4"/>
      <c r="D179" s="4"/>
      <c r="E179" s="4"/>
      <c r="F179" s="4"/>
      <c r="G179" s="4"/>
      <c r="J179" s="4"/>
      <c r="K179" s="4"/>
      <c r="L179" s="4"/>
      <c r="M179" s="4"/>
      <c r="N179" s="4"/>
    </row>
    <row r="180" spans="1:14" ht="15" x14ac:dyDescent="0.25">
      <c r="A180" s="182"/>
      <c r="B180" s="181"/>
      <c r="C180" s="4"/>
      <c r="D180" s="4"/>
      <c r="E180" s="4"/>
      <c r="F180" s="4"/>
      <c r="G180" s="4"/>
      <c r="J180" s="4"/>
      <c r="K180" s="4"/>
      <c r="L180" s="4"/>
      <c r="M180" s="4"/>
      <c r="N180" s="4"/>
    </row>
    <row r="181" spans="1:14" ht="15" x14ac:dyDescent="0.25">
      <c r="A181" s="182"/>
      <c r="B181" s="181"/>
      <c r="C181" s="4"/>
      <c r="D181" s="4"/>
      <c r="E181" s="4"/>
      <c r="F181" s="4"/>
      <c r="G181" s="4"/>
      <c r="J181" s="4"/>
      <c r="K181" s="4"/>
      <c r="L181" s="4"/>
      <c r="M181" s="4"/>
      <c r="N181" s="4"/>
    </row>
    <row r="182" spans="1:14" ht="15" x14ac:dyDescent="0.25">
      <c r="A182" s="182"/>
      <c r="B182" s="181"/>
      <c r="C182" s="4"/>
      <c r="D182" s="4"/>
      <c r="E182" s="4"/>
      <c r="F182" s="4"/>
      <c r="G182" s="4"/>
      <c r="J182" s="4"/>
      <c r="K182" s="4"/>
      <c r="L182" s="4"/>
      <c r="M182" s="4"/>
      <c r="N182" s="4"/>
    </row>
    <row r="183" spans="1:14" ht="15" x14ac:dyDescent="0.25">
      <c r="A183" s="182"/>
      <c r="B183" s="181"/>
      <c r="C183" s="4"/>
      <c r="D183" s="4"/>
      <c r="E183" s="4"/>
      <c r="F183" s="4"/>
      <c r="G183" s="4"/>
      <c r="J183" s="4"/>
      <c r="K183" s="4"/>
      <c r="L183" s="4"/>
      <c r="M183" s="4"/>
      <c r="N183" s="4"/>
    </row>
    <row r="184" spans="1:14" ht="15" x14ac:dyDescent="0.25">
      <c r="A184" s="182"/>
      <c r="B184" s="181"/>
      <c r="C184" s="4"/>
      <c r="D184" s="4"/>
      <c r="E184" s="4"/>
      <c r="F184" s="4"/>
      <c r="G184" s="4"/>
      <c r="J184" s="4"/>
      <c r="K184" s="4"/>
      <c r="L184" s="4"/>
      <c r="M184" s="4"/>
      <c r="N184" s="4"/>
    </row>
    <row r="185" spans="1:14" ht="15" x14ac:dyDescent="0.25">
      <c r="A185" s="182"/>
      <c r="B185" s="181"/>
      <c r="C185" s="4"/>
      <c r="D185" s="4"/>
      <c r="E185" s="4"/>
      <c r="F185" s="4"/>
      <c r="G185" s="4"/>
      <c r="J185" s="4"/>
      <c r="K185" s="4"/>
      <c r="L185" s="4"/>
      <c r="M185" s="4"/>
      <c r="N185" s="4"/>
    </row>
    <row r="186" spans="1:14" ht="15" x14ac:dyDescent="0.25">
      <c r="A186" s="182"/>
      <c r="B186" s="181"/>
      <c r="C186" s="4"/>
      <c r="D186" s="4"/>
      <c r="E186" s="4"/>
      <c r="F186" s="4"/>
      <c r="G186" s="4"/>
      <c r="J186" s="4"/>
      <c r="K186" s="4"/>
      <c r="L186" s="4"/>
      <c r="M186" s="4"/>
      <c r="N186" s="4"/>
    </row>
    <row r="187" spans="1:14" ht="15" x14ac:dyDescent="0.25">
      <c r="A187" s="182"/>
      <c r="B187" s="181"/>
      <c r="C187" s="4"/>
      <c r="D187" s="4"/>
      <c r="E187" s="4"/>
      <c r="F187" s="4"/>
      <c r="G187" s="4"/>
      <c r="J187" s="4"/>
      <c r="K187" s="4"/>
      <c r="L187" s="4"/>
      <c r="M187" s="4"/>
      <c r="N187" s="4"/>
    </row>
    <row r="188" spans="1:14" ht="15" x14ac:dyDescent="0.25">
      <c r="A188" s="182"/>
      <c r="B188" s="181"/>
      <c r="C188" s="4"/>
      <c r="D188" s="4"/>
      <c r="E188" s="4"/>
      <c r="F188" s="4"/>
      <c r="G188" s="4"/>
      <c r="J188" s="4"/>
      <c r="K188" s="4"/>
      <c r="L188" s="4"/>
      <c r="M188" s="4"/>
      <c r="N188" s="4"/>
    </row>
    <row r="189" spans="1:14" ht="15" x14ac:dyDescent="0.25">
      <c r="A189" s="182"/>
      <c r="B189" s="181"/>
      <c r="C189" s="4"/>
      <c r="D189" s="4"/>
      <c r="E189" s="4"/>
      <c r="F189" s="4"/>
      <c r="G189" s="4"/>
      <c r="J189" s="4"/>
      <c r="K189" s="4"/>
      <c r="L189" s="4"/>
      <c r="M189" s="4"/>
      <c r="N189" s="4"/>
    </row>
    <row r="190" spans="1:14" ht="15" x14ac:dyDescent="0.25">
      <c r="A190" s="182"/>
      <c r="B190" s="181"/>
      <c r="C190" s="4"/>
      <c r="D190" s="4"/>
      <c r="E190" s="4"/>
      <c r="F190" s="4"/>
      <c r="G190" s="4"/>
      <c r="J190" s="4"/>
      <c r="K190" s="4"/>
      <c r="L190" s="4"/>
      <c r="M190" s="4"/>
      <c r="N190" s="4"/>
    </row>
    <row r="191" spans="1:14" ht="15" x14ac:dyDescent="0.25">
      <c r="A191" s="182"/>
      <c r="B191" s="181"/>
      <c r="C191" s="4"/>
      <c r="D191" s="4"/>
      <c r="E191" s="4"/>
      <c r="F191" s="4"/>
      <c r="G191" s="4"/>
      <c r="J191" s="4"/>
      <c r="K191" s="4"/>
      <c r="L191" s="4"/>
      <c r="M191" s="4"/>
      <c r="N191" s="4"/>
    </row>
    <row r="192" spans="1:14" ht="15" x14ac:dyDescent="0.25">
      <c r="A192" s="182"/>
      <c r="B192" s="4"/>
      <c r="C192" s="4"/>
      <c r="D192" s="4"/>
      <c r="E192" s="4"/>
      <c r="F192" s="4"/>
      <c r="G192" s="4"/>
      <c r="J192" s="4"/>
      <c r="K192" s="4"/>
      <c r="L192" s="4"/>
      <c r="M192" s="4"/>
      <c r="N192" s="4"/>
    </row>
    <row r="193" spans="1:14" ht="15" x14ac:dyDescent="0.25">
      <c r="A193" s="182"/>
      <c r="B193" s="4"/>
      <c r="C193" s="4"/>
      <c r="D193" s="4"/>
      <c r="E193" s="4"/>
      <c r="F193" s="4"/>
      <c r="G193" s="4"/>
      <c r="J193" s="4"/>
      <c r="K193" s="4"/>
      <c r="L193" s="4"/>
      <c r="M193" s="4"/>
      <c r="N193" s="4"/>
    </row>
    <row r="196" spans="1:14" ht="15" x14ac:dyDescent="0.25">
      <c r="A196" s="182"/>
      <c r="B196" s="4"/>
      <c r="C196" s="4"/>
      <c r="D196" s="4"/>
      <c r="E196" s="4"/>
      <c r="F196" s="4"/>
      <c r="G196" s="4"/>
      <c r="J196" s="4"/>
      <c r="K196" s="4"/>
      <c r="L196" s="4"/>
      <c r="M196" s="4"/>
      <c r="N196" s="4"/>
    </row>
    <row r="197" spans="1:14" ht="15" x14ac:dyDescent="0.25">
      <c r="A197" s="182"/>
      <c r="B197" s="4"/>
      <c r="C197" s="4"/>
      <c r="D197" s="4"/>
      <c r="E197" s="4"/>
      <c r="F197" s="4"/>
      <c r="G197" s="4"/>
      <c r="J197" s="4"/>
      <c r="K197" s="4"/>
      <c r="L197" s="4"/>
      <c r="M197" s="4"/>
      <c r="N197" s="4"/>
    </row>
    <row r="198" spans="1:14" ht="15" x14ac:dyDescent="0.25">
      <c r="A198" s="182"/>
      <c r="B198" s="4"/>
      <c r="C198" s="4"/>
      <c r="D198" s="4"/>
      <c r="E198" s="4"/>
      <c r="F198" s="4"/>
      <c r="G198" s="4"/>
      <c r="J198" s="4"/>
      <c r="K198" s="4"/>
      <c r="L198" s="4"/>
      <c r="M198" s="4"/>
      <c r="N198" s="4"/>
    </row>
    <row r="199" spans="1:14" ht="15" x14ac:dyDescent="0.25">
      <c r="A199" s="182"/>
      <c r="B199" s="4"/>
      <c r="C199" s="4"/>
      <c r="D199" s="4"/>
      <c r="E199" s="4"/>
      <c r="F199" s="4"/>
      <c r="G199" s="4"/>
      <c r="J199" s="4"/>
      <c r="K199" s="4"/>
      <c r="L199" s="4"/>
      <c r="M199" s="4"/>
      <c r="N199" s="4"/>
    </row>
    <row r="200" spans="1:14" ht="15" x14ac:dyDescent="0.25">
      <c r="A200" s="182"/>
      <c r="B200" s="4"/>
      <c r="C200" s="4"/>
      <c r="D200" s="4"/>
      <c r="E200" s="4"/>
      <c r="F200" s="4"/>
      <c r="G200" s="4"/>
      <c r="J200" s="4"/>
      <c r="K200" s="4"/>
      <c r="L200" s="4"/>
      <c r="M200" s="4"/>
      <c r="N200" s="4"/>
    </row>
    <row r="201" spans="1:14" ht="15" x14ac:dyDescent="0.25">
      <c r="A201" s="182"/>
      <c r="B201" s="4"/>
      <c r="C201" s="4"/>
      <c r="D201" s="4"/>
      <c r="E201" s="4"/>
      <c r="F201" s="4"/>
      <c r="G201" s="4"/>
      <c r="J201" s="4"/>
      <c r="K201" s="4"/>
      <c r="L201" s="4"/>
      <c r="M201" s="4"/>
      <c r="N201" s="4"/>
    </row>
    <row r="202" spans="1:14" ht="15" x14ac:dyDescent="0.25">
      <c r="A202" s="182"/>
      <c r="B202" s="4"/>
      <c r="C202" s="4"/>
      <c r="D202" s="4"/>
      <c r="E202" s="4"/>
      <c r="F202" s="4"/>
      <c r="G202" s="4"/>
      <c r="J202" s="4"/>
      <c r="K202" s="4"/>
      <c r="L202" s="4"/>
      <c r="M202" s="4"/>
      <c r="N202" s="4"/>
    </row>
    <row r="203" spans="1:14" ht="15" x14ac:dyDescent="0.25">
      <c r="A203" s="182"/>
      <c r="B203" s="4"/>
      <c r="C203" s="4"/>
      <c r="D203" s="4"/>
      <c r="E203" s="4"/>
      <c r="F203" s="4"/>
      <c r="G203" s="4"/>
      <c r="J203" s="4"/>
      <c r="K203" s="4"/>
      <c r="L203" s="4"/>
      <c r="M203" s="4"/>
      <c r="N203" s="4"/>
    </row>
    <row r="204" spans="1:14" ht="15" x14ac:dyDescent="0.25">
      <c r="A204" s="182"/>
      <c r="B204" s="4"/>
      <c r="C204" s="4"/>
      <c r="D204" s="4"/>
      <c r="E204" s="4"/>
      <c r="F204" s="4"/>
      <c r="G204" s="4"/>
      <c r="J204" s="4"/>
      <c r="K204" s="4"/>
      <c r="L204" s="4"/>
      <c r="M204" s="4"/>
      <c r="N204" s="4"/>
    </row>
    <row r="205" spans="1:14" ht="15" x14ac:dyDescent="0.25">
      <c r="A205" s="182"/>
      <c r="B205" s="4"/>
      <c r="C205" s="4"/>
      <c r="D205" s="4"/>
      <c r="E205" s="4"/>
      <c r="F205" s="4"/>
      <c r="G205" s="4"/>
      <c r="J205" s="4"/>
      <c r="K205" s="4"/>
      <c r="L205" s="4"/>
      <c r="M205" s="4"/>
      <c r="N205" s="4"/>
    </row>
    <row r="206" spans="1:14" ht="15" x14ac:dyDescent="0.25">
      <c r="A206" s="182"/>
      <c r="B206" s="4"/>
      <c r="C206" s="4"/>
      <c r="D206" s="4"/>
      <c r="E206" s="4"/>
      <c r="F206" s="4"/>
      <c r="G206" s="4"/>
      <c r="J206" s="4"/>
      <c r="K206" s="4"/>
      <c r="L206" s="4"/>
      <c r="M206" s="4"/>
      <c r="N206" s="4"/>
    </row>
    <row r="207" spans="1:14" ht="15" x14ac:dyDescent="0.25">
      <c r="A207" s="182"/>
      <c r="B207" s="4"/>
      <c r="C207" s="4"/>
      <c r="D207" s="4"/>
      <c r="E207" s="4"/>
      <c r="F207" s="4"/>
      <c r="G207" s="4"/>
      <c r="J207" s="4"/>
      <c r="K207" s="4"/>
      <c r="L207" s="4"/>
      <c r="M207" s="4"/>
      <c r="N207" s="4"/>
    </row>
    <row r="208" spans="1:14" ht="15" x14ac:dyDescent="0.25">
      <c r="A208" s="182"/>
      <c r="B208" s="4"/>
      <c r="C208" s="4"/>
      <c r="D208" s="4"/>
      <c r="E208" s="4"/>
      <c r="F208" s="4"/>
      <c r="G208" s="4"/>
      <c r="J208" s="4"/>
      <c r="K208" s="4"/>
      <c r="L208" s="4"/>
      <c r="M208" s="4"/>
      <c r="N208" s="4"/>
    </row>
    <row r="209" spans="1:14" ht="15" x14ac:dyDescent="0.25">
      <c r="A209" s="182"/>
      <c r="B209" s="4"/>
      <c r="C209" s="4"/>
      <c r="D209" s="4"/>
      <c r="E209" s="4"/>
      <c r="F209" s="4"/>
      <c r="G209" s="4"/>
      <c r="J209" s="4"/>
      <c r="K209" s="4"/>
      <c r="L209" s="4"/>
      <c r="M209" s="4"/>
      <c r="N209" s="4"/>
    </row>
    <row r="210" spans="1:14" ht="15" x14ac:dyDescent="0.25">
      <c r="A210" s="182"/>
      <c r="B210" s="4"/>
      <c r="C210" s="4"/>
      <c r="D210" s="4"/>
      <c r="E210" s="4"/>
      <c r="F210" s="4"/>
      <c r="G210" s="4"/>
      <c r="J210" s="4"/>
      <c r="K210" s="4"/>
      <c r="L210" s="4"/>
      <c r="M210" s="4"/>
      <c r="N210" s="4"/>
    </row>
    <row r="211" spans="1:14" ht="15" x14ac:dyDescent="0.25">
      <c r="A211" s="182"/>
      <c r="B211" s="4"/>
      <c r="C211" s="4"/>
      <c r="D211" s="4"/>
      <c r="E211" s="4"/>
      <c r="F211" s="4"/>
      <c r="G211" s="4"/>
      <c r="J211" s="4"/>
      <c r="K211" s="4"/>
      <c r="L211" s="4"/>
      <c r="M211" s="4"/>
      <c r="N211" s="4"/>
    </row>
    <row r="212" spans="1:14" ht="15" x14ac:dyDescent="0.25">
      <c r="A212" s="182"/>
      <c r="B212" s="4"/>
      <c r="C212" s="4"/>
      <c r="D212" s="4"/>
      <c r="E212" s="4"/>
      <c r="F212" s="4"/>
      <c r="G212" s="4"/>
      <c r="J212" s="4"/>
      <c r="K212" s="4"/>
      <c r="L212" s="4"/>
      <c r="M212" s="4"/>
      <c r="N212" s="4"/>
    </row>
    <row r="213" spans="1:14" ht="15" x14ac:dyDescent="0.25">
      <c r="A213" s="182"/>
      <c r="B213" s="4"/>
      <c r="C213" s="4"/>
      <c r="D213" s="4"/>
      <c r="E213" s="4"/>
      <c r="F213" s="4"/>
      <c r="G213" s="4"/>
      <c r="J213" s="4"/>
      <c r="K213" s="4"/>
      <c r="L213" s="4"/>
      <c r="M213" s="4"/>
      <c r="N213" s="4"/>
    </row>
    <row r="214" spans="1:14" ht="15" x14ac:dyDescent="0.25">
      <c r="A214" s="182"/>
      <c r="B214" s="4"/>
      <c r="C214" s="4"/>
      <c r="D214" s="4"/>
      <c r="E214" s="4"/>
      <c r="F214" s="4"/>
      <c r="G214" s="4"/>
      <c r="J214" s="4"/>
      <c r="K214" s="4"/>
      <c r="L214" s="4"/>
      <c r="M214" s="4"/>
      <c r="N214" s="4"/>
    </row>
    <row r="215" spans="1:14" ht="15" x14ac:dyDescent="0.25">
      <c r="A215" s="182"/>
      <c r="B215" s="4"/>
      <c r="C215" s="4"/>
      <c r="D215" s="4"/>
      <c r="E215" s="4"/>
      <c r="F215" s="4"/>
      <c r="G215" s="4"/>
      <c r="J215" s="4"/>
      <c r="K215" s="4"/>
      <c r="L215" s="4"/>
      <c r="M215" s="4"/>
      <c r="N215" s="4"/>
    </row>
    <row r="216" spans="1:14" ht="15" x14ac:dyDescent="0.25">
      <c r="A216" s="182"/>
      <c r="B216" s="4"/>
      <c r="C216" s="4"/>
      <c r="D216" s="4"/>
      <c r="E216" s="4"/>
      <c r="F216" s="4"/>
      <c r="G216" s="4"/>
      <c r="J216" s="4"/>
      <c r="K216" s="4"/>
      <c r="L216" s="4"/>
      <c r="M216" s="4"/>
      <c r="N216" s="4"/>
    </row>
    <row r="217" spans="1:14" ht="15" x14ac:dyDescent="0.25">
      <c r="A217" s="182"/>
      <c r="B217" s="4"/>
      <c r="C217" s="4"/>
      <c r="D217" s="4"/>
      <c r="E217" s="4"/>
      <c r="F217" s="4"/>
      <c r="G217" s="4"/>
      <c r="J217" s="4"/>
      <c r="K217" s="4"/>
      <c r="L217" s="4"/>
      <c r="M217" s="4"/>
      <c r="N217" s="4"/>
    </row>
    <row r="218" spans="1:14" ht="15" x14ac:dyDescent="0.25">
      <c r="A218" s="182"/>
      <c r="B218" s="4"/>
      <c r="C218" s="4"/>
      <c r="D218" s="4"/>
      <c r="E218" s="4"/>
      <c r="F218" s="4"/>
      <c r="G218" s="4"/>
      <c r="J218" s="4"/>
      <c r="K218" s="4"/>
      <c r="L218" s="4"/>
      <c r="M218" s="4"/>
      <c r="N218" s="4"/>
    </row>
    <row r="219" spans="1:14" ht="15" x14ac:dyDescent="0.25">
      <c r="A219" s="182"/>
      <c r="B219" s="4"/>
      <c r="C219" s="4"/>
      <c r="D219" s="4"/>
      <c r="E219" s="4"/>
      <c r="F219" s="4"/>
      <c r="G219" s="4"/>
      <c r="J219" s="4"/>
      <c r="K219" s="4"/>
      <c r="L219" s="4"/>
      <c r="M219" s="4"/>
      <c r="N219" s="4"/>
    </row>
    <row r="220" spans="1:14" ht="15" x14ac:dyDescent="0.25">
      <c r="A220" s="182"/>
      <c r="B220" s="4"/>
      <c r="C220" s="4"/>
      <c r="D220" s="4"/>
      <c r="E220" s="4"/>
      <c r="F220" s="4"/>
      <c r="G220" s="4"/>
      <c r="J220" s="4"/>
      <c r="K220" s="4"/>
      <c r="L220" s="4"/>
      <c r="M220" s="4"/>
      <c r="N220" s="4"/>
    </row>
    <row r="221" spans="1:14" ht="15" x14ac:dyDescent="0.25">
      <c r="A221" s="182"/>
      <c r="B221" s="4"/>
      <c r="C221" s="4"/>
      <c r="D221" s="4"/>
      <c r="E221" s="4"/>
      <c r="F221" s="4"/>
      <c r="G221" s="4"/>
      <c r="J221" s="4"/>
      <c r="K221" s="4"/>
      <c r="L221" s="4"/>
      <c r="M221" s="4"/>
      <c r="N221" s="4"/>
    </row>
    <row r="222" spans="1:14" ht="15" x14ac:dyDescent="0.25">
      <c r="A222" s="182"/>
      <c r="B222" s="4"/>
      <c r="C222" s="4"/>
      <c r="D222" s="4"/>
      <c r="E222" s="4"/>
      <c r="F222" s="4"/>
      <c r="G222" s="4"/>
      <c r="J222" s="4"/>
      <c r="K222" s="4"/>
      <c r="L222" s="4"/>
      <c r="M222" s="4"/>
      <c r="N222" s="4"/>
    </row>
    <row r="223" spans="1:14" ht="15" x14ac:dyDescent="0.25">
      <c r="A223" s="182"/>
      <c r="B223" s="4"/>
      <c r="C223" s="4"/>
      <c r="D223" s="4"/>
      <c r="E223" s="4"/>
      <c r="F223" s="4"/>
      <c r="G223" s="4"/>
      <c r="J223" s="4"/>
      <c r="K223" s="4"/>
      <c r="L223" s="4"/>
      <c r="M223" s="4"/>
      <c r="N223" s="4"/>
    </row>
    <row r="224" spans="1:14" ht="15" x14ac:dyDescent="0.25">
      <c r="A224" s="182"/>
      <c r="B224" s="4"/>
      <c r="C224" s="4"/>
      <c r="D224" s="4"/>
      <c r="E224" s="4"/>
      <c r="F224" s="4"/>
      <c r="G224" s="4"/>
      <c r="J224" s="4"/>
      <c r="K224" s="4"/>
      <c r="L224" s="4"/>
      <c r="M224" s="4"/>
      <c r="N224" s="4"/>
    </row>
    <row r="225" spans="1:14" ht="15" x14ac:dyDescent="0.25">
      <c r="A225" s="182"/>
      <c r="B225" s="4"/>
      <c r="C225" s="4"/>
      <c r="D225" s="4"/>
      <c r="E225" s="4"/>
      <c r="F225" s="4"/>
      <c r="G225" s="4"/>
      <c r="J225" s="4"/>
      <c r="K225" s="4"/>
      <c r="L225" s="4"/>
      <c r="M225" s="4"/>
      <c r="N225" s="4"/>
    </row>
    <row r="226" spans="1:14" ht="15" x14ac:dyDescent="0.25">
      <c r="A226" s="182"/>
      <c r="B226" s="4"/>
      <c r="C226" s="4"/>
      <c r="D226" s="4"/>
      <c r="E226" s="4"/>
      <c r="F226" s="4"/>
      <c r="G226" s="4"/>
      <c r="J226" s="4"/>
      <c r="K226" s="4"/>
      <c r="L226" s="4"/>
      <c r="M226" s="4"/>
      <c r="N226" s="4"/>
    </row>
    <row r="227" spans="1:14" ht="15" x14ac:dyDescent="0.25">
      <c r="A227" s="182"/>
      <c r="B227" s="4"/>
      <c r="C227" s="4"/>
      <c r="D227" s="4"/>
      <c r="E227" s="4"/>
      <c r="F227" s="4"/>
      <c r="G227" s="4"/>
      <c r="J227" s="4"/>
      <c r="K227" s="4"/>
      <c r="L227" s="4"/>
      <c r="M227" s="4"/>
      <c r="N227" s="4"/>
    </row>
    <row r="228" spans="1:14" ht="15" x14ac:dyDescent="0.25">
      <c r="A228" s="182"/>
      <c r="B228" s="4"/>
      <c r="C228" s="4"/>
      <c r="D228" s="4"/>
      <c r="E228" s="4"/>
      <c r="F228" s="4"/>
      <c r="G228" s="4"/>
      <c r="J228" s="4"/>
      <c r="K228" s="4"/>
      <c r="L228" s="4"/>
      <c r="M228" s="4"/>
      <c r="N228" s="4"/>
    </row>
    <row r="229" spans="1:14" ht="15" x14ac:dyDescent="0.25">
      <c r="A229" s="182"/>
      <c r="B229" s="4"/>
      <c r="C229" s="4"/>
      <c r="D229" s="4"/>
      <c r="E229" s="4"/>
      <c r="F229" s="4"/>
      <c r="G229" s="4"/>
      <c r="J229" s="4"/>
      <c r="K229" s="4"/>
      <c r="L229" s="4"/>
      <c r="M229" s="4"/>
      <c r="N229" s="4"/>
    </row>
    <row r="230" spans="1:14" ht="15" x14ac:dyDescent="0.25">
      <c r="A230" s="182"/>
      <c r="B230" s="4"/>
      <c r="C230" s="4"/>
      <c r="D230" s="4"/>
      <c r="E230" s="4"/>
      <c r="F230" s="4"/>
      <c r="G230" s="4"/>
      <c r="J230" s="4"/>
      <c r="K230" s="4"/>
      <c r="L230" s="4"/>
      <c r="M230" s="4"/>
      <c r="N230" s="4"/>
    </row>
    <row r="231" spans="1:14" ht="15" x14ac:dyDescent="0.25">
      <c r="A231" s="182"/>
      <c r="B231" s="4"/>
      <c r="C231" s="4"/>
      <c r="D231" s="4"/>
      <c r="E231" s="4"/>
      <c r="F231" s="4"/>
      <c r="G231" s="4"/>
      <c r="J231" s="4"/>
      <c r="K231" s="4"/>
      <c r="L231" s="4"/>
      <c r="M231" s="4"/>
      <c r="N231" s="4"/>
    </row>
    <row r="232" spans="1:14" ht="15" x14ac:dyDescent="0.25">
      <c r="A232" s="182"/>
      <c r="B232" s="4"/>
      <c r="C232" s="4"/>
      <c r="D232" s="4"/>
      <c r="E232" s="4"/>
      <c r="F232" s="4"/>
      <c r="G232" s="4"/>
      <c r="J232" s="4"/>
      <c r="K232" s="4"/>
      <c r="L232" s="4"/>
      <c r="M232" s="4"/>
      <c r="N232" s="4"/>
    </row>
    <row r="233" spans="1:14" ht="15" x14ac:dyDescent="0.25">
      <c r="A233" s="182"/>
      <c r="B233" s="4"/>
      <c r="C233" s="4"/>
      <c r="D233" s="4"/>
      <c r="E233" s="4"/>
      <c r="F233" s="4"/>
      <c r="G233" s="4"/>
      <c r="J233" s="4"/>
      <c r="K233" s="4"/>
      <c r="L233" s="4"/>
      <c r="M233" s="4"/>
      <c r="N233" s="4"/>
    </row>
    <row r="234" spans="1:14" ht="15" x14ac:dyDescent="0.25">
      <c r="A234" s="182"/>
      <c r="B234" s="4"/>
      <c r="C234" s="4"/>
      <c r="D234" s="4"/>
      <c r="E234" s="4"/>
      <c r="F234" s="4"/>
      <c r="G234" s="4"/>
      <c r="J234" s="4"/>
      <c r="K234" s="4"/>
      <c r="L234" s="4"/>
      <c r="M234" s="4"/>
      <c r="N234" s="4"/>
    </row>
    <row r="235" spans="1:14" ht="15" x14ac:dyDescent="0.25">
      <c r="A235" s="182"/>
      <c r="B235" s="4"/>
      <c r="C235" s="4"/>
      <c r="D235" s="4"/>
      <c r="E235" s="4"/>
      <c r="F235" s="4"/>
      <c r="G235" s="4"/>
      <c r="J235" s="4"/>
      <c r="K235" s="4"/>
      <c r="L235" s="4"/>
      <c r="M235" s="4"/>
      <c r="N235" s="4"/>
    </row>
    <row r="236" spans="1:14" ht="15" x14ac:dyDescent="0.25">
      <c r="A236" s="182"/>
      <c r="B236" s="4"/>
      <c r="C236" s="4"/>
      <c r="D236" s="4"/>
      <c r="E236" s="4"/>
      <c r="F236" s="4"/>
      <c r="G236" s="4"/>
      <c r="J236" s="4"/>
      <c r="K236" s="4"/>
      <c r="L236" s="4"/>
      <c r="M236" s="4"/>
      <c r="N236" s="4"/>
    </row>
    <row r="237" spans="1:14" ht="15" x14ac:dyDescent="0.25">
      <c r="A237" s="182"/>
      <c r="B237" s="4"/>
      <c r="C237" s="4"/>
      <c r="D237" s="4"/>
      <c r="E237" s="4"/>
      <c r="F237" s="4"/>
      <c r="G237" s="4"/>
      <c r="J237" s="4"/>
      <c r="K237" s="4"/>
      <c r="L237" s="4"/>
      <c r="M237" s="4"/>
      <c r="N237" s="4"/>
    </row>
    <row r="238" spans="1:14" ht="15" x14ac:dyDescent="0.25">
      <c r="A238" s="182"/>
      <c r="B238" s="4"/>
      <c r="C238" s="4"/>
      <c r="D238" s="4"/>
      <c r="E238" s="4"/>
      <c r="F238" s="4"/>
      <c r="G238" s="4"/>
      <c r="J238" s="4"/>
      <c r="K238" s="4"/>
      <c r="L238" s="4"/>
      <c r="M238" s="4"/>
      <c r="N238" s="4"/>
    </row>
    <row r="239" spans="1:14" ht="15" x14ac:dyDescent="0.25">
      <c r="A239" s="182"/>
      <c r="B239" s="4"/>
      <c r="C239" s="4"/>
      <c r="D239" s="4"/>
      <c r="E239" s="4"/>
      <c r="F239" s="4"/>
      <c r="G239" s="4"/>
      <c r="J239" s="4"/>
      <c r="K239" s="4"/>
      <c r="L239" s="4"/>
      <c r="M239" s="4"/>
      <c r="N239" s="4"/>
    </row>
    <row r="240" spans="1:14" ht="15" x14ac:dyDescent="0.25">
      <c r="A240" s="182"/>
      <c r="B240" s="4"/>
      <c r="C240" s="4"/>
      <c r="D240" s="4"/>
      <c r="E240" s="4"/>
      <c r="F240" s="4"/>
      <c r="G240" s="4"/>
      <c r="J240" s="4"/>
      <c r="K240" s="4"/>
      <c r="L240" s="4"/>
      <c r="M240" s="4"/>
      <c r="N240" s="4"/>
    </row>
    <row r="241" spans="1:14" ht="15" x14ac:dyDescent="0.25">
      <c r="A241" s="182"/>
      <c r="B241" s="4"/>
      <c r="C241" s="4"/>
      <c r="D241" s="4"/>
      <c r="E241" s="4"/>
      <c r="F241" s="4"/>
      <c r="G241" s="4"/>
      <c r="J241" s="4"/>
      <c r="K241" s="4"/>
      <c r="L241" s="4"/>
      <c r="M241" s="4"/>
      <c r="N241" s="4"/>
    </row>
    <row r="242" spans="1:14" ht="15" x14ac:dyDescent="0.25">
      <c r="A242" s="182"/>
      <c r="B242" s="4"/>
      <c r="C242" s="4"/>
      <c r="D242" s="4"/>
      <c r="E242" s="4"/>
      <c r="F242" s="4"/>
      <c r="G242" s="4"/>
      <c r="J242" s="4"/>
      <c r="K242" s="4"/>
      <c r="L242" s="4"/>
      <c r="M242" s="4"/>
      <c r="N242" s="4"/>
    </row>
    <row r="243" spans="1:14" ht="15" x14ac:dyDescent="0.25">
      <c r="A243" s="182"/>
      <c r="B243" s="4"/>
      <c r="C243" s="4"/>
      <c r="D243" s="4"/>
      <c r="E243" s="4"/>
      <c r="F243" s="4"/>
      <c r="G243" s="4"/>
      <c r="J243" s="4"/>
      <c r="K243" s="4"/>
      <c r="L243" s="4"/>
      <c r="M243" s="4"/>
      <c r="N243" s="4"/>
    </row>
    <row r="244" spans="1:14" ht="15" x14ac:dyDescent="0.25">
      <c r="A244" s="182"/>
      <c r="B244" s="4"/>
      <c r="C244" s="4"/>
      <c r="D244" s="4"/>
      <c r="E244" s="4"/>
      <c r="F244" s="4"/>
      <c r="G244" s="4"/>
      <c r="J244" s="4"/>
      <c r="K244" s="4"/>
      <c r="L244" s="4"/>
      <c r="M244" s="4"/>
      <c r="N244" s="4"/>
    </row>
    <row r="245" spans="1:14" ht="15" x14ac:dyDescent="0.25">
      <c r="A245" s="182"/>
      <c r="B245" s="4"/>
      <c r="C245" s="4"/>
      <c r="D245" s="4"/>
      <c r="E245" s="4"/>
      <c r="F245" s="4"/>
      <c r="G245" s="4"/>
      <c r="J245" s="4"/>
      <c r="K245" s="4"/>
      <c r="L245" s="4"/>
      <c r="M245" s="4"/>
      <c r="N245" s="4"/>
    </row>
    <row r="246" spans="1:14" ht="15" x14ac:dyDescent="0.25">
      <c r="A246" s="182"/>
      <c r="B246" s="4"/>
      <c r="C246" s="4"/>
      <c r="D246" s="4"/>
      <c r="E246" s="4"/>
      <c r="F246" s="4"/>
      <c r="G246" s="4"/>
      <c r="J246" s="4"/>
      <c r="K246" s="4"/>
      <c r="L246" s="4"/>
      <c r="M246" s="4"/>
      <c r="N246" s="4"/>
    </row>
    <row r="247" spans="1:14" ht="15" x14ac:dyDescent="0.25">
      <c r="A247" s="182"/>
      <c r="B247" s="4"/>
      <c r="C247" s="4"/>
      <c r="D247" s="4"/>
      <c r="E247" s="4"/>
      <c r="F247" s="4"/>
      <c r="G247" s="4"/>
      <c r="J247" s="4"/>
      <c r="K247" s="4"/>
      <c r="L247" s="4"/>
      <c r="M247" s="4"/>
      <c r="N247" s="4"/>
    </row>
    <row r="248" spans="1:14" ht="15" x14ac:dyDescent="0.25">
      <c r="A248" s="182"/>
      <c r="B248" s="4"/>
      <c r="C248" s="4"/>
      <c r="D248" s="4"/>
      <c r="E248" s="4"/>
      <c r="F248" s="4"/>
      <c r="G248" s="4"/>
      <c r="J248" s="4"/>
      <c r="K248" s="4"/>
      <c r="L248" s="4"/>
      <c r="M248" s="4"/>
      <c r="N248" s="4"/>
    </row>
    <row r="249" spans="1:14" ht="15" x14ac:dyDescent="0.25">
      <c r="A249" s="182"/>
      <c r="B249" s="4"/>
      <c r="C249" s="4"/>
      <c r="D249" s="4"/>
      <c r="E249" s="4"/>
      <c r="F249" s="4"/>
      <c r="G249" s="4"/>
      <c r="J249" s="4"/>
      <c r="K249" s="4"/>
      <c r="L249" s="4"/>
      <c r="M249" s="4"/>
      <c r="N249" s="4"/>
    </row>
    <row r="250" spans="1:14" ht="15" x14ac:dyDescent="0.25">
      <c r="A250" s="182"/>
      <c r="B250" s="4"/>
      <c r="C250" s="4"/>
      <c r="D250" s="4"/>
      <c r="E250" s="4"/>
      <c r="F250" s="4"/>
      <c r="G250" s="4"/>
      <c r="J250" s="4"/>
      <c r="K250" s="4"/>
      <c r="L250" s="4"/>
      <c r="M250" s="4"/>
      <c r="N250" s="4"/>
    </row>
    <row r="251" spans="1:14" ht="15" x14ac:dyDescent="0.25">
      <c r="A251" s="182"/>
      <c r="B251" s="4"/>
      <c r="C251" s="4"/>
      <c r="D251" s="4"/>
      <c r="E251" s="4"/>
      <c r="F251" s="4"/>
      <c r="G251" s="4"/>
      <c r="J251" s="4"/>
      <c r="K251" s="4"/>
      <c r="L251" s="4"/>
      <c r="M251" s="4"/>
      <c r="N251" s="4"/>
    </row>
    <row r="252" spans="1:14" ht="15" x14ac:dyDescent="0.25">
      <c r="A252" s="182"/>
      <c r="B252" s="4"/>
      <c r="C252" s="4"/>
      <c r="D252" s="4"/>
      <c r="E252" s="4"/>
      <c r="F252" s="4"/>
      <c r="G252" s="4"/>
      <c r="J252" s="4"/>
      <c r="K252" s="4"/>
      <c r="L252" s="4"/>
      <c r="M252" s="4"/>
      <c r="N252" s="4"/>
    </row>
    <row r="253" spans="1:14" ht="15" x14ac:dyDescent="0.25">
      <c r="A253" s="182"/>
      <c r="B253" s="4"/>
      <c r="C253" s="4"/>
      <c r="D253" s="4"/>
      <c r="E253" s="4"/>
      <c r="F253" s="4"/>
      <c r="G253" s="4"/>
      <c r="J253" s="4"/>
      <c r="K253" s="4"/>
      <c r="L253" s="4"/>
      <c r="M253" s="4"/>
      <c r="N253" s="4"/>
    </row>
    <row r="254" spans="1:14" ht="15" x14ac:dyDescent="0.25">
      <c r="A254" s="182"/>
      <c r="B254" s="4"/>
      <c r="C254" s="4"/>
      <c r="D254" s="4"/>
      <c r="E254" s="4"/>
      <c r="F254" s="4"/>
      <c r="G254" s="4"/>
      <c r="J254" s="4"/>
      <c r="K254" s="4"/>
      <c r="L254" s="4"/>
      <c r="M254" s="4"/>
      <c r="N254" s="4"/>
    </row>
    <row r="255" spans="1:14" ht="15" x14ac:dyDescent="0.25">
      <c r="A255" s="182"/>
      <c r="B255" s="4"/>
      <c r="C255" s="4"/>
      <c r="D255" s="4"/>
      <c r="E255" s="4"/>
      <c r="F255" s="4"/>
      <c r="G255" s="4"/>
      <c r="J255" s="4"/>
      <c r="K255" s="4"/>
      <c r="L255" s="4"/>
      <c r="M255" s="4"/>
      <c r="N255" s="4"/>
    </row>
    <row r="256" spans="1:14" ht="15" x14ac:dyDescent="0.25">
      <c r="A256" s="182"/>
      <c r="B256" s="4"/>
      <c r="C256" s="4"/>
      <c r="D256" s="4"/>
      <c r="E256" s="4"/>
      <c r="F256" s="4"/>
      <c r="G256" s="4"/>
      <c r="J256" s="4"/>
      <c r="K256" s="4"/>
      <c r="L256" s="4"/>
      <c r="M256" s="4"/>
      <c r="N256" s="4"/>
    </row>
    <row r="257" spans="1:14" ht="15" x14ac:dyDescent="0.25">
      <c r="A257" s="182"/>
      <c r="B257" s="4"/>
      <c r="C257" s="4"/>
      <c r="D257" s="4"/>
      <c r="E257" s="4"/>
      <c r="F257" s="4"/>
      <c r="G257" s="4"/>
      <c r="J257" s="4"/>
      <c r="K257" s="4"/>
      <c r="L257" s="4"/>
      <c r="M257" s="4"/>
      <c r="N257" s="4"/>
    </row>
    <row r="258" spans="1:14" ht="15" x14ac:dyDescent="0.25">
      <c r="A258" s="182"/>
      <c r="B258" s="4"/>
      <c r="C258" s="4"/>
      <c r="D258" s="4"/>
      <c r="E258" s="4"/>
      <c r="F258" s="4"/>
      <c r="G258" s="4"/>
      <c r="J258" s="4"/>
      <c r="K258" s="4"/>
      <c r="L258" s="4"/>
      <c r="M258" s="4"/>
      <c r="N258" s="4"/>
    </row>
    <row r="259" spans="1:14" ht="15" x14ac:dyDescent="0.25">
      <c r="A259" s="182"/>
      <c r="B259" s="4"/>
      <c r="C259" s="4"/>
      <c r="D259" s="4"/>
      <c r="E259" s="4"/>
      <c r="F259" s="4"/>
      <c r="G259" s="4"/>
      <c r="J259" s="4"/>
      <c r="K259" s="4"/>
      <c r="L259" s="4"/>
      <c r="M259" s="4"/>
      <c r="N259" s="4"/>
    </row>
    <row r="260" spans="1:14" ht="15" x14ac:dyDescent="0.25">
      <c r="A260" s="182"/>
      <c r="B260" s="4"/>
      <c r="C260" s="4"/>
      <c r="D260" s="4"/>
      <c r="E260" s="4"/>
      <c r="F260" s="4"/>
      <c r="G260" s="4"/>
      <c r="J260" s="4"/>
      <c r="K260" s="4"/>
      <c r="L260" s="4"/>
      <c r="M260" s="4"/>
      <c r="N260" s="4"/>
    </row>
    <row r="261" spans="1:14" ht="15" x14ac:dyDescent="0.25">
      <c r="A261" s="182"/>
      <c r="B261" s="4"/>
      <c r="C261" s="4"/>
      <c r="D261" s="4"/>
      <c r="E261" s="4"/>
      <c r="F261" s="4"/>
      <c r="G261" s="4"/>
      <c r="J261" s="4"/>
      <c r="K261" s="4"/>
      <c r="L261" s="4"/>
      <c r="M261" s="4"/>
      <c r="N261" s="4"/>
    </row>
    <row r="262" spans="1:14" ht="15" x14ac:dyDescent="0.25">
      <c r="A262" s="182"/>
      <c r="B262" s="4"/>
      <c r="C262" s="4"/>
      <c r="D262" s="4"/>
      <c r="E262" s="4"/>
      <c r="F262" s="4"/>
      <c r="G262" s="4"/>
      <c r="J262" s="4"/>
      <c r="K262" s="4"/>
      <c r="L262" s="4"/>
      <c r="M262" s="4"/>
      <c r="N262" s="4"/>
    </row>
    <row r="263" spans="1:14" ht="15" x14ac:dyDescent="0.25">
      <c r="A263" s="182"/>
      <c r="B263" s="4"/>
      <c r="C263" s="4"/>
      <c r="D263" s="4"/>
      <c r="E263" s="4"/>
      <c r="F263" s="4"/>
      <c r="G263" s="4"/>
      <c r="J263" s="4"/>
      <c r="K263" s="4"/>
      <c r="L263" s="4"/>
      <c r="M263" s="4"/>
      <c r="N263" s="4"/>
    </row>
    <row r="264" spans="1:14" ht="15" x14ac:dyDescent="0.25">
      <c r="A264" s="182"/>
      <c r="B264" s="4"/>
      <c r="C264" s="4"/>
      <c r="D264" s="4"/>
      <c r="E264" s="4"/>
      <c r="F264" s="4"/>
      <c r="G264" s="4"/>
      <c r="J264" s="4"/>
      <c r="K264" s="4"/>
      <c r="L264" s="4"/>
      <c r="M264" s="4"/>
      <c r="N264" s="4"/>
    </row>
    <row r="265" spans="1:14" ht="15" x14ac:dyDescent="0.25">
      <c r="A265" s="182"/>
      <c r="B265" s="4"/>
      <c r="C265" s="4"/>
      <c r="D265" s="4"/>
      <c r="E265" s="4"/>
      <c r="F265" s="4"/>
      <c r="G265" s="4"/>
      <c r="J265" s="4"/>
      <c r="K265" s="4"/>
      <c r="L265" s="4"/>
      <c r="M265" s="4"/>
      <c r="N265" s="4"/>
    </row>
    <row r="266" spans="1:14" ht="15" x14ac:dyDescent="0.25">
      <c r="A266" s="182"/>
      <c r="B266" s="4"/>
      <c r="C266" s="4"/>
      <c r="D266" s="4"/>
      <c r="E266" s="4"/>
      <c r="F266" s="4"/>
      <c r="G266" s="4"/>
      <c r="J266" s="4"/>
      <c r="K266" s="4"/>
      <c r="L266" s="4"/>
      <c r="M266" s="4"/>
      <c r="N266" s="4"/>
    </row>
    <row r="267" spans="1:14" ht="15" x14ac:dyDescent="0.25">
      <c r="A267" s="182"/>
      <c r="B267" s="4"/>
      <c r="C267" s="4"/>
      <c r="D267" s="4"/>
      <c r="E267" s="4"/>
      <c r="F267" s="4"/>
      <c r="G267" s="4"/>
      <c r="J267" s="4"/>
      <c r="K267" s="4"/>
      <c r="L267" s="4"/>
      <c r="M267" s="4"/>
      <c r="N267" s="4"/>
    </row>
    <row r="268" spans="1:14" ht="15" x14ac:dyDescent="0.25">
      <c r="A268" s="182"/>
      <c r="B268" s="4"/>
      <c r="C268" s="4"/>
      <c r="D268" s="4"/>
      <c r="E268" s="4"/>
      <c r="F268" s="4"/>
      <c r="G268" s="4"/>
      <c r="J268" s="4"/>
      <c r="K268" s="4"/>
      <c r="L268" s="4"/>
      <c r="M268" s="4"/>
      <c r="N268" s="4"/>
    </row>
    <row r="269" spans="1:14" ht="15" x14ac:dyDescent="0.25">
      <c r="A269" s="182"/>
      <c r="B269" s="4"/>
      <c r="C269" s="4"/>
      <c r="D269" s="4"/>
      <c r="E269" s="4"/>
      <c r="F269" s="4"/>
      <c r="G269" s="4"/>
      <c r="J269" s="4"/>
      <c r="K269" s="4"/>
      <c r="L269" s="4"/>
      <c r="M269" s="4"/>
      <c r="N269" s="4"/>
    </row>
    <row r="270" spans="1:14" ht="15" x14ac:dyDescent="0.25">
      <c r="A270" s="182"/>
      <c r="B270" s="4"/>
      <c r="C270" s="4"/>
      <c r="D270" s="4"/>
      <c r="E270" s="4"/>
      <c r="F270" s="4"/>
      <c r="G270" s="4"/>
      <c r="J270" s="4"/>
      <c r="K270" s="4"/>
      <c r="L270" s="4"/>
      <c r="M270" s="4"/>
      <c r="N270" s="4"/>
    </row>
    <row r="271" spans="1:14" ht="15" x14ac:dyDescent="0.25">
      <c r="A271" s="182"/>
      <c r="B271" s="4"/>
      <c r="C271" s="4"/>
      <c r="D271" s="4"/>
      <c r="E271" s="4"/>
      <c r="F271" s="4"/>
      <c r="G271" s="4"/>
      <c r="J271" s="4"/>
      <c r="K271" s="4"/>
      <c r="L271" s="4"/>
      <c r="M271" s="4"/>
      <c r="N271" s="4"/>
    </row>
    <row r="272" spans="1:14" ht="15" x14ac:dyDescent="0.25">
      <c r="A272" s="182"/>
      <c r="B272" s="4"/>
      <c r="C272" s="4"/>
      <c r="D272" s="4"/>
      <c r="E272" s="4"/>
      <c r="F272" s="4"/>
      <c r="G272" s="4"/>
      <c r="J272" s="4"/>
      <c r="K272" s="4"/>
      <c r="L272" s="4"/>
      <c r="M272" s="4"/>
      <c r="N272" s="4"/>
    </row>
    <row r="273" spans="1:14" ht="15" x14ac:dyDescent="0.25">
      <c r="A273" s="182"/>
      <c r="B273" s="4"/>
      <c r="C273" s="4"/>
      <c r="D273" s="4"/>
      <c r="E273" s="4"/>
      <c r="F273" s="4"/>
      <c r="G273" s="4"/>
      <c r="J273" s="4"/>
      <c r="K273" s="4"/>
      <c r="L273" s="4"/>
      <c r="M273" s="4"/>
      <c r="N273" s="4"/>
    </row>
    <row r="274" spans="1:14" ht="15" x14ac:dyDescent="0.25">
      <c r="A274" s="182"/>
      <c r="B274" s="4"/>
      <c r="C274" s="4"/>
      <c r="D274" s="4"/>
      <c r="E274" s="4"/>
      <c r="F274" s="4"/>
      <c r="G274" s="4"/>
      <c r="J274" s="4"/>
      <c r="K274" s="4"/>
      <c r="L274" s="4"/>
      <c r="M274" s="4"/>
      <c r="N274" s="4"/>
    </row>
    <row r="275" spans="1:14" ht="15" x14ac:dyDescent="0.25">
      <c r="A275" s="182"/>
      <c r="B275" s="4"/>
      <c r="C275" s="4"/>
      <c r="D275" s="4"/>
      <c r="E275" s="4"/>
      <c r="F275" s="4"/>
      <c r="G275" s="4"/>
      <c r="J275" s="4"/>
      <c r="K275" s="4"/>
      <c r="L275" s="4"/>
      <c r="M275" s="4"/>
      <c r="N275" s="4"/>
    </row>
    <row r="276" spans="1:14" ht="15" x14ac:dyDescent="0.25">
      <c r="A276" s="182"/>
      <c r="B276" s="4"/>
      <c r="C276" s="4"/>
      <c r="D276" s="4"/>
      <c r="E276" s="4"/>
      <c r="F276" s="4"/>
      <c r="G276" s="4"/>
      <c r="J276" s="4"/>
      <c r="K276" s="4"/>
      <c r="L276" s="4"/>
      <c r="M276" s="4"/>
      <c r="N276" s="4"/>
    </row>
    <row r="277" spans="1:14" ht="15" x14ac:dyDescent="0.25">
      <c r="A277" s="182"/>
      <c r="B277" s="4"/>
      <c r="C277" s="4"/>
      <c r="D277" s="4"/>
      <c r="E277" s="4"/>
      <c r="F277" s="4"/>
      <c r="G277" s="4"/>
      <c r="J277" s="4"/>
      <c r="K277" s="4"/>
      <c r="L277" s="4"/>
      <c r="M277" s="4"/>
      <c r="N277" s="4"/>
    </row>
    <row r="278" spans="1:14" ht="15" x14ac:dyDescent="0.25">
      <c r="A278" s="182"/>
      <c r="B278" s="4"/>
      <c r="C278" s="4"/>
      <c r="D278" s="4"/>
      <c r="E278" s="4"/>
      <c r="F278" s="4"/>
      <c r="G278" s="4"/>
      <c r="J278" s="4"/>
      <c r="K278" s="4"/>
      <c r="L278" s="4"/>
      <c r="M278" s="4"/>
      <c r="N278" s="4"/>
    </row>
    <row r="279" spans="1:14" ht="15" x14ac:dyDescent="0.25">
      <c r="A279" s="182"/>
      <c r="B279" s="4"/>
      <c r="C279" s="4"/>
      <c r="D279" s="4"/>
      <c r="E279" s="4"/>
      <c r="F279" s="4"/>
      <c r="G279" s="4"/>
      <c r="J279" s="4"/>
      <c r="K279" s="4"/>
      <c r="L279" s="4"/>
      <c r="M279" s="4"/>
      <c r="N279" s="4"/>
    </row>
    <row r="280" spans="1:14" ht="15" x14ac:dyDescent="0.25">
      <c r="A280" s="182"/>
      <c r="B280" s="4"/>
      <c r="C280" s="4"/>
      <c r="D280" s="4"/>
      <c r="E280" s="4"/>
      <c r="F280" s="4"/>
      <c r="G280" s="4"/>
      <c r="J280" s="4"/>
      <c r="K280" s="4"/>
      <c r="L280" s="4"/>
      <c r="M280" s="4"/>
      <c r="N280" s="4"/>
    </row>
    <row r="281" spans="1:14" ht="15" x14ac:dyDescent="0.25">
      <c r="A281" s="182"/>
      <c r="B281" s="4"/>
      <c r="C281" s="4"/>
      <c r="D281" s="4"/>
      <c r="E281" s="4"/>
      <c r="F281" s="4"/>
      <c r="G281" s="4"/>
      <c r="J281" s="4"/>
      <c r="K281" s="4"/>
      <c r="L281" s="4"/>
      <c r="M281" s="4"/>
      <c r="N281" s="4"/>
    </row>
    <row r="282" spans="1:14" ht="15" x14ac:dyDescent="0.25">
      <c r="A282" s="182"/>
      <c r="B282" s="4"/>
      <c r="C282" s="4"/>
      <c r="D282" s="4"/>
      <c r="E282" s="4"/>
      <c r="F282" s="4"/>
      <c r="G282" s="4"/>
      <c r="J282" s="4"/>
      <c r="K282" s="4"/>
      <c r="L282" s="4"/>
      <c r="M282" s="4"/>
      <c r="N282" s="4"/>
    </row>
    <row r="283" spans="1:14" ht="15" x14ac:dyDescent="0.25">
      <c r="A283" s="182"/>
      <c r="B283" s="4"/>
      <c r="C283" s="4"/>
      <c r="D283" s="4"/>
      <c r="E283" s="4"/>
      <c r="F283" s="4"/>
      <c r="G283" s="4"/>
      <c r="J283" s="4"/>
      <c r="K283" s="4"/>
      <c r="L283" s="4"/>
      <c r="M283" s="4"/>
      <c r="N283" s="4"/>
    </row>
    <row r="284" spans="1:14" ht="15" x14ac:dyDescent="0.25">
      <c r="A284" s="182"/>
      <c r="B284" s="4"/>
      <c r="C284" s="4"/>
      <c r="D284" s="4"/>
      <c r="E284" s="4"/>
      <c r="F284" s="4"/>
      <c r="G284" s="4"/>
      <c r="J284" s="4"/>
      <c r="K284" s="4"/>
      <c r="L284" s="4"/>
      <c r="M284" s="4"/>
      <c r="N284" s="4"/>
    </row>
    <row r="285" spans="1:14" ht="15" x14ac:dyDescent="0.25">
      <c r="A285" s="182"/>
      <c r="B285" s="4"/>
      <c r="C285" s="4"/>
      <c r="D285" s="4"/>
      <c r="E285" s="4"/>
      <c r="F285" s="4"/>
      <c r="G285" s="4"/>
      <c r="J285" s="4"/>
      <c r="K285" s="4"/>
      <c r="L285" s="4"/>
      <c r="M285" s="4"/>
      <c r="N285" s="4"/>
    </row>
    <row r="286" spans="1:14" ht="15" x14ac:dyDescent="0.25">
      <c r="A286" s="182"/>
      <c r="B286" s="4"/>
      <c r="C286" s="4"/>
      <c r="D286" s="4"/>
      <c r="E286" s="4"/>
      <c r="F286" s="4"/>
      <c r="G286" s="4"/>
      <c r="J286" s="4"/>
      <c r="K286" s="4"/>
      <c r="L286" s="4"/>
      <c r="M286" s="4"/>
      <c r="N286" s="4"/>
    </row>
    <row r="287" spans="1:14" ht="15" x14ac:dyDescent="0.25">
      <c r="A287" s="182"/>
      <c r="B287" s="4"/>
      <c r="C287" s="4"/>
      <c r="D287" s="4"/>
      <c r="E287" s="4"/>
      <c r="F287" s="4"/>
      <c r="G287" s="4"/>
      <c r="J287" s="4"/>
      <c r="K287" s="4"/>
      <c r="L287" s="4"/>
      <c r="M287" s="4"/>
      <c r="N287" s="4"/>
    </row>
    <row r="288" spans="1:14" ht="15" x14ac:dyDescent="0.25">
      <c r="A288" s="182"/>
      <c r="B288" s="4"/>
      <c r="C288" s="4"/>
      <c r="D288" s="4"/>
      <c r="E288" s="4"/>
      <c r="F288" s="4"/>
      <c r="G288" s="4"/>
      <c r="J288" s="4"/>
      <c r="K288" s="4"/>
      <c r="L288" s="4"/>
      <c r="M288" s="4"/>
      <c r="N288" s="4"/>
    </row>
    <row r="289" spans="1:14" ht="15" x14ac:dyDescent="0.25">
      <c r="A289" s="182"/>
      <c r="B289" s="4"/>
      <c r="C289" s="4"/>
      <c r="D289" s="4"/>
      <c r="E289" s="4"/>
      <c r="F289" s="4"/>
      <c r="G289" s="4"/>
      <c r="J289" s="4"/>
      <c r="K289" s="4"/>
      <c r="L289" s="4"/>
      <c r="M289" s="4"/>
      <c r="N289" s="4"/>
    </row>
    <row r="290" spans="1:14" ht="15" x14ac:dyDescent="0.25">
      <c r="A290" s="182"/>
      <c r="B290" s="4"/>
      <c r="C290" s="4"/>
      <c r="D290" s="4"/>
      <c r="E290" s="4"/>
      <c r="F290" s="4"/>
      <c r="G290" s="4"/>
      <c r="J290" s="4"/>
      <c r="K290" s="4"/>
      <c r="L290" s="4"/>
      <c r="M290" s="4"/>
      <c r="N290" s="4"/>
    </row>
    <row r="291" spans="1:14" ht="15" x14ac:dyDescent="0.25">
      <c r="A291" s="182"/>
      <c r="B291" s="4"/>
      <c r="C291" s="4"/>
      <c r="D291" s="4"/>
      <c r="E291" s="4"/>
      <c r="F291" s="4"/>
      <c r="G291" s="4"/>
      <c r="J291" s="4"/>
      <c r="K291" s="4"/>
      <c r="L291" s="4"/>
      <c r="M291" s="4"/>
      <c r="N291" s="4"/>
    </row>
    <row r="292" spans="1:14" ht="15" x14ac:dyDescent="0.25">
      <c r="A292" s="182"/>
      <c r="B292" s="4"/>
      <c r="C292" s="4"/>
      <c r="D292" s="4"/>
      <c r="E292" s="4"/>
      <c r="F292" s="4"/>
      <c r="G292" s="4"/>
      <c r="J292" s="4"/>
      <c r="K292" s="4"/>
      <c r="L292" s="4"/>
      <c r="M292" s="4"/>
      <c r="N292" s="4"/>
    </row>
    <row r="293" spans="1:14" ht="15" x14ac:dyDescent="0.25">
      <c r="A293" s="182"/>
      <c r="B293" s="4"/>
      <c r="C293" s="4"/>
      <c r="D293" s="4"/>
      <c r="E293" s="4"/>
      <c r="F293" s="4"/>
      <c r="G293" s="4"/>
      <c r="J293" s="4"/>
      <c r="K293" s="4"/>
      <c r="L293" s="4"/>
      <c r="M293" s="4"/>
      <c r="N293" s="4"/>
    </row>
    <row r="294" spans="1:14" ht="15" x14ac:dyDescent="0.25">
      <c r="A294" s="182"/>
      <c r="B294" s="4"/>
      <c r="C294" s="4"/>
      <c r="D294" s="4"/>
      <c r="E294" s="4"/>
      <c r="F294" s="4"/>
      <c r="G294" s="4"/>
      <c r="J294" s="4"/>
      <c r="K294" s="4"/>
      <c r="L294" s="4"/>
      <c r="M294" s="4"/>
      <c r="N294" s="4"/>
    </row>
    <row r="295" spans="1:14" ht="15" x14ac:dyDescent="0.25">
      <c r="A295" s="182"/>
      <c r="B295" s="4"/>
      <c r="C295" s="4"/>
      <c r="D295" s="4"/>
      <c r="E295" s="4"/>
      <c r="F295" s="4"/>
      <c r="G295" s="4"/>
      <c r="J295" s="4"/>
      <c r="K295" s="4"/>
      <c r="L295" s="4"/>
      <c r="M295" s="4"/>
      <c r="N295" s="4"/>
    </row>
    <row r="296" spans="1:14" ht="15" x14ac:dyDescent="0.25">
      <c r="A296" s="182"/>
      <c r="B296" s="4"/>
      <c r="C296" s="4"/>
      <c r="D296" s="4"/>
      <c r="E296" s="4"/>
      <c r="F296" s="4"/>
      <c r="G296" s="4"/>
      <c r="J296" s="4"/>
      <c r="K296" s="4"/>
      <c r="L296" s="4"/>
      <c r="M296" s="4"/>
      <c r="N296" s="4"/>
    </row>
    <row r="297" spans="1:14" ht="15" x14ac:dyDescent="0.25">
      <c r="A297" s="182"/>
      <c r="B297" s="4"/>
      <c r="C297" s="4"/>
      <c r="D297" s="4"/>
      <c r="E297" s="4"/>
      <c r="F297" s="4"/>
      <c r="G297" s="4"/>
      <c r="J297" s="4"/>
      <c r="K297" s="4"/>
      <c r="L297" s="4"/>
      <c r="M297" s="4"/>
      <c r="N297" s="4"/>
    </row>
    <row r="298" spans="1:14" ht="15" x14ac:dyDescent="0.25">
      <c r="A298" s="182"/>
      <c r="B298" s="4"/>
      <c r="C298" s="4"/>
      <c r="D298" s="4"/>
      <c r="E298" s="4"/>
      <c r="F298" s="4"/>
      <c r="G298" s="4"/>
      <c r="J298" s="4"/>
      <c r="K298" s="4"/>
      <c r="L298" s="4"/>
      <c r="M298" s="4"/>
      <c r="N298" s="4"/>
    </row>
    <row r="299" spans="1:14" ht="15" x14ac:dyDescent="0.25">
      <c r="A299" s="182"/>
      <c r="B299" s="4"/>
      <c r="C299" s="4"/>
      <c r="D299" s="4"/>
      <c r="E299" s="4"/>
      <c r="F299" s="4"/>
      <c r="G299" s="4"/>
      <c r="J299" s="4"/>
      <c r="K299" s="4"/>
      <c r="L299" s="4"/>
      <c r="M299" s="4"/>
      <c r="N299" s="4"/>
    </row>
    <row r="300" spans="1:14" ht="15" x14ac:dyDescent="0.25">
      <c r="A300" s="182"/>
      <c r="B300" s="4"/>
      <c r="C300" s="4"/>
      <c r="D300" s="4"/>
      <c r="E300" s="4"/>
      <c r="F300" s="4"/>
      <c r="G300" s="4"/>
      <c r="J300" s="4"/>
      <c r="K300" s="4"/>
      <c r="L300" s="4"/>
      <c r="M300" s="4"/>
      <c r="N300" s="4"/>
    </row>
    <row r="301" spans="1:14" ht="15" x14ac:dyDescent="0.25">
      <c r="A301" s="182"/>
      <c r="B301" s="4"/>
      <c r="C301" s="4"/>
      <c r="D301" s="4"/>
      <c r="E301" s="4"/>
      <c r="F301" s="4"/>
      <c r="G301" s="4"/>
      <c r="J301" s="4"/>
      <c r="K301" s="4"/>
      <c r="L301" s="4"/>
      <c r="M301" s="4"/>
      <c r="N301" s="4"/>
    </row>
    <row r="302" spans="1:14" ht="15" x14ac:dyDescent="0.25">
      <c r="A302" s="182"/>
      <c r="B302" s="4"/>
      <c r="C302" s="4"/>
      <c r="D302" s="4"/>
      <c r="E302" s="4"/>
      <c r="F302" s="4"/>
      <c r="G302" s="4"/>
      <c r="J302" s="4"/>
      <c r="K302" s="4"/>
      <c r="L302" s="4"/>
      <c r="M302" s="4"/>
      <c r="N302" s="4"/>
    </row>
    <row r="303" spans="1:14" ht="15" x14ac:dyDescent="0.25">
      <c r="A303" s="182"/>
      <c r="B303" s="4"/>
      <c r="C303" s="4"/>
      <c r="D303" s="4"/>
      <c r="E303" s="4"/>
      <c r="F303" s="4"/>
      <c r="G303" s="4"/>
      <c r="J303" s="4"/>
      <c r="K303" s="4"/>
      <c r="L303" s="4"/>
      <c r="M303" s="4"/>
      <c r="N303" s="4"/>
    </row>
    <row r="304" spans="1:14" ht="15" x14ac:dyDescent="0.25">
      <c r="A304" s="182"/>
      <c r="B304" s="4"/>
      <c r="C304" s="4"/>
      <c r="D304" s="4"/>
      <c r="E304" s="4"/>
      <c r="F304" s="4"/>
      <c r="G304" s="4"/>
      <c r="J304" s="4"/>
      <c r="K304" s="4"/>
      <c r="L304" s="4"/>
      <c r="M304" s="4"/>
      <c r="N304" s="4"/>
    </row>
    <row r="305" spans="1:14" ht="15" x14ac:dyDescent="0.25">
      <c r="A305" s="182"/>
      <c r="B305" s="4"/>
      <c r="C305" s="4"/>
      <c r="D305" s="4"/>
      <c r="E305" s="4"/>
      <c r="F305" s="4"/>
      <c r="G305" s="4"/>
      <c r="J305" s="4"/>
      <c r="K305" s="4"/>
      <c r="L305" s="4"/>
      <c r="M305" s="4"/>
      <c r="N305" s="4"/>
    </row>
    <row r="306" spans="1:14" ht="15" x14ac:dyDescent="0.25">
      <c r="A306" s="182"/>
      <c r="B306" s="4"/>
      <c r="C306" s="4"/>
      <c r="D306" s="4"/>
      <c r="E306" s="4"/>
      <c r="F306" s="4"/>
      <c r="G306" s="4"/>
      <c r="J306" s="4"/>
      <c r="K306" s="4"/>
      <c r="L306" s="4"/>
      <c r="M306" s="4"/>
      <c r="N306" s="4"/>
    </row>
    <row r="307" spans="1:14" ht="15" x14ac:dyDescent="0.25">
      <c r="A307" s="182"/>
      <c r="B307" s="4"/>
      <c r="C307" s="4"/>
      <c r="D307" s="4"/>
      <c r="E307" s="4"/>
      <c r="F307" s="4"/>
      <c r="G307" s="4"/>
      <c r="J307" s="4"/>
      <c r="K307" s="4"/>
      <c r="L307" s="4"/>
      <c r="M307" s="4"/>
      <c r="N307" s="4"/>
    </row>
    <row r="308" spans="1:14" ht="15" x14ac:dyDescent="0.25">
      <c r="A308" s="182"/>
      <c r="B308" s="4"/>
      <c r="C308" s="4"/>
      <c r="D308" s="4"/>
      <c r="E308" s="4"/>
      <c r="F308" s="4"/>
      <c r="G308" s="4"/>
      <c r="J308" s="4"/>
      <c r="K308" s="4"/>
      <c r="L308" s="4"/>
      <c r="M308" s="4"/>
      <c r="N308" s="4"/>
    </row>
    <row r="309" spans="1:14" ht="15" x14ac:dyDescent="0.25">
      <c r="A309" s="182"/>
      <c r="B309" s="4"/>
      <c r="C309" s="4"/>
      <c r="D309" s="4"/>
      <c r="E309" s="4"/>
      <c r="F309" s="4"/>
      <c r="G309" s="4"/>
      <c r="J309" s="4"/>
      <c r="K309" s="4"/>
      <c r="L309" s="4"/>
      <c r="M309" s="4"/>
      <c r="N309" s="4"/>
    </row>
    <row r="310" spans="1:14" ht="15" x14ac:dyDescent="0.25">
      <c r="A310" s="182"/>
      <c r="B310" s="4"/>
      <c r="C310" s="4"/>
      <c r="D310" s="4"/>
      <c r="E310" s="4"/>
      <c r="F310" s="4"/>
      <c r="G310" s="4"/>
      <c r="J310" s="4"/>
      <c r="K310" s="4"/>
      <c r="L310" s="4"/>
      <c r="M310" s="4"/>
      <c r="N310" s="4"/>
    </row>
    <row r="311" spans="1:14" ht="15" x14ac:dyDescent="0.25">
      <c r="A311" s="182"/>
      <c r="B311" s="4"/>
      <c r="C311" s="4"/>
      <c r="D311" s="4"/>
      <c r="E311" s="4"/>
      <c r="F311" s="4"/>
      <c r="G311" s="4"/>
      <c r="J311" s="4"/>
      <c r="K311" s="4"/>
      <c r="L311" s="4"/>
      <c r="M311" s="4"/>
      <c r="N311" s="4"/>
    </row>
    <row r="312" spans="1:14" ht="15" x14ac:dyDescent="0.25">
      <c r="A312" s="182"/>
      <c r="B312" s="4"/>
      <c r="C312" s="4"/>
      <c r="D312" s="4"/>
      <c r="E312" s="4"/>
      <c r="F312" s="4"/>
      <c r="G312" s="4"/>
      <c r="J312" s="4"/>
      <c r="K312" s="4"/>
      <c r="L312" s="4"/>
      <c r="M312" s="4"/>
      <c r="N312" s="4"/>
    </row>
    <row r="313" spans="1:14" ht="15" x14ac:dyDescent="0.25">
      <c r="A313" s="182"/>
      <c r="B313" s="4"/>
      <c r="C313" s="4"/>
      <c r="D313" s="4"/>
      <c r="E313" s="4"/>
      <c r="F313" s="4"/>
      <c r="G313" s="4"/>
      <c r="J313" s="4"/>
      <c r="K313" s="4"/>
      <c r="L313" s="4"/>
      <c r="M313" s="4"/>
      <c r="N313" s="4"/>
    </row>
    <row r="314" spans="1:14" ht="15" x14ac:dyDescent="0.25">
      <c r="A314" s="182"/>
      <c r="B314" s="4"/>
      <c r="C314" s="4"/>
      <c r="D314" s="4"/>
      <c r="E314" s="4"/>
      <c r="F314" s="4"/>
      <c r="G314" s="4"/>
      <c r="J314" s="4"/>
      <c r="K314" s="4"/>
      <c r="L314" s="4"/>
      <c r="M314" s="4"/>
      <c r="N314" s="4"/>
    </row>
    <row r="315" spans="1:14" ht="15" x14ac:dyDescent="0.25">
      <c r="A315" s="182"/>
      <c r="B315" s="4"/>
      <c r="C315" s="4"/>
      <c r="D315" s="4"/>
      <c r="E315" s="4"/>
      <c r="F315" s="4"/>
      <c r="G315" s="4"/>
      <c r="J315" s="4"/>
      <c r="K315" s="4"/>
      <c r="L315" s="4"/>
      <c r="M315" s="4"/>
      <c r="N315" s="4"/>
    </row>
    <row r="316" spans="1:14" ht="15" x14ac:dyDescent="0.25">
      <c r="A316" s="182"/>
      <c r="B316" s="4"/>
      <c r="C316" s="4"/>
      <c r="D316" s="4"/>
      <c r="E316" s="4"/>
      <c r="F316" s="4"/>
      <c r="G316" s="4"/>
      <c r="J316" s="4"/>
      <c r="K316" s="4"/>
      <c r="L316" s="4"/>
      <c r="M316" s="4"/>
      <c r="N316" s="4"/>
    </row>
    <row r="317" spans="1:14" ht="15" x14ac:dyDescent="0.25">
      <c r="A317" s="182"/>
      <c r="B317" s="4"/>
      <c r="C317" s="4"/>
      <c r="D317" s="4"/>
      <c r="E317" s="4"/>
      <c r="F317" s="4"/>
      <c r="G317" s="4"/>
      <c r="J317" s="4"/>
      <c r="K317" s="4"/>
      <c r="L317" s="4"/>
      <c r="M317" s="4"/>
      <c r="N317" s="4"/>
    </row>
    <row r="318" spans="1:14" ht="15" x14ac:dyDescent="0.25">
      <c r="A318" s="182"/>
      <c r="B318" s="4"/>
      <c r="C318" s="4"/>
      <c r="D318" s="4"/>
      <c r="E318" s="4"/>
      <c r="F318" s="4"/>
      <c r="G318" s="4"/>
      <c r="J318" s="4"/>
      <c r="K318" s="4"/>
      <c r="L318" s="4"/>
      <c r="M318" s="4"/>
      <c r="N318" s="4"/>
    </row>
    <row r="319" spans="1:14" ht="15" x14ac:dyDescent="0.25">
      <c r="A319" s="182"/>
      <c r="B319" s="4"/>
      <c r="C319" s="4"/>
      <c r="D319" s="4"/>
      <c r="E319" s="4"/>
      <c r="F319" s="4"/>
      <c r="G319" s="4"/>
      <c r="J319" s="4"/>
      <c r="K319" s="4"/>
      <c r="L319" s="4"/>
      <c r="M319" s="4"/>
      <c r="N319" s="4"/>
    </row>
  </sheetData>
  <mergeCells count="2">
    <mergeCell ref="B1:F1"/>
    <mergeCell ref="B2:C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6"/>
  <sheetViews>
    <sheetView topLeftCell="A74" workbookViewId="0">
      <selection activeCell="H91" sqref="H91"/>
    </sheetView>
  </sheetViews>
  <sheetFormatPr baseColWidth="10" defaultRowHeight="15" x14ac:dyDescent="0.25"/>
  <cols>
    <col min="4" max="4" width="13" customWidth="1"/>
  </cols>
  <sheetData>
    <row r="2" spans="1:9" x14ac:dyDescent="0.25">
      <c r="B2" s="306" t="s">
        <v>547</v>
      </c>
      <c r="C2" s="306"/>
      <c r="D2" s="306"/>
      <c r="E2" s="306"/>
      <c r="F2" s="306"/>
      <c r="G2" s="306"/>
      <c r="H2" s="306"/>
    </row>
    <row r="3" spans="1:9" x14ac:dyDescent="0.25">
      <c r="B3" s="213" t="s">
        <v>548</v>
      </c>
      <c r="C3" s="211" t="s">
        <v>549</v>
      </c>
      <c r="D3" s="211" t="s">
        <v>552</v>
      </c>
      <c r="E3" s="211" t="s">
        <v>550</v>
      </c>
      <c r="F3" s="263" t="s">
        <v>865</v>
      </c>
      <c r="G3" s="211" t="s">
        <v>596</v>
      </c>
      <c r="H3" s="211" t="s">
        <v>551</v>
      </c>
    </row>
    <row r="4" spans="1:9" x14ac:dyDescent="0.25">
      <c r="A4" s="209" t="s">
        <v>589</v>
      </c>
      <c r="B4" s="190">
        <v>42219</v>
      </c>
      <c r="C4" s="116">
        <v>105.64</v>
      </c>
      <c r="D4" s="154">
        <v>1500.09</v>
      </c>
      <c r="E4" s="154">
        <v>470</v>
      </c>
      <c r="F4" s="154"/>
      <c r="G4" s="154">
        <v>150</v>
      </c>
      <c r="H4" s="116" t="s">
        <v>553</v>
      </c>
      <c r="I4" t="s">
        <v>565</v>
      </c>
    </row>
    <row r="5" spans="1:9" x14ac:dyDescent="0.25">
      <c r="A5" s="209" t="s">
        <v>589</v>
      </c>
      <c r="B5" s="190">
        <v>42223</v>
      </c>
      <c r="C5" s="116">
        <v>70.430000000000007</v>
      </c>
      <c r="D5" s="154">
        <v>1000.11</v>
      </c>
      <c r="E5" s="154">
        <v>470</v>
      </c>
      <c r="F5" s="154"/>
      <c r="G5" s="154">
        <v>150</v>
      </c>
      <c r="H5" s="203" t="s">
        <v>554</v>
      </c>
    </row>
    <row r="6" spans="1:9" x14ac:dyDescent="0.25">
      <c r="A6" s="209" t="s">
        <v>589</v>
      </c>
      <c r="B6" s="190">
        <v>42226</v>
      </c>
      <c r="C6" s="116">
        <v>91.57</v>
      </c>
      <c r="D6" s="154">
        <v>1300.29</v>
      </c>
      <c r="E6" s="154">
        <v>470</v>
      </c>
      <c r="F6" s="154"/>
      <c r="G6" s="154">
        <v>150</v>
      </c>
      <c r="H6" s="116" t="s">
        <v>555</v>
      </c>
      <c r="I6" t="s">
        <v>568</v>
      </c>
    </row>
    <row r="7" spans="1:9" x14ac:dyDescent="0.25">
      <c r="A7" s="209" t="s">
        <v>589</v>
      </c>
      <c r="B7" s="190">
        <v>42230</v>
      </c>
      <c r="C7" s="116">
        <v>105.96</v>
      </c>
      <c r="D7" s="154">
        <v>1504.63</v>
      </c>
      <c r="E7" s="154">
        <v>470</v>
      </c>
      <c r="F7" s="154"/>
      <c r="G7" s="154">
        <v>150</v>
      </c>
      <c r="H7" s="116" t="s">
        <v>556</v>
      </c>
      <c r="I7" t="s">
        <v>566</v>
      </c>
    </row>
    <row r="8" spans="1:9" x14ac:dyDescent="0.25">
      <c r="A8" s="209" t="s">
        <v>589</v>
      </c>
      <c r="B8" s="190">
        <v>42233</v>
      </c>
      <c r="C8" s="116">
        <v>84.52</v>
      </c>
      <c r="D8" s="154">
        <v>1200.18</v>
      </c>
      <c r="E8" s="154">
        <v>470</v>
      </c>
      <c r="F8" s="154"/>
      <c r="G8" s="154">
        <v>150</v>
      </c>
      <c r="H8" s="116" t="s">
        <v>557</v>
      </c>
      <c r="I8" t="s">
        <v>567</v>
      </c>
    </row>
    <row r="9" spans="1:9" x14ac:dyDescent="0.25">
      <c r="A9" s="209" t="s">
        <v>589</v>
      </c>
      <c r="B9" s="190">
        <v>42237</v>
      </c>
      <c r="C9" s="116">
        <v>91.55</v>
      </c>
      <c r="D9" s="154">
        <v>1300.01</v>
      </c>
      <c r="E9" s="154">
        <v>470</v>
      </c>
      <c r="F9" s="154"/>
      <c r="G9" s="154">
        <v>150</v>
      </c>
      <c r="H9" s="116" t="s">
        <v>558</v>
      </c>
      <c r="I9" t="s">
        <v>569</v>
      </c>
    </row>
    <row r="10" spans="1:9" x14ac:dyDescent="0.25">
      <c r="A10" s="209" t="s">
        <v>589</v>
      </c>
      <c r="B10" s="190">
        <v>42240</v>
      </c>
      <c r="C10" s="116">
        <v>82.4</v>
      </c>
      <c r="D10" s="154">
        <v>1170.08</v>
      </c>
      <c r="E10" s="154">
        <v>470</v>
      </c>
      <c r="F10" s="154"/>
      <c r="G10" s="154">
        <v>150</v>
      </c>
      <c r="H10" s="116" t="s">
        <v>559</v>
      </c>
      <c r="I10" t="s">
        <v>570</v>
      </c>
    </row>
    <row r="11" spans="1:9" x14ac:dyDescent="0.25">
      <c r="A11" s="209" t="s">
        <v>589</v>
      </c>
      <c r="B11" s="190">
        <v>42244</v>
      </c>
      <c r="C11" s="116">
        <v>74.569999999999993</v>
      </c>
      <c r="D11" s="154">
        <v>1058.8900000000001</v>
      </c>
      <c r="E11" s="154">
        <v>470</v>
      </c>
      <c r="F11" s="154"/>
      <c r="G11" s="154">
        <v>150</v>
      </c>
      <c r="H11" s="116" t="s">
        <v>560</v>
      </c>
      <c r="I11" t="s">
        <v>571</v>
      </c>
    </row>
    <row r="12" spans="1:9" x14ac:dyDescent="0.25">
      <c r="A12" s="209" t="s">
        <v>589</v>
      </c>
      <c r="B12" s="190">
        <v>42247</v>
      </c>
      <c r="C12" s="116">
        <v>101.34</v>
      </c>
      <c r="D12" s="154">
        <v>1439.11</v>
      </c>
      <c r="E12" s="154">
        <v>470</v>
      </c>
      <c r="F12" s="154"/>
      <c r="G12" s="154">
        <v>150</v>
      </c>
      <c r="H12" s="116" t="s">
        <v>561</v>
      </c>
      <c r="I12" t="s">
        <v>572</v>
      </c>
    </row>
    <row r="13" spans="1:9" x14ac:dyDescent="0.25">
      <c r="A13" s="209"/>
      <c r="B13" s="190"/>
      <c r="C13" s="116"/>
      <c r="D13" s="154"/>
      <c r="E13" s="154"/>
      <c r="F13" s="154"/>
      <c r="G13" s="154"/>
      <c r="H13" s="116"/>
    </row>
    <row r="14" spans="1:9" ht="15.75" x14ac:dyDescent="0.25">
      <c r="A14" s="209"/>
      <c r="B14" s="205"/>
      <c r="C14" s="205"/>
      <c r="D14" s="206">
        <f>SUM(D4:D13)</f>
        <v>11473.39</v>
      </c>
      <c r="E14" s="206">
        <f>SUM(E4:E13)</f>
        <v>4230</v>
      </c>
      <c r="F14" s="206"/>
      <c r="G14" s="206">
        <f>SUM(G4:G13)</f>
        <v>1350</v>
      </c>
      <c r="H14" s="207">
        <f>D14+E14+G14</f>
        <v>17053.39</v>
      </c>
    </row>
    <row r="15" spans="1:9" x14ac:dyDescent="0.25">
      <c r="A15" s="209"/>
      <c r="B15" s="190"/>
      <c r="C15" s="202"/>
      <c r="D15" s="154"/>
      <c r="E15" s="154"/>
      <c r="F15" s="154"/>
      <c r="G15" s="154"/>
      <c r="H15" s="202"/>
    </row>
    <row r="16" spans="1:9" x14ac:dyDescent="0.25">
      <c r="A16" s="209"/>
      <c r="B16" s="282" t="s">
        <v>562</v>
      </c>
      <c r="C16" s="283"/>
      <c r="D16" s="283"/>
      <c r="E16" s="283"/>
      <c r="F16" s="283"/>
      <c r="G16" s="283"/>
      <c r="H16" s="284"/>
    </row>
    <row r="17" spans="1:9" x14ac:dyDescent="0.25">
      <c r="A17" s="209"/>
      <c r="B17" s="213" t="s">
        <v>548</v>
      </c>
      <c r="C17" s="211" t="s">
        <v>549</v>
      </c>
      <c r="D17" s="211" t="s">
        <v>552</v>
      </c>
      <c r="E17" s="211" t="s">
        <v>550</v>
      </c>
      <c r="F17" s="263" t="s">
        <v>865</v>
      </c>
      <c r="G17" s="211" t="s">
        <v>596</v>
      </c>
      <c r="H17" s="211" t="s">
        <v>551</v>
      </c>
    </row>
    <row r="18" spans="1:9" x14ac:dyDescent="0.25">
      <c r="A18" s="210" t="s">
        <v>591</v>
      </c>
      <c r="B18" s="190">
        <v>42251</v>
      </c>
      <c r="C18" s="202">
        <v>20.72</v>
      </c>
      <c r="D18" s="154">
        <v>281.17</v>
      </c>
      <c r="E18" s="154">
        <v>420</v>
      </c>
      <c r="F18" s="154"/>
      <c r="G18" s="154"/>
      <c r="H18" s="205" t="s">
        <v>564</v>
      </c>
      <c r="I18" t="s">
        <v>574</v>
      </c>
    </row>
    <row r="19" spans="1:9" x14ac:dyDescent="0.25">
      <c r="A19" s="210" t="s">
        <v>591</v>
      </c>
      <c r="B19" s="190">
        <v>42252</v>
      </c>
      <c r="C19" s="202">
        <v>67.180000000000007</v>
      </c>
      <c r="D19" s="154">
        <v>911.63</v>
      </c>
      <c r="E19" s="154"/>
      <c r="F19" s="154"/>
      <c r="G19" s="154"/>
      <c r="H19" s="202"/>
    </row>
    <row r="20" spans="1:9" x14ac:dyDescent="0.25">
      <c r="A20" s="209" t="s">
        <v>590</v>
      </c>
      <c r="B20" s="190">
        <v>42251</v>
      </c>
      <c r="C20" s="202">
        <v>30.83</v>
      </c>
      <c r="D20" s="154">
        <v>418.36</v>
      </c>
      <c r="E20" s="154">
        <v>230</v>
      </c>
      <c r="F20" s="154"/>
      <c r="G20" s="154"/>
      <c r="H20" s="202" t="s">
        <v>563</v>
      </c>
      <c r="I20" t="s">
        <v>573</v>
      </c>
    </row>
    <row r="21" spans="1:9" x14ac:dyDescent="0.25">
      <c r="A21" s="209" t="s">
        <v>590</v>
      </c>
      <c r="B21" s="190">
        <v>42252</v>
      </c>
      <c r="C21" s="116">
        <v>9.75</v>
      </c>
      <c r="D21" s="154">
        <v>132.31</v>
      </c>
      <c r="E21" s="154"/>
      <c r="F21" s="154"/>
      <c r="G21" s="154"/>
      <c r="H21" s="116"/>
    </row>
    <row r="22" spans="1:9" x14ac:dyDescent="0.25">
      <c r="A22" s="209" t="s">
        <v>589</v>
      </c>
      <c r="B22" s="190">
        <v>42254</v>
      </c>
      <c r="C22" s="116">
        <v>81.62</v>
      </c>
      <c r="D22" s="154">
        <v>1159</v>
      </c>
      <c r="E22" s="154">
        <v>470</v>
      </c>
      <c r="F22" s="154"/>
      <c r="G22" s="154">
        <v>150</v>
      </c>
      <c r="H22" s="204" t="s">
        <v>588</v>
      </c>
      <c r="I22" t="s">
        <v>594</v>
      </c>
    </row>
    <row r="23" spans="1:9" x14ac:dyDescent="0.25">
      <c r="A23" s="209" t="s">
        <v>590</v>
      </c>
      <c r="B23" s="190">
        <v>42254</v>
      </c>
      <c r="C23" s="212"/>
      <c r="D23" s="154"/>
      <c r="E23" s="154">
        <v>230</v>
      </c>
      <c r="F23" s="154"/>
      <c r="G23" s="154"/>
      <c r="H23" s="212" t="s">
        <v>599</v>
      </c>
    </row>
    <row r="24" spans="1:9" x14ac:dyDescent="0.25">
      <c r="A24" s="209" t="s">
        <v>589</v>
      </c>
      <c r="B24" s="190">
        <v>42258</v>
      </c>
      <c r="C24" s="116">
        <v>70.44</v>
      </c>
      <c r="D24" s="154">
        <v>1000.25</v>
      </c>
      <c r="E24" s="154">
        <v>470</v>
      </c>
      <c r="F24" s="154"/>
      <c r="G24" s="154"/>
      <c r="H24" s="214" t="s">
        <v>605</v>
      </c>
      <c r="I24" t="s">
        <v>595</v>
      </c>
    </row>
    <row r="25" spans="1:9" x14ac:dyDescent="0.25">
      <c r="A25" s="209" t="s">
        <v>590</v>
      </c>
      <c r="B25" s="190">
        <v>42258</v>
      </c>
      <c r="C25" s="116">
        <v>15.62</v>
      </c>
      <c r="D25" s="154">
        <v>211.96</v>
      </c>
      <c r="E25" s="154">
        <v>230</v>
      </c>
      <c r="F25" s="154"/>
      <c r="G25" s="154"/>
      <c r="H25" s="215" t="s">
        <v>608</v>
      </c>
    </row>
    <row r="26" spans="1:9" x14ac:dyDescent="0.25">
      <c r="A26" s="209" t="s">
        <v>589</v>
      </c>
      <c r="B26" s="190">
        <v>42261</v>
      </c>
      <c r="C26" s="116"/>
      <c r="D26" s="116"/>
      <c r="E26" s="154">
        <v>470</v>
      </c>
      <c r="F26" s="154"/>
      <c r="G26" s="154"/>
      <c r="H26" s="218" t="s">
        <v>610</v>
      </c>
    </row>
    <row r="27" spans="1:9" x14ac:dyDescent="0.25">
      <c r="A27" s="209" t="s">
        <v>590</v>
      </c>
      <c r="B27" s="190">
        <v>42261</v>
      </c>
      <c r="C27" s="221"/>
      <c r="D27" s="154"/>
      <c r="E27" s="154">
        <v>230</v>
      </c>
      <c r="F27" s="154"/>
      <c r="G27" s="154"/>
      <c r="H27" s="221" t="s">
        <v>621</v>
      </c>
    </row>
    <row r="28" spans="1:9" x14ac:dyDescent="0.25">
      <c r="A28" s="209" t="s">
        <v>589</v>
      </c>
      <c r="B28" s="190">
        <v>42263</v>
      </c>
      <c r="C28" s="223"/>
      <c r="D28" s="154"/>
      <c r="E28" s="154">
        <v>470</v>
      </c>
      <c r="F28" s="154"/>
      <c r="G28" s="154"/>
      <c r="H28" s="223" t="s">
        <v>635</v>
      </c>
    </row>
    <row r="29" spans="1:9" x14ac:dyDescent="0.25">
      <c r="A29" s="209" t="s">
        <v>693</v>
      </c>
      <c r="B29" s="190">
        <v>42264</v>
      </c>
      <c r="C29" s="240"/>
      <c r="D29" s="154"/>
      <c r="E29" s="154">
        <v>270</v>
      </c>
      <c r="F29" s="154"/>
      <c r="G29" s="154"/>
      <c r="H29" s="240" t="s">
        <v>694</v>
      </c>
    </row>
    <row r="30" spans="1:9" x14ac:dyDescent="0.25">
      <c r="A30" s="209" t="s">
        <v>591</v>
      </c>
      <c r="B30" s="190">
        <v>42265</v>
      </c>
      <c r="C30" s="116"/>
      <c r="D30" s="154"/>
      <c r="E30" s="154">
        <v>520</v>
      </c>
      <c r="F30" s="154"/>
      <c r="G30" s="154"/>
      <c r="H30" s="224" t="s">
        <v>638</v>
      </c>
    </row>
    <row r="31" spans="1:9" x14ac:dyDescent="0.25">
      <c r="A31" s="209" t="s">
        <v>590</v>
      </c>
      <c r="B31" s="190">
        <v>42265</v>
      </c>
      <c r="C31" s="116"/>
      <c r="D31" s="154"/>
      <c r="E31" s="154">
        <v>230</v>
      </c>
      <c r="F31" s="154"/>
      <c r="G31" s="154"/>
      <c r="H31" s="225" t="s">
        <v>636</v>
      </c>
    </row>
    <row r="32" spans="1:9" x14ac:dyDescent="0.25">
      <c r="A32" s="209" t="s">
        <v>590</v>
      </c>
      <c r="B32" s="190">
        <v>42266</v>
      </c>
      <c r="C32" s="221"/>
      <c r="D32" s="154"/>
      <c r="E32" s="154">
        <v>230</v>
      </c>
      <c r="F32" s="154"/>
      <c r="G32" s="154"/>
      <c r="H32" s="224" t="s">
        <v>637</v>
      </c>
    </row>
    <row r="33" spans="1:9" x14ac:dyDescent="0.25">
      <c r="A33" s="210" t="s">
        <v>634</v>
      </c>
      <c r="B33" s="190">
        <v>42267</v>
      </c>
      <c r="C33" s="221"/>
      <c r="D33" s="154"/>
      <c r="E33" s="154">
        <v>280</v>
      </c>
      <c r="F33" s="154"/>
      <c r="G33" s="154"/>
      <c r="H33" s="222" t="s">
        <v>633</v>
      </c>
    </row>
    <row r="34" spans="1:9" x14ac:dyDescent="0.25">
      <c r="A34" s="209" t="s">
        <v>589</v>
      </c>
      <c r="B34" s="190">
        <v>42268</v>
      </c>
      <c r="C34" s="221"/>
      <c r="D34" s="154"/>
      <c r="E34" s="154">
        <v>470</v>
      </c>
      <c r="F34" s="154"/>
      <c r="G34" s="154">
        <v>150</v>
      </c>
      <c r="H34" s="224" t="s">
        <v>639</v>
      </c>
    </row>
    <row r="35" spans="1:9" x14ac:dyDescent="0.25">
      <c r="A35" s="209" t="s">
        <v>695</v>
      </c>
      <c r="B35" s="190">
        <v>42269</v>
      </c>
      <c r="C35" s="240"/>
      <c r="D35" s="154"/>
      <c r="E35" s="154">
        <v>230</v>
      </c>
      <c r="F35" s="154"/>
      <c r="G35" s="154"/>
      <c r="H35" s="240" t="s">
        <v>696</v>
      </c>
    </row>
    <row r="36" spans="1:9" x14ac:dyDescent="0.25">
      <c r="A36" s="209" t="s">
        <v>589</v>
      </c>
      <c r="B36" s="190">
        <v>42270</v>
      </c>
      <c r="C36" s="221"/>
      <c r="D36" s="154"/>
      <c r="E36" s="154">
        <v>470</v>
      </c>
      <c r="F36" s="154"/>
      <c r="G36" s="154">
        <v>150</v>
      </c>
      <c r="H36" s="237" t="s">
        <v>671</v>
      </c>
    </row>
    <row r="37" spans="1:9" x14ac:dyDescent="0.25">
      <c r="A37" s="209" t="s">
        <v>590</v>
      </c>
      <c r="B37" s="190">
        <v>42271</v>
      </c>
      <c r="C37" s="240"/>
      <c r="D37" s="154"/>
      <c r="E37" s="154">
        <v>280</v>
      </c>
      <c r="F37" s="154"/>
      <c r="G37" s="154"/>
      <c r="H37" s="240" t="s">
        <v>697</v>
      </c>
    </row>
    <row r="38" spans="1:9" x14ac:dyDescent="0.25">
      <c r="A38" s="209" t="s">
        <v>589</v>
      </c>
      <c r="B38" s="190">
        <v>42272</v>
      </c>
      <c r="C38" s="241"/>
      <c r="D38" s="154"/>
      <c r="E38" s="154">
        <v>520</v>
      </c>
      <c r="F38" s="154"/>
      <c r="G38" s="154"/>
      <c r="H38" s="241" t="s">
        <v>699</v>
      </c>
      <c r="I38" t="s">
        <v>700</v>
      </c>
    </row>
    <row r="39" spans="1:9" x14ac:dyDescent="0.25">
      <c r="A39" s="209" t="s">
        <v>590</v>
      </c>
      <c r="B39" s="190">
        <v>42273</v>
      </c>
      <c r="C39" s="238"/>
      <c r="D39" s="154"/>
      <c r="E39" s="154">
        <v>230</v>
      </c>
      <c r="F39" s="154"/>
      <c r="G39" s="154"/>
      <c r="H39" s="238" t="s">
        <v>679</v>
      </c>
      <c r="I39" t="s">
        <v>680</v>
      </c>
    </row>
    <row r="40" spans="1:9" x14ac:dyDescent="0.25">
      <c r="A40" s="209"/>
      <c r="B40" s="190">
        <v>42274</v>
      </c>
      <c r="C40" s="221"/>
      <c r="D40" s="154"/>
      <c r="E40" s="154">
        <v>280</v>
      </c>
      <c r="F40" s="154"/>
      <c r="G40" s="154">
        <v>150</v>
      </c>
      <c r="H40" s="241" t="s">
        <v>703</v>
      </c>
    </row>
    <row r="41" spans="1:9" x14ac:dyDescent="0.25">
      <c r="A41" s="209" t="s">
        <v>689</v>
      </c>
      <c r="B41" s="190">
        <v>42276</v>
      </c>
      <c r="C41" s="221"/>
      <c r="D41" s="154"/>
      <c r="E41" s="154">
        <f>470</f>
        <v>470</v>
      </c>
      <c r="F41" s="154"/>
      <c r="G41" s="154">
        <f>150+488</f>
        <v>638</v>
      </c>
      <c r="H41" s="239" t="s">
        <v>688</v>
      </c>
      <c r="I41" t="s">
        <v>687</v>
      </c>
    </row>
    <row r="42" spans="1:9" x14ac:dyDescent="0.25">
      <c r="A42" s="209" t="s">
        <v>690</v>
      </c>
      <c r="B42" s="190">
        <v>42276</v>
      </c>
      <c r="C42" s="221"/>
      <c r="D42" s="154"/>
      <c r="E42" s="154">
        <v>280</v>
      </c>
      <c r="F42" s="154"/>
      <c r="G42" s="154"/>
      <c r="H42" s="241" t="s">
        <v>704</v>
      </c>
    </row>
    <row r="43" spans="1:9" x14ac:dyDescent="0.25">
      <c r="A43" s="209" t="s">
        <v>589</v>
      </c>
      <c r="B43" s="190">
        <v>42277</v>
      </c>
      <c r="C43" s="241"/>
      <c r="D43" s="154"/>
      <c r="E43" s="154">
        <v>470</v>
      </c>
      <c r="F43" s="154"/>
      <c r="G43" s="154">
        <v>150</v>
      </c>
      <c r="H43" s="241" t="s">
        <v>705</v>
      </c>
    </row>
    <row r="44" spans="1:9" x14ac:dyDescent="0.25">
      <c r="A44" s="209"/>
      <c r="B44" s="190"/>
      <c r="C44" s="241"/>
      <c r="D44" s="154"/>
      <c r="E44" s="154"/>
      <c r="F44" s="154"/>
      <c r="G44" s="154"/>
      <c r="H44" s="241"/>
    </row>
    <row r="45" spans="1:9" x14ac:dyDescent="0.25">
      <c r="A45" s="209"/>
      <c r="B45" s="190"/>
      <c r="C45" s="241"/>
      <c r="D45" s="154"/>
      <c r="E45" s="154"/>
      <c r="F45" s="154"/>
      <c r="G45" s="154"/>
      <c r="H45" s="241"/>
    </row>
    <row r="46" spans="1:9" x14ac:dyDescent="0.25">
      <c r="A46" s="209"/>
      <c r="B46" s="190"/>
      <c r="C46" s="241"/>
      <c r="D46" s="154"/>
      <c r="E46" s="154"/>
      <c r="F46" s="154"/>
      <c r="G46" s="154"/>
      <c r="H46" s="241"/>
    </row>
    <row r="47" spans="1:9" x14ac:dyDescent="0.25">
      <c r="A47" s="209"/>
      <c r="B47" s="190"/>
      <c r="C47" s="240"/>
      <c r="D47" s="154"/>
      <c r="E47" s="154"/>
      <c r="F47" s="154"/>
      <c r="G47" s="154"/>
      <c r="H47" s="240"/>
    </row>
    <row r="48" spans="1:9" x14ac:dyDescent="0.25">
      <c r="A48" s="209"/>
      <c r="B48" s="190"/>
      <c r="C48" s="240"/>
      <c r="D48" s="154">
        <f>SUM(D18:D47)</f>
        <v>4114.6799999999994</v>
      </c>
      <c r="E48" s="154">
        <f>SUM(E18:E47)</f>
        <v>8450</v>
      </c>
      <c r="F48" s="154"/>
      <c r="G48" s="154">
        <f>SUM(G18:G47)</f>
        <v>1388</v>
      </c>
      <c r="H48" s="154">
        <f>G48+E48+D48</f>
        <v>13952.68</v>
      </c>
    </row>
    <row r="49" spans="1:8" x14ac:dyDescent="0.25">
      <c r="A49" s="209"/>
      <c r="B49" s="190"/>
      <c r="C49" s="240"/>
      <c r="D49" s="154"/>
      <c r="E49" s="154"/>
      <c r="F49" s="154"/>
      <c r="G49" s="154"/>
      <c r="H49" s="240"/>
    </row>
    <row r="50" spans="1:8" x14ac:dyDescent="0.25">
      <c r="A50" s="209"/>
      <c r="B50" s="282" t="s">
        <v>562</v>
      </c>
      <c r="C50" s="283"/>
      <c r="D50" s="283"/>
      <c r="E50" s="283"/>
      <c r="F50" s="283"/>
      <c r="G50" s="283"/>
      <c r="H50" s="284"/>
    </row>
    <row r="51" spans="1:8" x14ac:dyDescent="0.25">
      <c r="A51" s="209"/>
      <c r="B51" s="213" t="s">
        <v>548</v>
      </c>
      <c r="C51" s="256" t="s">
        <v>549</v>
      </c>
      <c r="D51" s="256" t="s">
        <v>552</v>
      </c>
      <c r="E51" s="256" t="s">
        <v>550</v>
      </c>
      <c r="F51" s="263" t="s">
        <v>865</v>
      </c>
      <c r="G51" s="256" t="s">
        <v>596</v>
      </c>
      <c r="H51" s="256" t="s">
        <v>551</v>
      </c>
    </row>
    <row r="52" spans="1:8" x14ac:dyDescent="0.25">
      <c r="A52" s="209" t="s">
        <v>689</v>
      </c>
      <c r="B52" s="190">
        <v>42279</v>
      </c>
      <c r="C52" s="240"/>
      <c r="D52" s="154"/>
      <c r="E52" s="154">
        <v>520</v>
      </c>
      <c r="F52" s="154"/>
      <c r="G52" s="154"/>
      <c r="H52" s="246" t="s">
        <v>721</v>
      </c>
    </row>
    <row r="53" spans="1:8" x14ac:dyDescent="0.25">
      <c r="A53" s="209" t="s">
        <v>689</v>
      </c>
      <c r="B53" s="190">
        <v>42281</v>
      </c>
      <c r="C53" s="246"/>
      <c r="D53" s="154"/>
      <c r="E53" s="154">
        <v>470</v>
      </c>
      <c r="F53" s="154"/>
      <c r="G53" s="154"/>
      <c r="H53" s="246" t="s">
        <v>722</v>
      </c>
    </row>
    <row r="54" spans="1:8" x14ac:dyDescent="0.25">
      <c r="A54" s="209" t="s">
        <v>689</v>
      </c>
      <c r="B54" s="190">
        <v>42282</v>
      </c>
      <c r="C54" s="246"/>
      <c r="D54" s="154"/>
      <c r="E54" s="154">
        <v>470</v>
      </c>
      <c r="F54" s="154"/>
      <c r="G54" s="154"/>
      <c r="H54" s="246" t="s">
        <v>723</v>
      </c>
    </row>
    <row r="55" spans="1:8" x14ac:dyDescent="0.25">
      <c r="A55" s="209" t="s">
        <v>689</v>
      </c>
      <c r="B55" s="190">
        <v>42284</v>
      </c>
      <c r="C55" s="240"/>
      <c r="D55" s="154"/>
      <c r="E55" s="154">
        <v>470</v>
      </c>
      <c r="F55" s="154"/>
      <c r="G55" s="154">
        <v>150</v>
      </c>
      <c r="H55" s="242" t="s">
        <v>713</v>
      </c>
    </row>
    <row r="56" spans="1:8" x14ac:dyDescent="0.25">
      <c r="A56" s="209" t="s">
        <v>689</v>
      </c>
      <c r="B56" s="190">
        <v>42286</v>
      </c>
      <c r="C56" s="249"/>
      <c r="D56" s="154"/>
      <c r="E56" s="154">
        <v>470</v>
      </c>
      <c r="F56" s="154"/>
      <c r="G56" s="154"/>
      <c r="H56" s="249" t="s">
        <v>742</v>
      </c>
    </row>
    <row r="57" spans="1:8" x14ac:dyDescent="0.25">
      <c r="A57" s="209" t="s">
        <v>690</v>
      </c>
      <c r="B57" s="190">
        <v>42287</v>
      </c>
      <c r="C57" s="240"/>
      <c r="D57" s="154"/>
      <c r="E57" s="154">
        <v>230</v>
      </c>
      <c r="F57" s="154"/>
      <c r="G57" s="154">
        <v>150</v>
      </c>
      <c r="H57" s="247" t="s">
        <v>726</v>
      </c>
    </row>
    <row r="58" spans="1:8" x14ac:dyDescent="0.25">
      <c r="A58" s="209" t="s">
        <v>689</v>
      </c>
      <c r="B58" s="190">
        <v>42288</v>
      </c>
      <c r="C58" s="240"/>
      <c r="D58" s="154"/>
      <c r="E58" s="154">
        <v>470</v>
      </c>
      <c r="F58" s="154"/>
      <c r="G58" s="154"/>
      <c r="H58" s="247" t="s">
        <v>727</v>
      </c>
    </row>
    <row r="59" spans="1:8" x14ac:dyDescent="0.25">
      <c r="A59" s="209" t="s">
        <v>689</v>
      </c>
      <c r="B59" s="190">
        <v>42289</v>
      </c>
      <c r="C59" s="240"/>
      <c r="D59" s="154"/>
      <c r="E59" s="154">
        <v>470</v>
      </c>
      <c r="F59" s="154"/>
      <c r="G59" s="154">
        <v>150</v>
      </c>
      <c r="H59" s="248" t="s">
        <v>728</v>
      </c>
    </row>
    <row r="60" spans="1:8" x14ac:dyDescent="0.25">
      <c r="A60" s="209" t="s">
        <v>689</v>
      </c>
      <c r="B60" s="190">
        <v>42291</v>
      </c>
      <c r="C60" s="240"/>
      <c r="D60" s="154"/>
      <c r="E60" s="154">
        <v>470</v>
      </c>
      <c r="F60" s="154"/>
      <c r="G60" s="154"/>
      <c r="H60" s="249" t="s">
        <v>744</v>
      </c>
    </row>
    <row r="61" spans="1:8" x14ac:dyDescent="0.25">
      <c r="A61" s="209" t="s">
        <v>747</v>
      </c>
      <c r="B61" s="190">
        <v>42293</v>
      </c>
      <c r="C61" s="240"/>
      <c r="D61" s="154"/>
      <c r="E61" s="154">
        <v>470</v>
      </c>
      <c r="F61" s="154"/>
      <c r="G61" s="154"/>
      <c r="H61" s="249" t="s">
        <v>748</v>
      </c>
    </row>
    <row r="62" spans="1:8" x14ac:dyDescent="0.25">
      <c r="A62" s="209" t="s">
        <v>747</v>
      </c>
      <c r="B62" s="190">
        <v>42295</v>
      </c>
      <c r="C62" s="240"/>
      <c r="D62" s="154"/>
      <c r="E62" s="154">
        <v>280</v>
      </c>
      <c r="F62" s="154"/>
      <c r="G62" s="154">
        <v>150</v>
      </c>
      <c r="H62" s="250" t="s">
        <v>751</v>
      </c>
    </row>
    <row r="63" spans="1:8" x14ac:dyDescent="0.25">
      <c r="A63" s="209" t="s">
        <v>747</v>
      </c>
      <c r="B63" s="190">
        <v>42296</v>
      </c>
      <c r="C63" s="240"/>
      <c r="D63" s="154"/>
      <c r="E63" s="154">
        <v>520</v>
      </c>
      <c r="F63" s="154"/>
      <c r="G63" s="154"/>
      <c r="H63" s="250" t="s">
        <v>752</v>
      </c>
    </row>
    <row r="64" spans="1:8" x14ac:dyDescent="0.25">
      <c r="A64" s="209" t="s">
        <v>689</v>
      </c>
      <c r="B64" s="190">
        <v>42298</v>
      </c>
      <c r="C64" s="251"/>
      <c r="D64" s="154"/>
      <c r="E64" s="154">
        <v>520</v>
      </c>
      <c r="F64" s="154"/>
      <c r="G64" s="154">
        <v>150</v>
      </c>
      <c r="H64" s="251" t="s">
        <v>771</v>
      </c>
    </row>
    <row r="65" spans="1:8" x14ac:dyDescent="0.25">
      <c r="A65" s="209" t="s">
        <v>689</v>
      </c>
      <c r="B65" s="190">
        <v>42300</v>
      </c>
      <c r="C65" s="251"/>
      <c r="D65" s="154"/>
      <c r="E65" s="154">
        <v>520</v>
      </c>
      <c r="F65" s="154"/>
      <c r="G65" s="154">
        <v>150</v>
      </c>
      <c r="H65" s="251" t="s">
        <v>772</v>
      </c>
    </row>
    <row r="66" spans="1:8" x14ac:dyDescent="0.25">
      <c r="A66" s="209" t="s">
        <v>767</v>
      </c>
      <c r="B66" s="190">
        <v>42301</v>
      </c>
      <c r="C66" s="251"/>
      <c r="D66" s="154"/>
      <c r="E66" s="154">
        <v>230</v>
      </c>
      <c r="F66" s="154"/>
      <c r="G66" s="154"/>
      <c r="H66" s="251" t="s">
        <v>768</v>
      </c>
    </row>
    <row r="67" spans="1:8" x14ac:dyDescent="0.25">
      <c r="A67" s="209" t="s">
        <v>590</v>
      </c>
      <c r="B67" s="190">
        <v>42302</v>
      </c>
      <c r="C67" s="251"/>
      <c r="D67" s="154"/>
      <c r="E67" s="154"/>
      <c r="F67" s="154"/>
      <c r="G67" s="154"/>
      <c r="H67" s="251"/>
    </row>
    <row r="68" spans="1:8" x14ac:dyDescent="0.25">
      <c r="A68" s="209" t="s">
        <v>689</v>
      </c>
      <c r="B68" s="190">
        <v>42303</v>
      </c>
      <c r="C68" s="251"/>
      <c r="D68" s="154"/>
      <c r="E68" s="154">
        <v>520</v>
      </c>
      <c r="F68" s="154"/>
      <c r="G68" s="154">
        <v>150</v>
      </c>
      <c r="H68" s="255" t="s">
        <v>792</v>
      </c>
    </row>
    <row r="69" spans="1:8" x14ac:dyDescent="0.25">
      <c r="A69" s="209" t="s">
        <v>689</v>
      </c>
      <c r="B69" s="190">
        <v>42305</v>
      </c>
      <c r="C69" s="251"/>
      <c r="D69" s="154"/>
      <c r="E69" s="154">
        <v>520</v>
      </c>
      <c r="F69" s="154"/>
      <c r="G69" s="154"/>
      <c r="H69" s="255" t="s">
        <v>793</v>
      </c>
    </row>
    <row r="70" spans="1:8" x14ac:dyDescent="0.25">
      <c r="A70" s="209" t="s">
        <v>689</v>
      </c>
      <c r="B70" s="190">
        <v>42307</v>
      </c>
      <c r="C70" s="251"/>
      <c r="D70" s="154"/>
      <c r="E70" s="154">
        <v>520</v>
      </c>
      <c r="F70" s="154"/>
      <c r="G70" s="154"/>
      <c r="H70" s="254" t="s">
        <v>790</v>
      </c>
    </row>
    <row r="71" spans="1:8" x14ac:dyDescent="0.25">
      <c r="A71" s="209"/>
      <c r="B71" s="190"/>
      <c r="C71" s="251"/>
      <c r="D71" s="154"/>
      <c r="E71" s="154"/>
      <c r="F71" s="154"/>
      <c r="G71" s="154"/>
      <c r="H71" s="251"/>
    </row>
    <row r="72" spans="1:8" x14ac:dyDescent="0.25">
      <c r="A72" s="209"/>
      <c r="B72" s="190"/>
      <c r="C72" s="251"/>
      <c r="D72" s="154"/>
      <c r="E72" s="154"/>
      <c r="F72" s="154"/>
      <c r="G72" s="154"/>
      <c r="H72" s="251"/>
    </row>
    <row r="73" spans="1:8" x14ac:dyDescent="0.25">
      <c r="A73" s="209"/>
      <c r="B73" s="190"/>
      <c r="C73" s="251"/>
      <c r="D73" s="154"/>
      <c r="E73" s="154"/>
      <c r="F73" s="154"/>
      <c r="G73" s="154"/>
      <c r="H73" s="251"/>
    </row>
    <row r="74" spans="1:8" x14ac:dyDescent="0.25">
      <c r="A74" s="209"/>
      <c r="B74" s="190"/>
      <c r="C74" s="251"/>
      <c r="D74" s="154"/>
      <c r="E74" s="154"/>
      <c r="F74" s="154"/>
      <c r="G74" s="154"/>
      <c r="H74" s="251"/>
    </row>
    <row r="75" spans="1:8" x14ac:dyDescent="0.25">
      <c r="A75" s="209"/>
      <c r="B75" s="190"/>
      <c r="C75" s="251"/>
      <c r="D75" s="154"/>
      <c r="E75" s="154"/>
      <c r="F75" s="154"/>
      <c r="G75" s="154"/>
      <c r="H75" s="251"/>
    </row>
    <row r="76" spans="1:8" x14ac:dyDescent="0.25">
      <c r="A76" s="209"/>
      <c r="B76" s="190"/>
      <c r="C76" s="251"/>
      <c r="D76" s="154"/>
      <c r="E76" s="154"/>
      <c r="F76" s="154"/>
      <c r="G76" s="154"/>
      <c r="H76" s="251"/>
    </row>
    <row r="77" spans="1:8" x14ac:dyDescent="0.25">
      <c r="A77" s="209"/>
      <c r="B77" s="221"/>
      <c r="C77" s="221"/>
      <c r="D77" s="154"/>
      <c r="E77" s="154"/>
      <c r="F77" s="154"/>
      <c r="G77" s="154"/>
      <c r="H77" s="221"/>
    </row>
    <row r="78" spans="1:8" x14ac:dyDescent="0.25">
      <c r="A78" s="209"/>
      <c r="B78" s="282" t="s">
        <v>562</v>
      </c>
      <c r="C78" s="283"/>
      <c r="D78" s="283"/>
      <c r="E78" s="283"/>
      <c r="F78" s="283"/>
      <c r="G78" s="283"/>
      <c r="H78" s="284"/>
    </row>
    <row r="79" spans="1:8" x14ac:dyDescent="0.25">
      <c r="A79" s="209"/>
      <c r="B79" s="213" t="s">
        <v>548</v>
      </c>
      <c r="C79" s="256" t="s">
        <v>549</v>
      </c>
      <c r="D79" s="256" t="s">
        <v>552</v>
      </c>
      <c r="E79" s="256" t="s">
        <v>550</v>
      </c>
      <c r="F79" s="263" t="s">
        <v>865</v>
      </c>
      <c r="G79" s="256" t="s">
        <v>596</v>
      </c>
      <c r="H79" s="256" t="s">
        <v>551</v>
      </c>
    </row>
    <row r="80" spans="1:8" x14ac:dyDescent="0.25">
      <c r="A80" s="209" t="s">
        <v>796</v>
      </c>
      <c r="B80" s="190">
        <v>42309</v>
      </c>
      <c r="C80" s="257"/>
      <c r="D80" s="154"/>
      <c r="E80" s="154">
        <v>280</v>
      </c>
      <c r="F80" s="154"/>
      <c r="G80" s="154"/>
      <c r="H80" s="257" t="s">
        <v>795</v>
      </c>
    </row>
    <row r="81" spans="1:9" x14ac:dyDescent="0.25">
      <c r="A81" s="209" t="s">
        <v>589</v>
      </c>
      <c r="B81" s="190">
        <v>42310</v>
      </c>
      <c r="C81" s="257"/>
      <c r="D81" s="154"/>
      <c r="E81" s="154">
        <v>520</v>
      </c>
      <c r="F81" s="154"/>
      <c r="G81" s="154">
        <v>150</v>
      </c>
      <c r="H81" s="261" t="s">
        <v>824</v>
      </c>
      <c r="I81" t="s">
        <v>833</v>
      </c>
    </row>
    <row r="82" spans="1:9" x14ac:dyDescent="0.25">
      <c r="A82" s="209" t="s">
        <v>589</v>
      </c>
      <c r="B82" s="190">
        <v>42312</v>
      </c>
      <c r="C82" s="257"/>
      <c r="D82" s="154"/>
      <c r="E82" s="154">
        <v>470</v>
      </c>
      <c r="F82" s="154"/>
      <c r="G82" s="154">
        <v>150</v>
      </c>
      <c r="H82" s="261" t="s">
        <v>826</v>
      </c>
      <c r="I82" t="s">
        <v>832</v>
      </c>
    </row>
    <row r="83" spans="1:9" x14ac:dyDescent="0.25">
      <c r="A83" s="209" t="s">
        <v>589</v>
      </c>
      <c r="B83" s="190">
        <v>42314</v>
      </c>
      <c r="C83" s="257"/>
      <c r="D83" s="154"/>
      <c r="E83" s="154">
        <v>470</v>
      </c>
      <c r="F83" s="268"/>
      <c r="H83" s="259" t="s">
        <v>810</v>
      </c>
    </row>
    <row r="84" spans="1:9" x14ac:dyDescent="0.25">
      <c r="A84" s="209" t="s">
        <v>589</v>
      </c>
      <c r="B84" s="190">
        <v>42316</v>
      </c>
      <c r="C84" s="261"/>
      <c r="D84" s="154"/>
      <c r="E84" s="154">
        <v>470</v>
      </c>
      <c r="F84" s="154"/>
      <c r="G84" s="154">
        <v>150</v>
      </c>
      <c r="H84" s="261" t="s">
        <v>830</v>
      </c>
      <c r="I84" t="s">
        <v>831</v>
      </c>
    </row>
    <row r="85" spans="1:9" x14ac:dyDescent="0.25">
      <c r="A85" s="209" t="s">
        <v>589</v>
      </c>
      <c r="B85" s="190">
        <v>42317</v>
      </c>
      <c r="C85" s="257"/>
      <c r="D85" s="154"/>
      <c r="E85" s="154">
        <v>470</v>
      </c>
      <c r="F85" s="154"/>
      <c r="G85" s="154"/>
      <c r="H85" s="260" t="s">
        <v>812</v>
      </c>
    </row>
    <row r="86" spans="1:9" x14ac:dyDescent="0.25">
      <c r="A86" s="209" t="s">
        <v>589</v>
      </c>
      <c r="B86" s="190">
        <v>42320</v>
      </c>
      <c r="C86" s="257"/>
      <c r="D86" s="154"/>
      <c r="E86" s="154">
        <v>470</v>
      </c>
      <c r="F86" s="154"/>
      <c r="G86" s="154">
        <v>150</v>
      </c>
      <c r="H86" s="262" t="s">
        <v>842</v>
      </c>
      <c r="I86" t="s">
        <v>841</v>
      </c>
    </row>
    <row r="87" spans="1:9" x14ac:dyDescent="0.25">
      <c r="A87" s="209" t="s">
        <v>589</v>
      </c>
      <c r="B87" s="190">
        <v>42321</v>
      </c>
      <c r="C87" s="257"/>
      <c r="D87" s="154"/>
      <c r="E87" s="154">
        <v>470</v>
      </c>
      <c r="F87" s="154"/>
      <c r="G87" s="154"/>
      <c r="H87" s="270" t="s">
        <v>890</v>
      </c>
    </row>
    <row r="88" spans="1:9" x14ac:dyDescent="0.25">
      <c r="A88" s="209" t="s">
        <v>589</v>
      </c>
      <c r="B88" s="190">
        <v>42323</v>
      </c>
      <c r="C88" s="257"/>
      <c r="D88" s="154"/>
      <c r="E88" s="154"/>
      <c r="F88" s="154">
        <v>464</v>
      </c>
      <c r="G88" s="154">
        <v>150</v>
      </c>
      <c r="H88" s="257"/>
      <c r="I88" t="s">
        <v>866</v>
      </c>
    </row>
    <row r="89" spans="1:9" x14ac:dyDescent="0.25">
      <c r="A89" s="209" t="s">
        <v>589</v>
      </c>
      <c r="B89" s="190">
        <v>42324</v>
      </c>
      <c r="C89" s="257"/>
      <c r="D89" s="154"/>
      <c r="E89" s="154">
        <v>470</v>
      </c>
      <c r="F89" s="154"/>
      <c r="G89" s="154">
        <v>250</v>
      </c>
      <c r="H89" s="264" t="s">
        <v>868</v>
      </c>
    </row>
    <row r="90" spans="1:9" x14ac:dyDescent="0.25">
      <c r="A90" s="209" t="s">
        <v>589</v>
      </c>
      <c r="B90" s="190">
        <v>42326</v>
      </c>
      <c r="C90" s="257"/>
      <c r="D90" s="154"/>
      <c r="E90" s="154">
        <v>470</v>
      </c>
      <c r="F90" s="154"/>
      <c r="G90" s="154"/>
      <c r="H90" s="270" t="s">
        <v>893</v>
      </c>
    </row>
    <row r="91" spans="1:9" x14ac:dyDescent="0.25">
      <c r="A91" s="209" t="s">
        <v>589</v>
      </c>
      <c r="B91" s="190">
        <v>42328</v>
      </c>
      <c r="C91" s="257"/>
      <c r="D91" s="154"/>
      <c r="E91" s="154">
        <v>470</v>
      </c>
      <c r="F91" s="154"/>
      <c r="G91" s="154"/>
      <c r="H91" s="225" t="s">
        <v>884</v>
      </c>
    </row>
    <row r="92" spans="1:9" x14ac:dyDescent="0.25">
      <c r="A92" s="209"/>
      <c r="B92" s="190"/>
      <c r="C92" s="257"/>
      <c r="D92" s="154"/>
      <c r="E92" s="154"/>
      <c r="F92" s="154"/>
      <c r="G92" s="154"/>
      <c r="H92" s="257"/>
    </row>
    <row r="93" spans="1:9" x14ac:dyDescent="0.25">
      <c r="A93" s="209"/>
      <c r="B93" s="190"/>
      <c r="C93" s="257"/>
      <c r="D93" s="154"/>
      <c r="E93" s="154"/>
      <c r="F93" s="154"/>
      <c r="G93" s="154"/>
      <c r="H93" s="257"/>
    </row>
    <row r="94" spans="1:9" x14ac:dyDescent="0.25">
      <c r="A94" s="209"/>
      <c r="B94" s="190"/>
      <c r="C94" s="257"/>
      <c r="D94" s="154"/>
      <c r="E94" s="154"/>
      <c r="F94" s="154"/>
      <c r="G94" s="154"/>
      <c r="H94" s="257"/>
    </row>
    <row r="95" spans="1:9" x14ac:dyDescent="0.25">
      <c r="A95" s="209"/>
      <c r="B95" s="190"/>
      <c r="C95" s="257"/>
      <c r="D95" s="154"/>
      <c r="E95" s="154"/>
      <c r="F95" s="154"/>
      <c r="G95" s="154"/>
      <c r="H95" s="257"/>
    </row>
    <row r="96" spans="1:9" x14ac:dyDescent="0.25">
      <c r="A96" s="209"/>
      <c r="B96" s="190"/>
      <c r="C96" s="257"/>
      <c r="D96" s="154"/>
      <c r="E96" s="154"/>
      <c r="F96" s="154"/>
      <c r="G96" s="154"/>
      <c r="H96" s="257"/>
    </row>
    <row r="97" spans="1:8" x14ac:dyDescent="0.25">
      <c r="A97" s="209"/>
      <c r="B97" s="190"/>
      <c r="C97" s="257"/>
      <c r="D97" s="154"/>
      <c r="E97" s="154"/>
      <c r="F97" s="154"/>
      <c r="G97" s="154"/>
      <c r="H97" s="257"/>
    </row>
    <row r="98" spans="1:8" x14ac:dyDescent="0.25">
      <c r="A98" s="209"/>
      <c r="B98" s="190"/>
      <c r="C98" s="257"/>
      <c r="D98" s="154"/>
      <c r="E98" s="154"/>
      <c r="F98" s="154"/>
      <c r="G98" s="154"/>
      <c r="H98" s="257"/>
    </row>
    <row r="99" spans="1:8" x14ac:dyDescent="0.25">
      <c r="A99" s="209"/>
      <c r="B99" s="190"/>
      <c r="C99" s="257"/>
      <c r="D99" s="154"/>
      <c r="E99" s="154"/>
      <c r="F99" s="154"/>
      <c r="G99" s="154"/>
      <c r="H99" s="257"/>
    </row>
    <row r="100" spans="1:8" x14ac:dyDescent="0.25">
      <c r="A100" s="209"/>
      <c r="B100" s="190"/>
      <c r="C100" s="257"/>
      <c r="D100" s="154"/>
      <c r="E100" s="154"/>
      <c r="F100" s="154"/>
      <c r="G100" s="154"/>
      <c r="H100" s="257"/>
    </row>
    <row r="101" spans="1:8" x14ac:dyDescent="0.25">
      <c r="A101" s="209"/>
      <c r="B101" s="190"/>
      <c r="C101" s="257"/>
      <c r="D101" s="154"/>
      <c r="E101" s="154"/>
      <c r="F101" s="154"/>
      <c r="G101" s="154"/>
      <c r="H101" s="257"/>
    </row>
    <row r="102" spans="1:8" x14ac:dyDescent="0.25">
      <c r="A102" s="209"/>
      <c r="B102" s="190"/>
      <c r="C102" s="257"/>
      <c r="D102" s="154"/>
      <c r="E102" s="154"/>
      <c r="F102" s="154"/>
      <c r="G102" s="154"/>
      <c r="H102" s="257"/>
    </row>
    <row r="103" spans="1:8" x14ac:dyDescent="0.25">
      <c r="B103" s="190"/>
      <c r="C103" s="257"/>
      <c r="D103" s="154"/>
      <c r="E103" s="154"/>
      <c r="F103" s="154"/>
      <c r="G103" s="154"/>
      <c r="H103" s="257"/>
    </row>
    <row r="104" spans="1:8" x14ac:dyDescent="0.25">
      <c r="B104" s="190"/>
      <c r="C104" s="257"/>
      <c r="D104" s="154"/>
      <c r="E104" s="154"/>
      <c r="F104" s="154"/>
      <c r="G104" s="154"/>
      <c r="H104" s="257"/>
    </row>
    <row r="105" spans="1:8" x14ac:dyDescent="0.25">
      <c r="B105" s="190"/>
      <c r="C105" s="257"/>
      <c r="D105" s="154"/>
      <c r="E105" s="154"/>
      <c r="F105" s="154"/>
      <c r="G105" s="154"/>
      <c r="H105" s="257"/>
    </row>
    <row r="106" spans="1:8" x14ac:dyDescent="0.25">
      <c r="B106" s="257"/>
      <c r="C106" s="257"/>
      <c r="D106" s="154"/>
      <c r="E106" s="154"/>
      <c r="F106" s="154"/>
      <c r="G106" s="154"/>
      <c r="H106" s="257"/>
    </row>
  </sheetData>
  <mergeCells count="4">
    <mergeCell ref="B2:H2"/>
    <mergeCell ref="B16:H16"/>
    <mergeCell ref="B50:H50"/>
    <mergeCell ref="B78:H78"/>
  </mergeCells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8"/>
  <sheetViews>
    <sheetView tabSelected="1" topLeftCell="A16" workbookViewId="0">
      <selection activeCell="D42" sqref="D42"/>
    </sheetView>
  </sheetViews>
  <sheetFormatPr baseColWidth="10" defaultRowHeight="15" x14ac:dyDescent="0.25"/>
  <cols>
    <col min="1" max="1" width="38" style="100" customWidth="1"/>
    <col min="2" max="2" width="6" style="100" customWidth="1"/>
    <col min="3" max="3" width="26.7109375" style="100" customWidth="1"/>
    <col min="4" max="4" width="34.85546875" style="100" customWidth="1"/>
    <col min="5" max="5" width="11.42578125" style="100"/>
    <col min="6" max="6" width="24.42578125" style="100" customWidth="1"/>
    <col min="7" max="7" width="17.42578125" style="100" customWidth="1"/>
    <col min="8" max="8" width="6" style="100" customWidth="1"/>
    <col min="9" max="9" width="26.7109375" style="100" customWidth="1"/>
    <col min="10" max="10" width="34.85546875" style="100" customWidth="1"/>
    <col min="11" max="16384" width="11.42578125" style="100"/>
  </cols>
  <sheetData>
    <row r="2" spans="2:10" x14ac:dyDescent="0.25">
      <c r="C2" s="129" t="s">
        <v>909</v>
      </c>
      <c r="D2" s="129" t="s">
        <v>910</v>
      </c>
      <c r="I2" s="129" t="s">
        <v>909</v>
      </c>
      <c r="J2" s="129" t="s">
        <v>910</v>
      </c>
    </row>
    <row r="3" spans="2:10" x14ac:dyDescent="0.25">
      <c r="B3" s="130">
        <v>1</v>
      </c>
      <c r="C3" s="100" t="s">
        <v>911</v>
      </c>
      <c r="D3" s="100" t="s">
        <v>912</v>
      </c>
      <c r="H3" s="130">
        <v>1</v>
      </c>
      <c r="I3" s="100" t="s">
        <v>911</v>
      </c>
      <c r="J3" s="100" t="s">
        <v>912</v>
      </c>
    </row>
    <row r="4" spans="2:10" x14ac:dyDescent="0.25">
      <c r="B4" s="130">
        <v>2</v>
      </c>
      <c r="C4" s="100" t="s">
        <v>913</v>
      </c>
      <c r="D4" s="100" t="s">
        <v>914</v>
      </c>
      <c r="H4" s="130">
        <v>2</v>
      </c>
      <c r="I4" s="100" t="s">
        <v>913</v>
      </c>
      <c r="J4" s="100" t="s">
        <v>914</v>
      </c>
    </row>
    <row r="5" spans="2:10" x14ac:dyDescent="0.25">
      <c r="B5" s="130">
        <v>3</v>
      </c>
      <c r="C5" s="100" t="s">
        <v>915</v>
      </c>
      <c r="D5" s="100" t="s">
        <v>914</v>
      </c>
      <c r="H5" s="130">
        <v>3</v>
      </c>
      <c r="I5" s="100" t="s">
        <v>915</v>
      </c>
      <c r="J5" s="100" t="s">
        <v>914</v>
      </c>
    </row>
    <row r="6" spans="2:10" x14ac:dyDescent="0.25">
      <c r="B6" s="130">
        <v>4</v>
      </c>
      <c r="C6" s="100" t="s">
        <v>916</v>
      </c>
      <c r="D6" s="100" t="s">
        <v>914</v>
      </c>
      <c r="H6" s="130">
        <v>4</v>
      </c>
      <c r="I6" s="100" t="s">
        <v>916</v>
      </c>
      <c r="J6" s="100" t="s">
        <v>914</v>
      </c>
    </row>
    <row r="7" spans="2:10" x14ac:dyDescent="0.25">
      <c r="B7" s="130">
        <v>5</v>
      </c>
      <c r="C7" s="100" t="s">
        <v>917</v>
      </c>
      <c r="D7" s="100" t="s">
        <v>918</v>
      </c>
      <c r="H7" s="130">
        <v>5</v>
      </c>
      <c r="I7" s="100" t="s">
        <v>917</v>
      </c>
      <c r="J7" s="100" t="s">
        <v>918</v>
      </c>
    </row>
    <row r="8" spans="2:10" x14ac:dyDescent="0.25">
      <c r="B8" s="130">
        <v>6</v>
      </c>
      <c r="C8" s="100" t="s">
        <v>919</v>
      </c>
      <c r="D8" s="100" t="s">
        <v>920</v>
      </c>
      <c r="H8" s="130">
        <v>6</v>
      </c>
      <c r="I8" s="100" t="s">
        <v>919</v>
      </c>
      <c r="J8" s="100" t="s">
        <v>920</v>
      </c>
    </row>
    <row r="9" spans="2:10" x14ac:dyDescent="0.25">
      <c r="B9" s="130">
        <v>7</v>
      </c>
      <c r="C9" s="100" t="s">
        <v>921</v>
      </c>
      <c r="D9" s="100" t="s">
        <v>920</v>
      </c>
      <c r="H9" s="130">
        <v>7</v>
      </c>
      <c r="I9" s="100" t="s">
        <v>921</v>
      </c>
      <c r="J9" s="100" t="s">
        <v>920</v>
      </c>
    </row>
    <row r="10" spans="2:10" x14ac:dyDescent="0.25">
      <c r="B10" s="130">
        <v>8</v>
      </c>
      <c r="C10" s="100" t="s">
        <v>922</v>
      </c>
      <c r="D10" s="100" t="s">
        <v>923</v>
      </c>
      <c r="H10" s="130">
        <v>8</v>
      </c>
      <c r="I10" s="100" t="s">
        <v>922</v>
      </c>
      <c r="J10" s="100" t="s">
        <v>923</v>
      </c>
    </row>
    <row r="11" spans="2:10" x14ac:dyDescent="0.25">
      <c r="B11" s="130">
        <v>9</v>
      </c>
      <c r="C11" s="100" t="s">
        <v>924</v>
      </c>
      <c r="D11" s="100" t="s">
        <v>925</v>
      </c>
      <c r="H11" s="130">
        <v>9</v>
      </c>
      <c r="I11" s="100" t="s">
        <v>924</v>
      </c>
      <c r="J11" s="100" t="s">
        <v>925</v>
      </c>
    </row>
    <row r="12" spans="2:10" x14ac:dyDescent="0.25">
      <c r="B12" s="130">
        <v>10</v>
      </c>
      <c r="C12" s="100" t="s">
        <v>926</v>
      </c>
      <c r="D12" s="100" t="s">
        <v>927</v>
      </c>
      <c r="H12" s="130">
        <v>10</v>
      </c>
      <c r="I12" s="100" t="s">
        <v>926</v>
      </c>
      <c r="J12" s="100" t="s">
        <v>927</v>
      </c>
    </row>
    <row r="13" spans="2:10" x14ac:dyDescent="0.25">
      <c r="B13" s="130">
        <v>11</v>
      </c>
      <c r="C13" s="100" t="s">
        <v>928</v>
      </c>
      <c r="D13" s="100" t="s">
        <v>929</v>
      </c>
      <c r="H13" s="130">
        <v>11</v>
      </c>
      <c r="I13" s="100" t="s">
        <v>928</v>
      </c>
      <c r="J13" s="100" t="s">
        <v>929</v>
      </c>
    </row>
    <row r="14" spans="2:10" x14ac:dyDescent="0.25">
      <c r="B14" s="130">
        <v>12</v>
      </c>
      <c r="C14" s="100" t="s">
        <v>930</v>
      </c>
      <c r="D14" s="100" t="s">
        <v>931</v>
      </c>
      <c r="H14" s="130">
        <v>12</v>
      </c>
      <c r="I14" s="100" t="s">
        <v>930</v>
      </c>
      <c r="J14" s="100" t="s">
        <v>931</v>
      </c>
    </row>
    <row r="15" spans="2:10" x14ac:dyDescent="0.25">
      <c r="B15" s="130">
        <v>13</v>
      </c>
      <c r="C15" s="100" t="s">
        <v>932</v>
      </c>
      <c r="D15" s="100" t="s">
        <v>933</v>
      </c>
      <c r="H15" s="130">
        <v>13</v>
      </c>
      <c r="I15" s="100" t="s">
        <v>932</v>
      </c>
      <c r="J15" s="100" t="s">
        <v>933</v>
      </c>
    </row>
    <row r="16" spans="2:10" x14ac:dyDescent="0.25">
      <c r="B16" s="130">
        <v>14</v>
      </c>
      <c r="C16" s="100" t="s">
        <v>934</v>
      </c>
      <c r="D16" s="100" t="s">
        <v>933</v>
      </c>
      <c r="H16" s="130">
        <v>14</v>
      </c>
      <c r="I16" s="100" t="s">
        <v>934</v>
      </c>
      <c r="J16" s="100" t="s">
        <v>933</v>
      </c>
    </row>
    <row r="17" spans="2:10" x14ac:dyDescent="0.25">
      <c r="B17" s="130">
        <v>15</v>
      </c>
      <c r="C17" s="100" t="s">
        <v>935</v>
      </c>
      <c r="D17" s="100" t="s">
        <v>936</v>
      </c>
      <c r="H17" s="130">
        <v>15</v>
      </c>
      <c r="I17" s="100" t="s">
        <v>935</v>
      </c>
      <c r="J17" s="100" t="s">
        <v>936</v>
      </c>
    </row>
    <row r="18" spans="2:10" x14ac:dyDescent="0.25">
      <c r="B18" s="130">
        <v>16</v>
      </c>
      <c r="C18" s="100" t="s">
        <v>937</v>
      </c>
      <c r="D18" s="100" t="s">
        <v>936</v>
      </c>
      <c r="H18" s="130">
        <v>16</v>
      </c>
      <c r="I18" s="100" t="s">
        <v>937</v>
      </c>
      <c r="J18" s="100" t="s">
        <v>936</v>
      </c>
    </row>
    <row r="19" spans="2:10" x14ac:dyDescent="0.25">
      <c r="B19" s="130">
        <v>17</v>
      </c>
      <c r="C19" s="100" t="s">
        <v>938</v>
      </c>
      <c r="D19" s="100" t="s">
        <v>936</v>
      </c>
      <c r="H19" s="130">
        <v>17</v>
      </c>
      <c r="I19" s="100" t="s">
        <v>938</v>
      </c>
      <c r="J19" s="100" t="s">
        <v>936</v>
      </c>
    </row>
    <row r="20" spans="2:10" x14ac:dyDescent="0.25">
      <c r="B20" s="130">
        <v>18</v>
      </c>
      <c r="C20" s="100" t="s">
        <v>939</v>
      </c>
      <c r="D20" s="100" t="s">
        <v>940</v>
      </c>
      <c r="H20" s="130">
        <v>18</v>
      </c>
      <c r="I20" s="100" t="s">
        <v>939</v>
      </c>
      <c r="J20" s="100" t="s">
        <v>940</v>
      </c>
    </row>
    <row r="21" spans="2:10" x14ac:dyDescent="0.25">
      <c r="B21" s="130">
        <v>19</v>
      </c>
      <c r="C21" s="100" t="s">
        <v>941</v>
      </c>
      <c r="D21" s="100" t="s">
        <v>942</v>
      </c>
      <c r="H21" s="130">
        <v>19</v>
      </c>
      <c r="I21" s="100" t="s">
        <v>941</v>
      </c>
      <c r="J21" s="100" t="s">
        <v>942</v>
      </c>
    </row>
    <row r="22" spans="2:10" x14ac:dyDescent="0.25">
      <c r="B22" s="130">
        <v>20</v>
      </c>
      <c r="C22" s="100" t="s">
        <v>943</v>
      </c>
      <c r="D22" s="100" t="s">
        <v>944</v>
      </c>
      <c r="H22" s="130">
        <v>20</v>
      </c>
      <c r="I22" s="100" t="s">
        <v>943</v>
      </c>
      <c r="J22" s="100" t="s">
        <v>944</v>
      </c>
    </row>
    <row r="23" spans="2:10" x14ac:dyDescent="0.25">
      <c r="B23" s="130">
        <v>21</v>
      </c>
      <c r="C23" s="100" t="s">
        <v>945</v>
      </c>
      <c r="D23" s="100" t="s">
        <v>946</v>
      </c>
      <c r="H23" s="130">
        <v>21</v>
      </c>
      <c r="I23" s="100" t="s">
        <v>945</v>
      </c>
      <c r="J23" s="100" t="s">
        <v>946</v>
      </c>
    </row>
    <row r="24" spans="2:10" x14ac:dyDescent="0.25">
      <c r="B24" s="130">
        <v>22</v>
      </c>
      <c r="C24" s="100" t="s">
        <v>947</v>
      </c>
      <c r="D24" s="100" t="s">
        <v>948</v>
      </c>
      <c r="H24" s="130">
        <v>22</v>
      </c>
      <c r="I24" s="100" t="s">
        <v>947</v>
      </c>
      <c r="J24" s="100" t="s">
        <v>948</v>
      </c>
    </row>
    <row r="25" spans="2:10" x14ac:dyDescent="0.25">
      <c r="B25" s="130">
        <v>23</v>
      </c>
      <c r="C25" s="100" t="s">
        <v>949</v>
      </c>
      <c r="D25" s="100" t="s">
        <v>950</v>
      </c>
      <c r="H25" s="130">
        <v>23</v>
      </c>
      <c r="I25" s="100" t="s">
        <v>949</v>
      </c>
      <c r="J25" s="100" t="s">
        <v>950</v>
      </c>
    </row>
    <row r="26" spans="2:10" x14ac:dyDescent="0.25">
      <c r="B26" s="130">
        <v>24</v>
      </c>
      <c r="C26" s="100" t="s">
        <v>951</v>
      </c>
      <c r="D26" s="100" t="s">
        <v>948</v>
      </c>
      <c r="H26" s="130">
        <v>24</v>
      </c>
      <c r="I26" s="100" t="s">
        <v>951</v>
      </c>
      <c r="J26" s="100" t="s">
        <v>948</v>
      </c>
    </row>
    <row r="27" spans="2:10" x14ac:dyDescent="0.25">
      <c r="B27" s="130">
        <v>25</v>
      </c>
      <c r="C27" s="100" t="s">
        <v>952</v>
      </c>
      <c r="D27" s="100" t="s">
        <v>948</v>
      </c>
      <c r="H27" s="130">
        <v>25</v>
      </c>
      <c r="I27" s="100" t="s">
        <v>952</v>
      </c>
      <c r="J27" s="100" t="s">
        <v>948</v>
      </c>
    </row>
    <row r="28" spans="2:10" x14ac:dyDescent="0.25">
      <c r="B28" s="130">
        <v>26</v>
      </c>
      <c r="C28" s="100" t="s">
        <v>970</v>
      </c>
      <c r="D28" s="100" t="s">
        <v>948</v>
      </c>
      <c r="H28" s="130">
        <v>26</v>
      </c>
      <c r="I28" s="100" t="s">
        <v>970</v>
      </c>
      <c r="J28" s="100" t="s">
        <v>948</v>
      </c>
    </row>
    <row r="29" spans="2:10" x14ac:dyDescent="0.25">
      <c r="B29" s="130">
        <v>27</v>
      </c>
      <c r="C29" s="100" t="s">
        <v>953</v>
      </c>
      <c r="D29" s="100" t="s">
        <v>954</v>
      </c>
      <c r="H29" s="130">
        <v>27</v>
      </c>
      <c r="I29" s="100" t="s">
        <v>953</v>
      </c>
      <c r="J29" s="100" t="s">
        <v>954</v>
      </c>
    </row>
    <row r="30" spans="2:10" x14ac:dyDescent="0.25">
      <c r="B30" s="130">
        <v>28</v>
      </c>
      <c r="C30" s="100" t="s">
        <v>955</v>
      </c>
      <c r="D30" s="100" t="s">
        <v>956</v>
      </c>
      <c r="H30" s="130">
        <v>28</v>
      </c>
      <c r="I30" s="100" t="s">
        <v>955</v>
      </c>
      <c r="J30" s="100" t="s">
        <v>956</v>
      </c>
    </row>
    <row r="31" spans="2:10" x14ac:dyDescent="0.25">
      <c r="B31" s="130">
        <v>29</v>
      </c>
      <c r="C31" s="100" t="s">
        <v>957</v>
      </c>
      <c r="D31" s="100" t="s">
        <v>971</v>
      </c>
      <c r="H31" s="130">
        <v>29</v>
      </c>
      <c r="I31" s="100" t="s">
        <v>957</v>
      </c>
      <c r="J31" s="100" t="s">
        <v>971</v>
      </c>
    </row>
    <row r="32" spans="2:10" x14ac:dyDescent="0.25">
      <c r="B32" s="130">
        <v>30</v>
      </c>
      <c r="C32" s="100" t="s">
        <v>958</v>
      </c>
      <c r="D32" s="100" t="s">
        <v>959</v>
      </c>
      <c r="H32" s="130">
        <v>30</v>
      </c>
      <c r="I32" s="100" t="s">
        <v>958</v>
      </c>
      <c r="J32" s="100" t="s">
        <v>959</v>
      </c>
    </row>
    <row r="33" spans="2:10" x14ac:dyDescent="0.25">
      <c r="B33" s="130">
        <v>31</v>
      </c>
      <c r="C33" s="100" t="s">
        <v>960</v>
      </c>
      <c r="D33" s="100" t="s">
        <v>961</v>
      </c>
      <c r="H33" s="130">
        <v>31</v>
      </c>
      <c r="I33" s="100" t="s">
        <v>960</v>
      </c>
      <c r="J33" s="100" t="s">
        <v>961</v>
      </c>
    </row>
    <row r="34" spans="2:10" x14ac:dyDescent="0.25">
      <c r="B34" s="130">
        <v>32</v>
      </c>
      <c r="C34" s="100" t="s">
        <v>962</v>
      </c>
      <c r="D34" s="100" t="s">
        <v>961</v>
      </c>
      <c r="H34" s="130">
        <v>32</v>
      </c>
      <c r="I34" s="100" t="s">
        <v>962</v>
      </c>
      <c r="J34" s="100" t="s">
        <v>961</v>
      </c>
    </row>
    <row r="35" spans="2:10" x14ac:dyDescent="0.25">
      <c r="B35" s="130">
        <v>33</v>
      </c>
      <c r="C35" s="146" t="s">
        <v>963</v>
      </c>
      <c r="D35" s="146" t="s">
        <v>964</v>
      </c>
      <c r="H35" s="130">
        <v>33</v>
      </c>
      <c r="I35" s="146" t="s">
        <v>963</v>
      </c>
      <c r="J35" s="146" t="s">
        <v>964</v>
      </c>
    </row>
    <row r="36" spans="2:10" x14ac:dyDescent="0.25">
      <c r="B36" s="130">
        <v>34</v>
      </c>
      <c r="C36" s="146" t="s">
        <v>965</v>
      </c>
      <c r="D36" s="146" t="s">
        <v>966</v>
      </c>
      <c r="H36" s="130">
        <v>34</v>
      </c>
      <c r="I36" s="146" t="s">
        <v>965</v>
      </c>
      <c r="J36" s="146" t="s">
        <v>966</v>
      </c>
    </row>
    <row r="37" spans="2:10" x14ac:dyDescent="0.25">
      <c r="B37" s="130">
        <v>35</v>
      </c>
      <c r="C37" s="146" t="s">
        <v>967</v>
      </c>
      <c r="D37" s="146" t="s">
        <v>968</v>
      </c>
      <c r="H37" s="130">
        <v>35</v>
      </c>
      <c r="I37" s="146" t="s">
        <v>967</v>
      </c>
      <c r="J37" s="146" t="s">
        <v>968</v>
      </c>
    </row>
    <row r="38" spans="2:10" x14ac:dyDescent="0.25">
      <c r="B38" s="130">
        <v>36</v>
      </c>
      <c r="C38" s="146" t="s">
        <v>969</v>
      </c>
      <c r="D38" s="146" t="s">
        <v>968</v>
      </c>
      <c r="H38" s="130">
        <v>36</v>
      </c>
      <c r="I38" s="146" t="s">
        <v>969</v>
      </c>
      <c r="J38" s="146" t="s">
        <v>968</v>
      </c>
    </row>
  </sheetData>
  <pageMargins left="0.70866141732283472" right="0.70866141732283472" top="0.15748031496062992" bottom="0.15748031496062992" header="0.31496062992125984" footer="0.31496062992125984"/>
  <pageSetup paperSize="9" scale="55" orientation="landscape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7" sqref="C27"/>
    </sheetView>
  </sheetViews>
  <sheetFormatPr baseColWidth="10" defaultRowHeight="15" x14ac:dyDescent="0.25"/>
  <sheetData/>
  <pageMargins left="0" right="0" top="0.74803149606299213" bottom="0.74803149606299213" header="0.31496062992125984" footer="0.31496062992125984"/>
  <pageSetup scale="90" orientation="landscape" horizontalDpi="200" verticalDpi="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6"/>
  <sheetViews>
    <sheetView topLeftCell="C175" workbookViewId="0">
      <selection activeCell="E196" sqref="E196"/>
    </sheetView>
  </sheetViews>
  <sheetFormatPr baseColWidth="10" defaultRowHeight="15.75" x14ac:dyDescent="0.25"/>
  <cols>
    <col min="1" max="1" width="17" style="1" customWidth="1"/>
    <col min="2" max="2" width="23.140625" style="17" customWidth="1"/>
    <col min="3" max="3" width="23" style="12" customWidth="1"/>
    <col min="4" max="4" width="18.140625" style="12" customWidth="1"/>
    <col min="5" max="5" width="4.85546875" style="4" customWidth="1"/>
    <col min="6" max="6" width="6.28515625" style="4" hidden="1" customWidth="1"/>
    <col min="7" max="7" width="11.85546875" style="18" customWidth="1"/>
    <col min="8" max="8" width="14.7109375" style="15" bestFit="1" customWidth="1"/>
    <col min="9" max="9" width="16.42578125" style="18" bestFit="1" customWidth="1"/>
    <col min="10" max="10" width="12.7109375" style="18" bestFit="1" customWidth="1"/>
    <col min="11" max="11" width="15" style="4" customWidth="1"/>
    <col min="12" max="12" width="14" style="4" customWidth="1"/>
    <col min="13" max="13" width="13.42578125" style="4" bestFit="1" customWidth="1"/>
    <col min="14" max="16384" width="11.42578125" style="4"/>
  </cols>
  <sheetData>
    <row r="1" spans="1:11" ht="18.75" x14ac:dyDescent="0.3">
      <c r="B1" s="274" t="s">
        <v>39</v>
      </c>
      <c r="C1" s="274"/>
      <c r="D1" s="2"/>
      <c r="E1" s="3"/>
      <c r="F1" s="3"/>
      <c r="G1" s="4"/>
      <c r="I1" s="4"/>
      <c r="J1" s="4"/>
    </row>
    <row r="2" spans="1:11" x14ac:dyDescent="0.25">
      <c r="A2" s="5"/>
      <c r="B2" s="6"/>
      <c r="C2" s="23" t="s">
        <v>6</v>
      </c>
      <c r="D2" s="7"/>
      <c r="E2" s="3"/>
      <c r="F2" s="3"/>
      <c r="G2" s="4"/>
      <c r="I2" s="4"/>
      <c r="J2" s="4"/>
    </row>
    <row r="3" spans="1:11" ht="16.5" thickBot="1" x14ac:dyDescent="0.3">
      <c r="A3" s="19" t="s">
        <v>0</v>
      </c>
      <c r="B3" s="20" t="s">
        <v>1</v>
      </c>
      <c r="C3" s="21" t="s">
        <v>2</v>
      </c>
      <c r="D3" s="22" t="s">
        <v>4</v>
      </c>
      <c r="E3" s="3"/>
      <c r="F3" s="3"/>
      <c r="G3" s="26" t="s">
        <v>2</v>
      </c>
      <c r="H3" s="32" t="s">
        <v>10</v>
      </c>
      <c r="I3" s="27" t="s">
        <v>8</v>
      </c>
      <c r="J3" s="4"/>
      <c r="K3" s="33" t="s">
        <v>11</v>
      </c>
    </row>
    <row r="4" spans="1:11" ht="16.5" thickTop="1" x14ac:dyDescent="0.25">
      <c r="A4" s="9">
        <v>41852</v>
      </c>
      <c r="B4" s="10">
        <v>446769.2</v>
      </c>
      <c r="C4" s="10">
        <v>17118.919999999998</v>
      </c>
      <c r="D4" s="11">
        <f>B4-C4</f>
        <v>429650.28</v>
      </c>
      <c r="G4" s="4"/>
      <c r="H4" s="15">
        <v>0</v>
      </c>
      <c r="I4" s="15">
        <v>0</v>
      </c>
      <c r="J4" s="4"/>
      <c r="K4" s="15">
        <f>I4+H4-D4</f>
        <v>-429650.28</v>
      </c>
    </row>
    <row r="5" spans="1:11" x14ac:dyDescent="0.25">
      <c r="A5" s="9">
        <v>41853</v>
      </c>
      <c r="B5" s="10">
        <v>647392.54</v>
      </c>
      <c r="C5" s="10">
        <v>87062.58</v>
      </c>
      <c r="D5" s="11">
        <f t="shared" ref="D5:D34" si="0">B5-C5</f>
        <v>560329.96000000008</v>
      </c>
      <c r="G5" s="31"/>
      <c r="H5" s="31">
        <v>0</v>
      </c>
      <c r="I5" s="15">
        <v>0</v>
      </c>
      <c r="J5" s="4"/>
      <c r="K5" s="15">
        <f t="shared" ref="K5:K39" si="1">I5+H5-D5</f>
        <v>-560329.96000000008</v>
      </c>
    </row>
    <row r="6" spans="1:11" x14ac:dyDescent="0.25">
      <c r="A6" s="9">
        <v>41854</v>
      </c>
      <c r="B6" s="10">
        <v>404554.02</v>
      </c>
      <c r="C6" s="10">
        <v>1718</v>
      </c>
      <c r="D6" s="11">
        <f t="shared" si="0"/>
        <v>402836.02</v>
      </c>
      <c r="G6" s="4"/>
      <c r="I6" s="15"/>
      <c r="J6" s="4"/>
      <c r="K6" s="15">
        <f t="shared" si="1"/>
        <v>-402836.02</v>
      </c>
    </row>
    <row r="7" spans="1:11" x14ac:dyDescent="0.25">
      <c r="A7" s="9">
        <v>41855</v>
      </c>
      <c r="B7" s="10">
        <v>2399369.65</v>
      </c>
      <c r="C7" s="10">
        <v>43044.1</v>
      </c>
      <c r="D7" s="11">
        <f t="shared" si="0"/>
        <v>2356325.5499999998</v>
      </c>
      <c r="G7" s="4"/>
      <c r="I7" s="15"/>
      <c r="J7" s="4"/>
      <c r="K7" s="15">
        <f t="shared" si="1"/>
        <v>-2356325.5499999998</v>
      </c>
    </row>
    <row r="8" spans="1:11" x14ac:dyDescent="0.25">
      <c r="A8" s="9">
        <v>41856</v>
      </c>
      <c r="B8" s="10">
        <v>661906.44999999995</v>
      </c>
      <c r="C8" s="10">
        <v>241120.6</v>
      </c>
      <c r="D8" s="11">
        <f t="shared" si="0"/>
        <v>420785.85</v>
      </c>
      <c r="G8" s="4"/>
      <c r="I8" s="15"/>
      <c r="J8" s="4"/>
      <c r="K8" s="15">
        <f t="shared" si="1"/>
        <v>-420785.85</v>
      </c>
    </row>
    <row r="9" spans="1:11" x14ac:dyDescent="0.25">
      <c r="A9" s="9">
        <v>41857</v>
      </c>
      <c r="B9" s="10">
        <v>1144336.76</v>
      </c>
      <c r="C9" s="10">
        <v>26013.25</v>
      </c>
      <c r="D9" s="11">
        <f t="shared" si="0"/>
        <v>1118323.51</v>
      </c>
      <c r="G9" s="4"/>
      <c r="I9" s="15"/>
      <c r="J9" s="4"/>
      <c r="K9" s="15">
        <f t="shared" si="1"/>
        <v>-1118323.51</v>
      </c>
    </row>
    <row r="10" spans="1:11" x14ac:dyDescent="0.25">
      <c r="A10" s="9">
        <v>41858</v>
      </c>
      <c r="B10" s="10">
        <v>1205977.76</v>
      </c>
      <c r="C10" s="10">
        <v>10947.94</v>
      </c>
      <c r="D10" s="11">
        <f t="shared" si="0"/>
        <v>1195029.82</v>
      </c>
      <c r="G10" s="4"/>
      <c r="I10" s="15"/>
      <c r="J10" s="4"/>
      <c r="K10" s="15">
        <f t="shared" si="1"/>
        <v>-1195029.82</v>
      </c>
    </row>
    <row r="11" spans="1:11" x14ac:dyDescent="0.25">
      <c r="A11" s="9">
        <v>41859</v>
      </c>
      <c r="B11" s="10">
        <v>1080529.75</v>
      </c>
      <c r="C11" s="10">
        <v>370035.99</v>
      </c>
      <c r="D11" s="11">
        <f t="shared" si="0"/>
        <v>710493.76</v>
      </c>
      <c r="G11" s="4"/>
      <c r="I11" s="15"/>
      <c r="J11" s="4"/>
      <c r="K11" s="15">
        <f t="shared" si="1"/>
        <v>-710493.76</v>
      </c>
    </row>
    <row r="12" spans="1:11" x14ac:dyDescent="0.25">
      <c r="A12" s="9">
        <v>41860</v>
      </c>
      <c r="B12" s="10">
        <v>1101232.22</v>
      </c>
      <c r="C12" s="10">
        <v>135820.75</v>
      </c>
      <c r="D12" s="11">
        <f t="shared" si="0"/>
        <v>965411.47</v>
      </c>
      <c r="G12" s="4"/>
      <c r="I12" s="15"/>
      <c r="J12" s="4"/>
      <c r="K12" s="15">
        <f t="shared" si="1"/>
        <v>-965411.47</v>
      </c>
    </row>
    <row r="13" spans="1:11" x14ac:dyDescent="0.25">
      <c r="A13" s="9">
        <v>41861</v>
      </c>
      <c r="B13" s="10">
        <v>347454.1</v>
      </c>
      <c r="C13" s="10">
        <v>1820</v>
      </c>
      <c r="D13" s="11">
        <f t="shared" si="0"/>
        <v>345634.1</v>
      </c>
      <c r="G13" s="4"/>
      <c r="I13" s="15"/>
      <c r="J13" s="4"/>
      <c r="K13" s="15">
        <f t="shared" si="1"/>
        <v>-345634.1</v>
      </c>
    </row>
    <row r="14" spans="1:11" x14ac:dyDescent="0.25">
      <c r="A14" s="9">
        <v>41862</v>
      </c>
      <c r="B14" s="10">
        <v>1269108.7</v>
      </c>
      <c r="C14" s="10">
        <v>139001.29</v>
      </c>
      <c r="D14" s="11">
        <f t="shared" si="0"/>
        <v>1130107.4099999999</v>
      </c>
      <c r="G14" s="4"/>
      <c r="I14" s="15"/>
      <c r="J14" s="4"/>
      <c r="K14" s="15">
        <f t="shared" si="1"/>
        <v>-1130107.4099999999</v>
      </c>
    </row>
    <row r="15" spans="1:11" x14ac:dyDescent="0.25">
      <c r="A15" s="9">
        <v>41863</v>
      </c>
      <c r="B15" s="10">
        <v>548599.94999999995</v>
      </c>
      <c r="C15" s="10">
        <v>35187</v>
      </c>
      <c r="D15" s="11">
        <f t="shared" si="0"/>
        <v>513412.94999999995</v>
      </c>
      <c r="G15" s="4"/>
      <c r="I15" s="15"/>
      <c r="J15" s="4"/>
      <c r="K15" s="15">
        <f t="shared" si="1"/>
        <v>-513412.94999999995</v>
      </c>
    </row>
    <row r="16" spans="1:11" x14ac:dyDescent="0.25">
      <c r="A16" s="9">
        <v>41864</v>
      </c>
      <c r="B16" s="10">
        <v>900742.94</v>
      </c>
      <c r="C16" s="10">
        <v>8041.91</v>
      </c>
      <c r="D16" s="11">
        <f t="shared" si="0"/>
        <v>892701.02999999991</v>
      </c>
      <c r="G16" s="4"/>
      <c r="I16" s="15"/>
      <c r="J16" s="4"/>
      <c r="K16" s="15">
        <f t="shared" si="1"/>
        <v>-892701.02999999991</v>
      </c>
    </row>
    <row r="17" spans="1:11" x14ac:dyDescent="0.25">
      <c r="A17" s="9">
        <v>41865</v>
      </c>
      <c r="B17" s="10">
        <v>2735176.24</v>
      </c>
      <c r="C17" s="10">
        <v>72810.22</v>
      </c>
      <c r="D17" s="11">
        <f t="shared" si="0"/>
        <v>2662366.02</v>
      </c>
      <c r="G17" s="4"/>
      <c r="I17" s="15"/>
      <c r="J17" s="4"/>
      <c r="K17" s="15">
        <f t="shared" si="1"/>
        <v>-2662366.02</v>
      </c>
    </row>
    <row r="18" spans="1:11" x14ac:dyDescent="0.25">
      <c r="A18" s="9">
        <v>41866</v>
      </c>
      <c r="B18" s="10">
        <v>930607.9</v>
      </c>
      <c r="C18" s="10">
        <v>31261.53</v>
      </c>
      <c r="D18" s="11">
        <f t="shared" si="0"/>
        <v>899346.37</v>
      </c>
      <c r="G18" s="4"/>
      <c r="I18" s="15"/>
      <c r="J18" s="4"/>
      <c r="K18" s="15">
        <f t="shared" si="1"/>
        <v>-899346.37</v>
      </c>
    </row>
    <row r="19" spans="1:11" x14ac:dyDescent="0.25">
      <c r="A19" s="9">
        <v>41867</v>
      </c>
      <c r="B19" s="10">
        <v>1389932.16</v>
      </c>
      <c r="C19" s="10">
        <v>77375.399999999994</v>
      </c>
      <c r="D19" s="11">
        <f t="shared" si="0"/>
        <v>1312556.76</v>
      </c>
      <c r="G19" s="4"/>
      <c r="I19" s="15"/>
      <c r="J19" s="4"/>
      <c r="K19" s="15">
        <f t="shared" si="1"/>
        <v>-1312556.76</v>
      </c>
    </row>
    <row r="20" spans="1:11" x14ac:dyDescent="0.25">
      <c r="A20" s="9">
        <v>41868</v>
      </c>
      <c r="B20" s="10">
        <v>829429.99</v>
      </c>
      <c r="C20" s="10">
        <v>144341.20000000001</v>
      </c>
      <c r="D20" s="11">
        <f t="shared" si="0"/>
        <v>685088.79</v>
      </c>
      <c r="G20" s="4"/>
      <c r="I20" s="15"/>
      <c r="J20" s="4"/>
      <c r="K20" s="15">
        <f t="shared" si="1"/>
        <v>-685088.79</v>
      </c>
    </row>
    <row r="21" spans="1:11" x14ac:dyDescent="0.25">
      <c r="A21" s="9">
        <v>41869</v>
      </c>
      <c r="B21" s="10">
        <v>825630.35</v>
      </c>
      <c r="C21" s="10">
        <v>96611.839999999997</v>
      </c>
      <c r="D21" s="11">
        <f t="shared" si="0"/>
        <v>729018.51</v>
      </c>
      <c r="G21" s="4"/>
      <c r="I21" s="15"/>
      <c r="J21" s="4"/>
      <c r="K21" s="15">
        <f t="shared" si="1"/>
        <v>-729018.51</v>
      </c>
    </row>
    <row r="22" spans="1:11" x14ac:dyDescent="0.25">
      <c r="A22" s="9">
        <v>41870</v>
      </c>
      <c r="B22" s="10">
        <v>747869.37</v>
      </c>
      <c r="C22" s="10">
        <v>73479.19</v>
      </c>
      <c r="D22" s="11">
        <f t="shared" si="0"/>
        <v>674390.17999999993</v>
      </c>
      <c r="G22" s="4"/>
      <c r="I22" s="15"/>
      <c r="J22" s="4"/>
      <c r="K22" s="15">
        <f t="shared" si="1"/>
        <v>-674390.17999999993</v>
      </c>
    </row>
    <row r="23" spans="1:11" x14ac:dyDescent="0.25">
      <c r="A23" s="9">
        <v>41871</v>
      </c>
      <c r="B23" s="10">
        <v>839256.3</v>
      </c>
      <c r="C23" s="10">
        <v>5615.57</v>
      </c>
      <c r="D23" s="11">
        <f t="shared" si="0"/>
        <v>833640.7300000001</v>
      </c>
      <c r="G23" s="4"/>
      <c r="I23" s="15"/>
      <c r="J23" s="4"/>
      <c r="K23" s="15">
        <f t="shared" si="1"/>
        <v>-833640.7300000001</v>
      </c>
    </row>
    <row r="24" spans="1:11" x14ac:dyDescent="0.25">
      <c r="A24" s="9">
        <v>41872</v>
      </c>
      <c r="B24" s="10">
        <v>1528315.64</v>
      </c>
      <c r="C24" s="10">
        <v>74038.36</v>
      </c>
      <c r="D24" s="11">
        <f t="shared" si="0"/>
        <v>1454277.2799999998</v>
      </c>
      <c r="G24" s="4"/>
      <c r="I24" s="15"/>
      <c r="J24" s="4"/>
      <c r="K24" s="15">
        <f t="shared" si="1"/>
        <v>-1454277.2799999998</v>
      </c>
    </row>
    <row r="25" spans="1:11" x14ac:dyDescent="0.25">
      <c r="A25" s="9">
        <v>41873</v>
      </c>
      <c r="B25" s="10">
        <v>738038.65</v>
      </c>
      <c r="C25" s="10">
        <v>63443.98</v>
      </c>
      <c r="D25" s="11">
        <f t="shared" si="0"/>
        <v>674594.67</v>
      </c>
      <c r="G25" s="4"/>
      <c r="I25" s="15"/>
      <c r="J25" s="4"/>
      <c r="K25" s="15">
        <f t="shared" si="1"/>
        <v>-674594.67</v>
      </c>
    </row>
    <row r="26" spans="1:11" x14ac:dyDescent="0.25">
      <c r="A26" s="9">
        <v>41874</v>
      </c>
      <c r="B26" s="10">
        <v>663519.80000000005</v>
      </c>
      <c r="C26" s="10">
        <v>29724.65</v>
      </c>
      <c r="D26" s="11">
        <f t="shared" si="0"/>
        <v>633795.15</v>
      </c>
      <c r="G26" s="4"/>
      <c r="I26" s="15"/>
      <c r="J26" s="4"/>
      <c r="K26" s="15">
        <f t="shared" si="1"/>
        <v>-633795.15</v>
      </c>
    </row>
    <row r="27" spans="1:11" x14ac:dyDescent="0.25">
      <c r="A27" s="9">
        <v>41875</v>
      </c>
      <c r="B27" s="10">
        <v>325609.44</v>
      </c>
      <c r="C27" s="10">
        <v>820</v>
      </c>
      <c r="D27" s="11">
        <f t="shared" si="0"/>
        <v>324789.44</v>
      </c>
      <c r="G27" s="4"/>
      <c r="I27" s="15"/>
      <c r="J27" s="4"/>
      <c r="K27" s="15">
        <f t="shared" si="1"/>
        <v>-324789.44</v>
      </c>
    </row>
    <row r="28" spans="1:11" x14ac:dyDescent="0.25">
      <c r="A28" s="9">
        <v>41876</v>
      </c>
      <c r="B28" s="10">
        <v>876159.46</v>
      </c>
      <c r="C28" s="10">
        <v>109409.76</v>
      </c>
      <c r="D28" s="11">
        <f t="shared" si="0"/>
        <v>766749.7</v>
      </c>
      <c r="G28" s="4"/>
      <c r="I28" s="15"/>
      <c r="J28" s="4"/>
      <c r="K28" s="15">
        <f t="shared" si="1"/>
        <v>-766749.7</v>
      </c>
    </row>
    <row r="29" spans="1:11" x14ac:dyDescent="0.25">
      <c r="A29" s="9">
        <v>41877</v>
      </c>
      <c r="B29" s="10">
        <v>449804.79999999999</v>
      </c>
      <c r="C29" s="10">
        <v>115026.46</v>
      </c>
      <c r="D29" s="11">
        <f t="shared" si="0"/>
        <v>334778.33999999997</v>
      </c>
      <c r="G29" s="15"/>
      <c r="I29" s="15"/>
      <c r="J29" s="4"/>
      <c r="K29" s="15">
        <f t="shared" si="1"/>
        <v>-334778.33999999997</v>
      </c>
    </row>
    <row r="30" spans="1:11" x14ac:dyDescent="0.25">
      <c r="A30" s="9">
        <v>41878</v>
      </c>
      <c r="B30" s="10">
        <v>934911.48</v>
      </c>
      <c r="C30" s="10">
        <v>36321.440000000002</v>
      </c>
      <c r="D30" s="11">
        <f t="shared" si="0"/>
        <v>898590.04</v>
      </c>
      <c r="G30" s="4"/>
      <c r="I30" s="15"/>
      <c r="J30" s="4"/>
      <c r="K30" s="15">
        <f t="shared" si="1"/>
        <v>-898590.04</v>
      </c>
    </row>
    <row r="31" spans="1:11" x14ac:dyDescent="0.25">
      <c r="A31" s="9">
        <v>41879</v>
      </c>
      <c r="B31" s="10">
        <v>576247.22</v>
      </c>
      <c r="C31" s="10">
        <v>82703</v>
      </c>
      <c r="D31" s="11">
        <f t="shared" si="0"/>
        <v>493544.22</v>
      </c>
      <c r="G31" s="4"/>
      <c r="I31" s="15"/>
      <c r="J31" s="4"/>
      <c r="K31" s="15">
        <f t="shared" si="1"/>
        <v>-493544.22</v>
      </c>
    </row>
    <row r="32" spans="1:11" x14ac:dyDescent="0.25">
      <c r="A32" s="9">
        <v>41880</v>
      </c>
      <c r="B32" s="10">
        <v>419801.76</v>
      </c>
      <c r="C32" s="10">
        <v>117542.6</v>
      </c>
      <c r="D32" s="11">
        <f t="shared" si="0"/>
        <v>302259.16000000003</v>
      </c>
      <c r="G32" s="4"/>
      <c r="I32" s="15"/>
      <c r="J32" s="4"/>
      <c r="K32" s="15">
        <f t="shared" si="1"/>
        <v>-302259.16000000003</v>
      </c>
    </row>
    <row r="33" spans="1:13" x14ac:dyDescent="0.25">
      <c r="A33" s="9">
        <v>41881</v>
      </c>
      <c r="B33" s="10">
        <v>2846926.29</v>
      </c>
      <c r="C33" s="10">
        <v>323363.17</v>
      </c>
      <c r="D33" s="11">
        <f t="shared" si="0"/>
        <v>2523563.12</v>
      </c>
      <c r="G33" s="4"/>
      <c r="I33" s="15"/>
      <c r="J33" s="4"/>
      <c r="K33" s="15">
        <f t="shared" si="1"/>
        <v>-2523563.12</v>
      </c>
    </row>
    <row r="34" spans="1:13" x14ac:dyDescent="0.25">
      <c r="A34" s="9">
        <v>41882</v>
      </c>
      <c r="B34" s="10">
        <v>517445.34</v>
      </c>
      <c r="C34" s="10">
        <v>2044.6</v>
      </c>
      <c r="D34" s="11">
        <f t="shared" si="0"/>
        <v>515400.74000000005</v>
      </c>
      <c r="G34" s="4"/>
      <c r="I34" s="15"/>
      <c r="J34" s="4"/>
      <c r="K34" s="15">
        <f t="shared" si="1"/>
        <v>-515400.74000000005</v>
      </c>
    </row>
    <row r="35" spans="1:13" x14ac:dyDescent="0.25">
      <c r="A35" s="9"/>
      <c r="B35" s="10"/>
      <c r="C35" s="10"/>
      <c r="D35" s="11">
        <f>B35-C35</f>
        <v>0</v>
      </c>
      <c r="G35" s="4"/>
      <c r="I35" s="15"/>
      <c r="J35" s="4"/>
      <c r="K35" s="15">
        <f t="shared" si="1"/>
        <v>0</v>
      </c>
    </row>
    <row r="36" spans="1:13" x14ac:dyDescent="0.25">
      <c r="A36" s="14"/>
      <c r="B36" s="10"/>
      <c r="C36" s="10"/>
      <c r="D36" s="11">
        <f t="shared" ref="D36:D38" si="2">B36-C36</f>
        <v>0</v>
      </c>
      <c r="G36" s="4"/>
      <c r="I36" s="15"/>
      <c r="J36" s="4"/>
      <c r="K36" s="15">
        <f t="shared" si="1"/>
        <v>0</v>
      </c>
    </row>
    <row r="37" spans="1:13" x14ac:dyDescent="0.25">
      <c r="A37" s="14"/>
      <c r="B37" s="13"/>
      <c r="C37" s="10"/>
      <c r="D37" s="11">
        <f t="shared" si="2"/>
        <v>0</v>
      </c>
      <c r="G37" s="4"/>
      <c r="I37" s="15"/>
      <c r="J37" s="4"/>
      <c r="K37" s="15">
        <f t="shared" si="1"/>
        <v>0</v>
      </c>
    </row>
    <row r="38" spans="1:13" x14ac:dyDescent="0.25">
      <c r="A38" s="14"/>
      <c r="B38" s="10"/>
      <c r="C38" s="10"/>
      <c r="D38" s="11">
        <f t="shared" si="2"/>
        <v>0</v>
      </c>
      <c r="G38" s="4"/>
      <c r="I38" s="15"/>
      <c r="J38" s="4"/>
      <c r="K38" s="15">
        <f t="shared" si="1"/>
        <v>0</v>
      </c>
    </row>
    <row r="39" spans="1:13" x14ac:dyDescent="0.25">
      <c r="A39" s="14"/>
      <c r="B39" s="10">
        <f>SUM(B4:B38)</f>
        <v>30332656.23</v>
      </c>
      <c r="C39" s="10">
        <f>SUM(C4:C38)</f>
        <v>2572865.2999999998</v>
      </c>
      <c r="D39" s="11">
        <f>B39-C39</f>
        <v>27759790.93</v>
      </c>
      <c r="G39" s="15"/>
      <c r="I39" s="15"/>
      <c r="J39" s="4"/>
      <c r="K39" s="15">
        <f t="shared" si="1"/>
        <v>-27759790.93</v>
      </c>
    </row>
    <row r="40" spans="1:13" x14ac:dyDescent="0.25">
      <c r="A40" s="14"/>
      <c r="B40" s="13"/>
      <c r="C40" s="10"/>
      <c r="D40" s="11">
        <f>B40-C40</f>
        <v>0</v>
      </c>
      <c r="G40" s="4"/>
      <c r="I40" s="4"/>
      <c r="J40" s="4"/>
    </row>
    <row r="41" spans="1:13" x14ac:dyDescent="0.25">
      <c r="A41" s="14"/>
      <c r="B41" s="16"/>
      <c r="C41" s="10"/>
      <c r="D41" s="11">
        <f>B41-C41</f>
        <v>0</v>
      </c>
      <c r="G41" s="4"/>
      <c r="I41" s="4"/>
      <c r="J41" s="4"/>
    </row>
    <row r="42" spans="1:13" ht="15" x14ac:dyDescent="0.25">
      <c r="A42" s="4"/>
      <c r="B42" s="4"/>
      <c r="C42" s="4"/>
      <c r="D42" s="4"/>
      <c r="G42" s="4"/>
      <c r="I42" s="4"/>
      <c r="J42" s="4"/>
    </row>
    <row r="43" spans="1:13" ht="15" x14ac:dyDescent="0.25">
      <c r="A43" s="4"/>
      <c r="B43" s="4"/>
      <c r="C43" s="4"/>
      <c r="D43" s="4"/>
      <c r="G43" s="4"/>
      <c r="I43" s="4"/>
      <c r="J43" s="4"/>
    </row>
    <row r="44" spans="1:13" ht="18.75" x14ac:dyDescent="0.3">
      <c r="B44" s="57" t="s">
        <v>40</v>
      </c>
      <c r="C44" s="57"/>
      <c r="D44" s="2"/>
      <c r="E44" s="3"/>
      <c r="F44" s="3"/>
      <c r="G44" s="4"/>
      <c r="I44" s="4"/>
      <c r="J44" s="4"/>
    </row>
    <row r="45" spans="1:13" x14ac:dyDescent="0.25">
      <c r="A45" s="5"/>
      <c r="B45" s="6"/>
      <c r="C45" s="23" t="s">
        <v>6</v>
      </c>
      <c r="D45" s="7"/>
      <c r="E45" s="3"/>
      <c r="F45" s="3"/>
      <c r="G45" s="4"/>
      <c r="I45" s="4"/>
      <c r="J45" s="4"/>
    </row>
    <row r="46" spans="1:13" ht="16.5" thickBot="1" x14ac:dyDescent="0.3">
      <c r="A46" s="19" t="s">
        <v>0</v>
      </c>
      <c r="B46" s="20" t="s">
        <v>1</v>
      </c>
      <c r="C46" s="21" t="s">
        <v>2</v>
      </c>
      <c r="D46" s="22" t="s">
        <v>4</v>
      </c>
      <c r="E46" s="3"/>
      <c r="F46" s="3"/>
      <c r="G46" s="26" t="s">
        <v>2</v>
      </c>
      <c r="H46" s="32" t="s">
        <v>10</v>
      </c>
      <c r="I46" s="27" t="s">
        <v>8</v>
      </c>
      <c r="J46" s="4"/>
      <c r="K46" s="33" t="s">
        <v>11</v>
      </c>
      <c r="L46" s="34" t="s">
        <v>13</v>
      </c>
    </row>
    <row r="47" spans="1:13" ht="16.5" thickTop="1" x14ac:dyDescent="0.25">
      <c r="A47" s="9">
        <v>41883</v>
      </c>
      <c r="B47" s="10">
        <v>370393.25</v>
      </c>
      <c r="C47" s="10">
        <f>G47</f>
        <v>39810.25</v>
      </c>
      <c r="D47" s="11">
        <f>B47-C47</f>
        <v>330583</v>
      </c>
      <c r="E47" s="12" t="s">
        <v>9</v>
      </c>
      <c r="G47" s="15">
        <f>32800+3468+470+2752.25+160+100+60</f>
        <v>39810.25</v>
      </c>
      <c r="H47" s="15">
        <f>10397.4+3062.4</f>
        <v>13459.8</v>
      </c>
      <c r="I47" s="15">
        <f>100000+50000+42400+11135+21374.6+24535.6+8747.55+35149.8+23780.8</f>
        <v>317123.34999999998</v>
      </c>
      <c r="J47" s="37">
        <f>I47+H47</f>
        <v>330583.14999999997</v>
      </c>
      <c r="K47" s="15">
        <f>I47+H47-D47</f>
        <v>0.1499999999650754</v>
      </c>
    </row>
    <row r="48" spans="1:13" x14ac:dyDescent="0.25">
      <c r="A48" s="9">
        <v>41884</v>
      </c>
      <c r="B48" s="10">
        <v>565726.05000000005</v>
      </c>
      <c r="C48" s="10">
        <f t="shared" ref="C48:C71" si="3">G48</f>
        <v>58710.17</v>
      </c>
      <c r="D48" s="11">
        <f t="shared" ref="D48:D82" si="4">B48-C48</f>
        <v>507015.88000000006</v>
      </c>
      <c r="E48" s="12" t="s">
        <v>9</v>
      </c>
      <c r="G48" s="31">
        <f>4895.2+2225+232+1231.47+1000+80+25813+500+1600+378+32+1034+652+560+2046+3127+4515+1670+4712+2407.5</f>
        <v>58710.17</v>
      </c>
      <c r="H48" s="31">
        <f>11252+4869</f>
        <v>16121</v>
      </c>
      <c r="I48" s="15">
        <f>100000+100000+50000+90000+45000+45000+27278+1908.2+25000+6577+132</f>
        <v>490895.2</v>
      </c>
      <c r="J48" s="37">
        <f t="shared" ref="J48:J76" si="5">I48+H48</f>
        <v>507016.2</v>
      </c>
      <c r="K48" s="15">
        <f t="shared" ref="K48:K81" si="6">I48+H48-D48</f>
        <v>0.31999999994877726</v>
      </c>
      <c r="L48" s="45" t="s">
        <v>14</v>
      </c>
      <c r="M48" s="4" t="s">
        <v>20</v>
      </c>
    </row>
    <row r="49" spans="1:15" x14ac:dyDescent="0.25">
      <c r="A49" s="9">
        <v>41885</v>
      </c>
      <c r="B49" s="10">
        <v>817126.62</v>
      </c>
      <c r="C49" s="10">
        <f t="shared" si="3"/>
        <v>22122.62</v>
      </c>
      <c r="D49" s="11">
        <f t="shared" si="4"/>
        <v>795004</v>
      </c>
      <c r="E49" s="12" t="s">
        <v>9</v>
      </c>
      <c r="G49" s="15">
        <f>2095+6671+257+1733.62+470+10661+100+135</f>
        <v>22122.62</v>
      </c>
      <c r="H49" s="15">
        <f>171786.11+5055.5+4315.6</f>
        <v>181157.21</v>
      </c>
      <c r="I49" s="15">
        <f>100000+92520+75320+50000+85000+24225.5+2200+5503.5+61295+107400+25240+309</f>
        <v>629013</v>
      </c>
      <c r="J49" s="37">
        <f t="shared" si="5"/>
        <v>810170.21</v>
      </c>
      <c r="K49" s="15">
        <f t="shared" si="6"/>
        <v>15166.209999999963</v>
      </c>
      <c r="M49" s="4" t="s">
        <v>15</v>
      </c>
    </row>
    <row r="50" spans="1:15" x14ac:dyDescent="0.25">
      <c r="A50" s="9">
        <v>41886</v>
      </c>
      <c r="B50" s="10">
        <v>776831.6</v>
      </c>
      <c r="C50" s="10">
        <f t="shared" si="3"/>
        <v>291798.42</v>
      </c>
      <c r="D50" s="11">
        <f t="shared" si="4"/>
        <v>485033.18</v>
      </c>
      <c r="E50" s="12" t="s">
        <v>9</v>
      </c>
      <c r="G50" s="15">
        <f>59270.05+80+385.5+100000+80000+39670+8900+500+250+100+250+250+100+30+40+1972.87</f>
        <v>291798.42</v>
      </c>
      <c r="H50" s="15">
        <f>2011.2+4399.2+37088.8+8048.6+56627.2</f>
        <v>108175</v>
      </c>
      <c r="I50" s="15">
        <f>50000+97000+46000+50000+5000+15000+40100+4300+46200+23259</f>
        <v>376859</v>
      </c>
      <c r="J50" s="37">
        <f t="shared" si="5"/>
        <v>485034</v>
      </c>
      <c r="K50" s="15">
        <f t="shared" si="6"/>
        <v>0.82000000000698492</v>
      </c>
    </row>
    <row r="51" spans="1:15" x14ac:dyDescent="0.25">
      <c r="A51" s="9">
        <v>41887</v>
      </c>
      <c r="B51" s="10">
        <v>1893059.85</v>
      </c>
      <c r="C51" s="10">
        <f t="shared" si="3"/>
        <v>128623.65999999999</v>
      </c>
      <c r="D51" s="11">
        <f t="shared" si="4"/>
        <v>1764436.1900000002</v>
      </c>
      <c r="E51" s="12" t="s">
        <v>9</v>
      </c>
      <c r="G51" s="15">
        <f>9321.76+1972+1972+66836+104.4+6257.94+12249+3150+400+15000+2500+470+220+29+938.39+1172.99+250+3502.18+60+1698+520</f>
        <v>128623.65999999999</v>
      </c>
      <c r="H51" s="15">
        <f>12499+17500+8962.2</f>
        <v>38961.199999999997</v>
      </c>
      <c r="I51" s="15">
        <f>25643+174000+12400+11400+8400+67480+125000+108000+146350+166000+15500+15550+107000+145000+15581+100000+36400+57800+30000+50000+35000+30000+88800+50000+24400+58200+19300+16320</f>
        <v>1739524</v>
      </c>
      <c r="J51" s="37">
        <f t="shared" si="5"/>
        <v>1778485.2</v>
      </c>
      <c r="K51" s="15">
        <f t="shared" si="6"/>
        <v>14049.009999999776</v>
      </c>
      <c r="M51" s="4" t="s">
        <v>16</v>
      </c>
    </row>
    <row r="52" spans="1:15" x14ac:dyDescent="0.25">
      <c r="A52" s="9">
        <v>41888</v>
      </c>
      <c r="B52" s="10">
        <v>883213.73</v>
      </c>
      <c r="C52" s="10">
        <f t="shared" si="3"/>
        <v>121104.89</v>
      </c>
      <c r="D52" s="11">
        <f t="shared" si="4"/>
        <v>762108.84</v>
      </c>
      <c r="E52" s="12" t="s">
        <v>9</v>
      </c>
      <c r="G52" s="15">
        <f>62639.75+6100+8478+5000+852+800+348+200+1141+2244+4265+110+720+840+826+100+100+60+60+10+17782+4090.8+4338.34</f>
        <v>121104.89</v>
      </c>
      <c r="H52" s="15">
        <f>152617.71+146639.97+31400+27499.7+7125.5+6588</f>
        <v>371870.88</v>
      </c>
      <c r="I52" s="15">
        <f>5393.6+100000+100000+50000+20000+30000+30000+28600+11079</f>
        <v>375072.6</v>
      </c>
      <c r="J52" s="37">
        <f t="shared" si="5"/>
        <v>746943.48</v>
      </c>
      <c r="K52" s="15">
        <f t="shared" si="6"/>
        <v>-15165.359999999986</v>
      </c>
      <c r="M52" s="36" t="s">
        <v>17</v>
      </c>
      <c r="N52" s="36"/>
      <c r="O52" s="36"/>
    </row>
    <row r="53" spans="1:15" x14ac:dyDescent="0.25">
      <c r="A53" s="9">
        <v>41889</v>
      </c>
      <c r="B53" s="10">
        <v>429814.2</v>
      </c>
      <c r="C53" s="10">
        <f t="shared" si="3"/>
        <v>2003.5</v>
      </c>
      <c r="D53" s="11">
        <f t="shared" si="4"/>
        <v>427810.7</v>
      </c>
      <c r="E53" s="12" t="s">
        <v>9</v>
      </c>
      <c r="G53" s="15">
        <f>560+250+560+100+56+30+30+160.5+191+66</f>
        <v>2003.5</v>
      </c>
      <c r="H53" s="15">
        <f>1927.4</f>
        <v>1927.4</v>
      </c>
      <c r="I53" s="15">
        <f>69407.5+63150+90000+100000+100200+3326</f>
        <v>426083.5</v>
      </c>
      <c r="J53" s="37">
        <f t="shared" si="5"/>
        <v>428010.9</v>
      </c>
      <c r="K53" s="15">
        <f t="shared" si="6"/>
        <v>200.20000000001164</v>
      </c>
      <c r="M53" s="4" t="s">
        <v>18</v>
      </c>
    </row>
    <row r="54" spans="1:15" x14ac:dyDescent="0.25">
      <c r="A54" s="9">
        <v>41890</v>
      </c>
      <c r="B54" s="10">
        <v>540156.87</v>
      </c>
      <c r="C54" s="10">
        <f t="shared" si="3"/>
        <v>60904.5</v>
      </c>
      <c r="D54" s="11">
        <f t="shared" si="4"/>
        <v>479252.37</v>
      </c>
      <c r="E54" s="12" t="s">
        <v>9</v>
      </c>
      <c r="G54" s="15">
        <f>3248+5960+5000+180+320+2377.5+8658+17923.5+5726.5+6623+1500+300+470+520+420+520+652+396+10+100</f>
        <v>60904.5</v>
      </c>
      <c r="H54" s="15">
        <f>13150+8467.2+5262+5240+2233</f>
        <v>34352.199999999997</v>
      </c>
      <c r="I54" s="15">
        <f>11779.8+14509.5+27542.4+100000+40000+20000+54300+80000+55000+24000+15361+2407.5</f>
        <v>444900.2</v>
      </c>
      <c r="J54" s="37">
        <f t="shared" si="5"/>
        <v>479252.4</v>
      </c>
      <c r="K54" s="15">
        <f t="shared" si="6"/>
        <v>3.0000000027939677E-2</v>
      </c>
    </row>
    <row r="55" spans="1:15" x14ac:dyDescent="0.25">
      <c r="A55" s="9">
        <v>41891</v>
      </c>
      <c r="B55" s="10">
        <v>1277625.67</v>
      </c>
      <c r="C55" s="10">
        <f t="shared" si="3"/>
        <v>155570.02000000002</v>
      </c>
      <c r="D55" s="11">
        <f t="shared" si="4"/>
        <v>1122055.6499999999</v>
      </c>
      <c r="E55" s="12" t="s">
        <v>9</v>
      </c>
      <c r="G55" s="15">
        <f>64397+2600+1263.02+300+32+150+220+1350+11935+6930+11888+18586+10984+22735+800+800+500+100</f>
        <v>155570.02000000002</v>
      </c>
      <c r="H55" s="15">
        <f>11017.5</f>
        <v>11017.5</v>
      </c>
      <c r="I55" s="15">
        <f>35600+65000+61770+30000+100000+20000+58520+145450+29670+22350+17200+100000+97305+102000+2712+28000+34500+130000+16914</f>
        <v>1096991</v>
      </c>
      <c r="J55" s="37">
        <f t="shared" si="5"/>
        <v>1108008.5</v>
      </c>
      <c r="K55" s="15">
        <f t="shared" si="6"/>
        <v>-14047.149999999907</v>
      </c>
      <c r="M55" s="36" t="s">
        <v>17</v>
      </c>
      <c r="N55" s="36"/>
      <c r="O55" s="36"/>
    </row>
    <row r="56" spans="1:15" x14ac:dyDescent="0.25">
      <c r="A56" s="9">
        <v>41892</v>
      </c>
      <c r="B56" s="10">
        <v>926372.79</v>
      </c>
      <c r="C56" s="10">
        <f t="shared" si="3"/>
        <v>252361.41</v>
      </c>
      <c r="D56" s="11">
        <f t="shared" si="4"/>
        <v>674011.38</v>
      </c>
      <c r="E56" s="12" t="s">
        <v>9</v>
      </c>
      <c r="G56" s="15">
        <f>48780+22915.5+50208+10725+24977+24864+12926+12562+6835.5+3979+3474+2760+998+2970+162+1826+1331+2200+862.5+520+5143.4+631.51+10684+17+10</f>
        <v>252361.41</v>
      </c>
      <c r="H56" s="15">
        <f>42073.4+6700.4+4310+2000+5448.8</f>
        <v>60532.600000000006</v>
      </c>
      <c r="I56" s="15">
        <f>7001.33+7999.6+167537+66600+47290+136360+100000+8000+62600+10091</f>
        <v>613478.92999999993</v>
      </c>
      <c r="J56" s="37">
        <f t="shared" si="5"/>
        <v>674011.52999999991</v>
      </c>
      <c r="K56" s="15">
        <f t="shared" si="6"/>
        <v>0.14999999990686774</v>
      </c>
    </row>
    <row r="57" spans="1:15" x14ac:dyDescent="0.25">
      <c r="A57" s="9">
        <v>41893</v>
      </c>
      <c r="B57" s="10">
        <v>813906.77</v>
      </c>
      <c r="C57" s="10">
        <f t="shared" si="3"/>
        <v>23733.7</v>
      </c>
      <c r="D57" s="11">
        <f t="shared" si="4"/>
        <v>790173.07000000007</v>
      </c>
      <c r="E57" s="12" t="s">
        <v>9</v>
      </c>
      <c r="G57" s="15">
        <f>3592.5+2343.6+4000+2000+1500+1392.86+1000+857.14+500+580+997.6+135+1360+1000+880+100+100+886+509</f>
        <v>23733.7</v>
      </c>
      <c r="H57" s="15">
        <f>50994.4+31880+28040+10527.2</f>
        <v>121441.59999999999</v>
      </c>
      <c r="I57" s="15">
        <f>55330+100000+100000+120000+70000+65000+100300+14700+32900+10502</f>
        <v>668732</v>
      </c>
      <c r="J57" s="37">
        <f t="shared" si="5"/>
        <v>790173.6</v>
      </c>
      <c r="K57" s="15">
        <f t="shared" si="6"/>
        <v>0.52999999991152436</v>
      </c>
    </row>
    <row r="58" spans="1:15" x14ac:dyDescent="0.25">
      <c r="A58" s="9">
        <v>41894</v>
      </c>
      <c r="B58" s="10">
        <v>670178.06999999995</v>
      </c>
      <c r="C58" s="10">
        <f t="shared" si="3"/>
        <v>28111.43</v>
      </c>
      <c r="D58" s="11">
        <f t="shared" si="4"/>
        <v>642066.6399999999</v>
      </c>
      <c r="E58" s="12" t="s">
        <v>9</v>
      </c>
      <c r="G58" s="15">
        <f>449+1320+10000+4537+4000+2360+700+250+644+1640+560+470+10+100+1071.43</f>
        <v>28111.43</v>
      </c>
      <c r="H58" s="15">
        <f>11753.4+17300</f>
        <v>29053.4</v>
      </c>
      <c r="I58" s="15">
        <f>100000+100000+80500+60000+50000+47000+39800+40000+17700+21449+12318.95+9308.6+7150.9+4350+23436.2</f>
        <v>613013.64999999991</v>
      </c>
      <c r="J58" s="37">
        <f t="shared" si="5"/>
        <v>642067.04999999993</v>
      </c>
      <c r="K58" s="15">
        <f t="shared" si="6"/>
        <v>0.41000000003259629</v>
      </c>
    </row>
    <row r="59" spans="1:15" x14ac:dyDescent="0.25">
      <c r="A59" s="9">
        <v>41895</v>
      </c>
      <c r="B59" s="10">
        <v>1197290.3400000001</v>
      </c>
      <c r="C59" s="10">
        <f t="shared" si="3"/>
        <v>112125.2</v>
      </c>
      <c r="D59" s="11">
        <f t="shared" si="4"/>
        <v>1085165.1400000001</v>
      </c>
      <c r="E59" s="12" t="s">
        <v>9</v>
      </c>
      <c r="G59" s="15">
        <f>2592+25997+15083+16496.5+19175+9601.5+900+5800+2000+186+406+60+100+50.4+1141+90+2244+6660+92.8+470+1162+1088+420+100+200+10</f>
        <v>112125.2</v>
      </c>
      <c r="H59" s="15">
        <f>19450+13354.8+2186.6</f>
        <v>34991.4</v>
      </c>
      <c r="I59" s="15">
        <f>57600+29500+18830+5134+103000+15900+117500+18515+48000+45000+99780+100000+70000+50000+66288+12778.46+38300+20000+20000+6832+7216.6+100000</f>
        <v>1050174.06</v>
      </c>
      <c r="J59" s="37">
        <f t="shared" si="5"/>
        <v>1085165.46</v>
      </c>
      <c r="K59" s="15">
        <f t="shared" si="6"/>
        <v>0.31999999983236194</v>
      </c>
    </row>
    <row r="60" spans="1:15" x14ac:dyDescent="0.25">
      <c r="A60" s="9">
        <v>41896</v>
      </c>
      <c r="B60" s="10">
        <v>435770.1</v>
      </c>
      <c r="C60" s="10">
        <f t="shared" si="3"/>
        <v>7779</v>
      </c>
      <c r="D60" s="11">
        <f t="shared" si="4"/>
        <v>427991.1</v>
      </c>
      <c r="E60" s="12" t="s">
        <v>9</v>
      </c>
      <c r="G60" s="15">
        <f>100+588+55+1036+5000+1000</f>
        <v>7779</v>
      </c>
      <c r="H60" s="15">
        <f>0</f>
        <v>0</v>
      </c>
      <c r="I60" s="15">
        <f>55000+70000+110000+90000+75000+25600+2391</f>
        <v>427991</v>
      </c>
      <c r="J60" s="37">
        <f t="shared" si="5"/>
        <v>427991</v>
      </c>
      <c r="K60" s="15">
        <f t="shared" si="6"/>
        <v>-9.9999999976716936E-2</v>
      </c>
    </row>
    <row r="61" spans="1:15" x14ac:dyDescent="0.25">
      <c r="A61" s="9">
        <v>41897</v>
      </c>
      <c r="B61" s="10">
        <v>1317999.29</v>
      </c>
      <c r="C61" s="10">
        <f t="shared" si="3"/>
        <v>130881</v>
      </c>
      <c r="D61" s="11">
        <f t="shared" si="4"/>
        <v>1187118.29</v>
      </c>
      <c r="E61" s="12" t="s">
        <v>9</v>
      </c>
      <c r="G61" s="15">
        <f>10568+24031.8+4257+17152+13445+37724.7+5000+5000+3631+50+20+700+100+54.5+114+75+242+5000+1012+922+200+1582</f>
        <v>130881</v>
      </c>
      <c r="H61" s="15">
        <f>7894.1+8320+113257+174778.23</f>
        <v>304249.33</v>
      </c>
      <c r="I61" s="15">
        <f>100000+100000+100000+35000+53000+48000+100+57450+120000+23357.6+12309.8+14303.8+79650+28380+7762.8+77790+25766</f>
        <v>882870.00000000012</v>
      </c>
      <c r="J61" s="37">
        <f t="shared" si="5"/>
        <v>1187119.33</v>
      </c>
      <c r="K61" s="15">
        <f t="shared" si="6"/>
        <v>1.0400000000372529</v>
      </c>
    </row>
    <row r="62" spans="1:15" x14ac:dyDescent="0.25">
      <c r="A62" s="9">
        <v>41898</v>
      </c>
      <c r="B62" s="10">
        <v>811072.13</v>
      </c>
      <c r="C62" s="10">
        <f t="shared" si="3"/>
        <v>4150.2</v>
      </c>
      <c r="D62" s="11">
        <f t="shared" si="4"/>
        <v>806921.93</v>
      </c>
      <c r="E62" s="12" t="s">
        <v>9</v>
      </c>
      <c r="G62" s="15">
        <f>1973+470+600+200.2+632+250+25</f>
        <v>4150.2</v>
      </c>
      <c r="H62" s="15">
        <f>0</f>
        <v>0</v>
      </c>
      <c r="I62" s="15">
        <f>2056+113500+20000+31000+18800+62000+100000+50000+70000+50000+50000+2643.28+7848.64+61000+50000+25000+67810+20000+5265</f>
        <v>806922.92</v>
      </c>
      <c r="J62" s="37">
        <f t="shared" si="5"/>
        <v>806922.92</v>
      </c>
      <c r="K62" s="15">
        <f t="shared" si="6"/>
        <v>0.98999999999068677</v>
      </c>
    </row>
    <row r="63" spans="1:15" x14ac:dyDescent="0.25">
      <c r="A63" s="9">
        <v>41899</v>
      </c>
      <c r="B63" s="10">
        <v>299893.7</v>
      </c>
      <c r="C63" s="10">
        <f t="shared" si="3"/>
        <v>9037</v>
      </c>
      <c r="D63" s="11">
        <f t="shared" si="4"/>
        <v>290856.7</v>
      </c>
      <c r="E63" s="12" t="s">
        <v>9</v>
      </c>
      <c r="G63" s="15">
        <f>1629+225+5000+625+504+100+100+100+754</f>
        <v>9037</v>
      </c>
      <c r="H63" s="15">
        <f>9055.5</f>
        <v>9055.5</v>
      </c>
      <c r="I63" s="15">
        <f>8443+67000+40000+75000+30000+37000+20000+4359</f>
        <v>281802</v>
      </c>
      <c r="J63" s="37">
        <f t="shared" si="5"/>
        <v>290857.5</v>
      </c>
      <c r="K63" s="15">
        <f t="shared" si="6"/>
        <v>0.79999999998835847</v>
      </c>
    </row>
    <row r="64" spans="1:15" x14ac:dyDescent="0.25">
      <c r="A64" s="9">
        <v>41900</v>
      </c>
      <c r="B64" s="10">
        <v>614930.72</v>
      </c>
      <c r="C64" s="10">
        <f t="shared" si="3"/>
        <v>49343</v>
      </c>
      <c r="D64" s="11">
        <f t="shared" si="4"/>
        <v>565587.72</v>
      </c>
      <c r="E64" s="12" t="s">
        <v>9</v>
      </c>
      <c r="G64" s="15">
        <f>3467+35000+2504+256+1930+1220+1656+810+470+1920+10+100</f>
        <v>49343</v>
      </c>
      <c r="H64" s="15">
        <f>1932+7008.7+20000+23578</f>
        <v>52518.7</v>
      </c>
      <c r="I64" s="15">
        <f>23000+50000+50000+50000+25000+30000+45000+80000+43400+10000+13800.1+58600+11366+22903.4</f>
        <v>513069.5</v>
      </c>
      <c r="J64" s="37">
        <f t="shared" si="5"/>
        <v>565588.19999999995</v>
      </c>
      <c r="K64" s="15">
        <f t="shared" si="6"/>
        <v>0.47999999998137355</v>
      </c>
    </row>
    <row r="65" spans="1:13" x14ac:dyDescent="0.25">
      <c r="A65" s="9">
        <v>41901</v>
      </c>
      <c r="B65" s="10">
        <v>2700802.16</v>
      </c>
      <c r="C65" s="10">
        <f t="shared" si="3"/>
        <v>287056.5</v>
      </c>
      <c r="D65" s="11">
        <f t="shared" si="4"/>
        <v>2413745.66</v>
      </c>
      <c r="E65" s="12" t="s">
        <v>9</v>
      </c>
      <c r="G65" s="15">
        <f>5499+8052+70281+10500+2341+296.5+14162+143286+2000+1500+40+25000+1251+220+480+938+1000+100+100+10</f>
        <v>287056.5</v>
      </c>
      <c r="H65" s="15">
        <f>4477.8+7347+13233+17069.56</f>
        <v>42127.360000000001</v>
      </c>
      <c r="I65" s="15">
        <f>7399.86+3750+90500+63500+35200+50000+68247+147280+217000+40000+155000+100000+128000+89000+115000+99500+37800+17113+148000+41987+9101+48550+50000+74251+30000+30000+40000+40000+20000+42500+40000+60000+42500+29600+44500+38700+15640.5+62000</f>
        <v>2371619.36</v>
      </c>
      <c r="J65" s="37">
        <f t="shared" si="5"/>
        <v>2413746.7199999997</v>
      </c>
      <c r="K65" s="15">
        <f t="shared" si="6"/>
        <v>1.0599999995902181</v>
      </c>
    </row>
    <row r="66" spans="1:13" x14ac:dyDescent="0.25">
      <c r="A66" s="9">
        <v>41902</v>
      </c>
      <c r="B66" s="10">
        <v>812400.06</v>
      </c>
      <c r="C66" s="10">
        <f t="shared" si="3"/>
        <v>103200.5</v>
      </c>
      <c r="D66" s="11">
        <f t="shared" si="4"/>
        <v>709199.56</v>
      </c>
      <c r="E66" s="12" t="s">
        <v>9</v>
      </c>
      <c r="G66" s="15">
        <f>947.5+2000+1500+600+2244+250+897+10+5595+60+10+7031.5+4639.5+34680+42736</f>
        <v>103200.5</v>
      </c>
      <c r="H66" s="15">
        <f>26571.02+76558+182460.52</f>
        <v>285589.53999999998</v>
      </c>
      <c r="I66" s="15">
        <f>50000+30000+50000+50000+60770+25000+13000+49230+60000+17610.5+18000</f>
        <v>423610.5</v>
      </c>
      <c r="J66" s="37">
        <f t="shared" si="5"/>
        <v>709200.04</v>
      </c>
      <c r="K66" s="15">
        <f t="shared" si="6"/>
        <v>0.47999999998137355</v>
      </c>
    </row>
    <row r="67" spans="1:13" x14ac:dyDescent="0.25">
      <c r="A67" s="9">
        <v>41903</v>
      </c>
      <c r="B67" s="10">
        <v>598792.54</v>
      </c>
      <c r="C67" s="10">
        <f t="shared" si="3"/>
        <v>16679.5</v>
      </c>
      <c r="D67" s="11">
        <f t="shared" si="4"/>
        <v>582113.04</v>
      </c>
      <c r="E67" s="12" t="s">
        <v>9</v>
      </c>
      <c r="G67" s="15">
        <f>100+60+470+30+30+250+250+280+240+606+14142.5+221</f>
        <v>16679.5</v>
      </c>
      <c r="H67" s="15">
        <f>51150+51464+3366+11924+29609+12800</f>
        <v>160313</v>
      </c>
      <c r="I67" s="15">
        <f>26600+73400+100000+40000+80000+70000+30000+1797</f>
        <v>421797</v>
      </c>
      <c r="J67" s="37">
        <f t="shared" si="5"/>
        <v>582110</v>
      </c>
      <c r="K67" s="15">
        <f t="shared" si="6"/>
        <v>-3.0400000000372529</v>
      </c>
    </row>
    <row r="68" spans="1:13" x14ac:dyDescent="0.25">
      <c r="A68" s="9">
        <v>41904</v>
      </c>
      <c r="B68" s="10">
        <v>407301.31</v>
      </c>
      <c r="C68" s="10">
        <f t="shared" si="3"/>
        <v>134164</v>
      </c>
      <c r="D68" s="11">
        <f t="shared" si="4"/>
        <v>273137.31</v>
      </c>
      <c r="E68" s="12" t="s">
        <v>9</v>
      </c>
      <c r="G68" s="15">
        <f>5000+4172+53+980+578+100+466+4075.5+9712+1916.5+76909+27097+1105+2000</f>
        <v>134164</v>
      </c>
      <c r="H68" s="15">
        <f>9002</f>
        <v>9002</v>
      </c>
      <c r="I68" s="15">
        <f>2601+9276.93+700.8+22576.8+27812.4+20000+30000+40000+6000+20000+25370+31900+20000+7899</f>
        <v>264136.93</v>
      </c>
      <c r="J68" s="37">
        <f t="shared" si="5"/>
        <v>273138.93</v>
      </c>
      <c r="K68" s="15">
        <f t="shared" si="6"/>
        <v>1.6199999999953434</v>
      </c>
    </row>
    <row r="69" spans="1:13" x14ac:dyDescent="0.25">
      <c r="A69" s="9">
        <v>41905</v>
      </c>
      <c r="B69" s="10">
        <v>732907.75</v>
      </c>
      <c r="C69" s="10">
        <f t="shared" si="3"/>
        <v>70359.87</v>
      </c>
      <c r="D69" s="11">
        <f t="shared" si="4"/>
        <v>662547.88</v>
      </c>
      <c r="E69" s="12" t="s">
        <v>9</v>
      </c>
      <c r="G69" s="15">
        <f>1795.37+5308+1080+2600+850+3100+3052.5+7096.5+40978+367.5+1572+180+280+250+220+36+100+834+100+560</f>
        <v>70359.87</v>
      </c>
      <c r="H69" s="15">
        <f>7043.7</f>
        <v>7043.7</v>
      </c>
      <c r="I69" s="15">
        <f>22605+75450+75000+55100+80000+52300+29900+70000+30000+14250+58000+20000+6885+45000+21011</f>
        <v>655501</v>
      </c>
      <c r="J69" s="37">
        <f t="shared" si="5"/>
        <v>662544.69999999995</v>
      </c>
      <c r="K69" s="15">
        <f t="shared" si="6"/>
        <v>-3.1800000000512227</v>
      </c>
    </row>
    <row r="70" spans="1:13" x14ac:dyDescent="0.25">
      <c r="A70" s="9">
        <v>41906</v>
      </c>
      <c r="B70" s="10">
        <v>658927.9</v>
      </c>
      <c r="C70" s="10">
        <f t="shared" si="3"/>
        <v>17893.260000000002</v>
      </c>
      <c r="D70" s="11">
        <f t="shared" si="4"/>
        <v>641034.64</v>
      </c>
      <c r="E70" s="12" t="s">
        <v>9</v>
      </c>
      <c r="G70" s="15">
        <f>3005.75+4066+2400+1700+1500+742.4+100+45+60+20.11+600+1816+520+118+100+100+1000</f>
        <v>17893.260000000002</v>
      </c>
      <c r="H70" s="15">
        <f>2707</f>
        <v>2707</v>
      </c>
      <c r="I70" s="15">
        <f>75000+50000+27100+194640+81000+72000+5500+15074+34924+54950+18962+4427+4748.1</f>
        <v>638325.1</v>
      </c>
      <c r="J70" s="37">
        <f t="shared" si="5"/>
        <v>641032.1</v>
      </c>
      <c r="K70" s="15">
        <f t="shared" si="6"/>
        <v>-2.5400000000372529</v>
      </c>
    </row>
    <row r="71" spans="1:13" x14ac:dyDescent="0.25">
      <c r="A71" s="9">
        <v>41907</v>
      </c>
      <c r="B71" s="10">
        <v>1330366.58</v>
      </c>
      <c r="C71" s="10">
        <f t="shared" si="3"/>
        <v>106589.88</v>
      </c>
      <c r="D71" s="11">
        <f t="shared" si="4"/>
        <v>1223776.7000000002</v>
      </c>
      <c r="E71" s="12" t="s">
        <v>9</v>
      </c>
      <c r="G71" s="15">
        <f>3131+1761.9+3284.38+803.6+4662+2174+1640+185+100+470+360+140.4+75+867.1+180+100+614+504+23444+23393.5+38700</f>
        <v>106589.88</v>
      </c>
      <c r="H71" s="15">
        <f>195470.37+80743.2+31730+15681.2+2809.4</f>
        <v>326434.17000000004</v>
      </c>
      <c r="I71" s="15">
        <f>80000+100000+100000+17550+26300+99220+70000+70000+40000+40300+3000+23675+59450+53570+61150+18530.5+34597.32</f>
        <v>897342.82</v>
      </c>
      <c r="J71" s="37">
        <f t="shared" si="5"/>
        <v>1223776.99</v>
      </c>
      <c r="K71" s="15">
        <f t="shared" si="6"/>
        <v>0.28999999980442226</v>
      </c>
    </row>
    <row r="72" spans="1:13" x14ac:dyDescent="0.25">
      <c r="A72" s="9">
        <v>41908</v>
      </c>
      <c r="B72" s="10">
        <v>2272137.08</v>
      </c>
      <c r="C72" s="10">
        <f>G72</f>
        <v>92039.29</v>
      </c>
      <c r="D72" s="11">
        <f t="shared" si="4"/>
        <v>2180097.79</v>
      </c>
      <c r="E72" s="12" t="s">
        <v>9</v>
      </c>
      <c r="G72" s="15">
        <f>100+457+39+150+8845.2+4381+3078+40000+4000+3500+2000+1517.5+8000+260+10587.5+250+360+18+100+520+680+2500+13.5+631.39+51.2</f>
        <v>92039.29</v>
      </c>
      <c r="H72" s="15">
        <f>8995</f>
        <v>8995</v>
      </c>
      <c r="I72" s="15">
        <f>32052+25101.6+70000+100000+60000+42360+53300+25000+47800+40000+7862.4+69200+54100+95000+114915+33350+43840+86500+119000+69000+150440+32800+5000+27250+100000+63550+143500+29100+33900+30000+180000+24600+35000+21250+30000+60000+16332</f>
        <v>2171103</v>
      </c>
      <c r="J72" s="37">
        <f t="shared" si="5"/>
        <v>2180098</v>
      </c>
      <c r="K72" s="15">
        <f t="shared" si="6"/>
        <v>0.2099999999627471</v>
      </c>
      <c r="M72" s="15"/>
    </row>
    <row r="73" spans="1:13" x14ac:dyDescent="0.25">
      <c r="A73" s="9">
        <v>41909</v>
      </c>
      <c r="B73" s="10">
        <v>1000379.55</v>
      </c>
      <c r="C73" s="10">
        <f>G73</f>
        <v>21504.2</v>
      </c>
      <c r="D73" s="11">
        <f t="shared" si="4"/>
        <v>978875.35000000009</v>
      </c>
      <c r="E73" s="12" t="s">
        <v>9</v>
      </c>
      <c r="G73" s="15">
        <f>134+409+667+114+81.5+800+2095+9554.8+100+100+6237+1120+91.9</f>
        <v>21504.2</v>
      </c>
      <c r="H73" s="15">
        <f>13261+13887.53+4921.58+119500.58</f>
        <v>151570.69</v>
      </c>
      <c r="I73" s="15">
        <f>4091.84+9617.4+6281+56950+70000+48900+97690+73400+20000+54000+40000+40000+81900+65900+13000+79500+45250+14000+6827</f>
        <v>827307.24</v>
      </c>
      <c r="J73" s="37">
        <f t="shared" si="5"/>
        <v>978877.92999999993</v>
      </c>
      <c r="K73" s="15">
        <f t="shared" si="6"/>
        <v>2.5799999998416752</v>
      </c>
    </row>
    <row r="74" spans="1:13" x14ac:dyDescent="0.25">
      <c r="A74" s="9">
        <v>41910</v>
      </c>
      <c r="B74" s="10">
        <v>476603.56</v>
      </c>
      <c r="C74" s="10">
        <f>G74</f>
        <v>3714</v>
      </c>
      <c r="D74" s="11">
        <f t="shared" si="4"/>
        <v>472889.56</v>
      </c>
      <c r="E74" s="12" t="s">
        <v>9</v>
      </c>
      <c r="G74" s="15">
        <f>100+100+100+796+110+560+360+592+750+167+79</f>
        <v>3714</v>
      </c>
      <c r="H74" s="15">
        <f>0</f>
        <v>0</v>
      </c>
      <c r="I74" s="15">
        <f>100000+100000+34800+200+40000+55000+60000+70000+9500+3390</f>
        <v>472890</v>
      </c>
      <c r="J74" s="37">
        <f t="shared" si="5"/>
        <v>472890</v>
      </c>
      <c r="K74" s="15">
        <f t="shared" si="6"/>
        <v>0.44000000000232831</v>
      </c>
    </row>
    <row r="75" spans="1:13" x14ac:dyDescent="0.25">
      <c r="A75" s="9">
        <v>41911</v>
      </c>
      <c r="B75" s="10">
        <v>402644.55</v>
      </c>
      <c r="C75" s="10">
        <f t="shared" ref="C75:C76" si="7">G75</f>
        <v>53458.400000000001</v>
      </c>
      <c r="D75" s="11">
        <f t="shared" si="4"/>
        <v>349186.14999999997</v>
      </c>
      <c r="E75" s="12" t="s">
        <v>9</v>
      </c>
      <c r="G75" s="15">
        <f>713+3163+10742+10229+2129+1577+906+2095+520+10000+5000+1724+1141+135+470+100+100+50.4+810+110+1184+560</f>
        <v>53458.400000000001</v>
      </c>
      <c r="H75" s="15">
        <f>9146.49</f>
        <v>9146.49</v>
      </c>
      <c r="I75" s="15">
        <f>12534.5+12220+29491.8+745.2+12500+40000+150000+20400+35000+20000+7150</f>
        <v>340041.5</v>
      </c>
      <c r="J75" s="37">
        <f t="shared" si="5"/>
        <v>349187.99</v>
      </c>
      <c r="K75" s="15">
        <f t="shared" si="6"/>
        <v>1.8400000000256114</v>
      </c>
    </row>
    <row r="76" spans="1:13" x14ac:dyDescent="0.25">
      <c r="A76" s="9">
        <v>41912</v>
      </c>
      <c r="B76" s="10">
        <v>5347249.54</v>
      </c>
      <c r="C76" s="10">
        <f t="shared" si="7"/>
        <v>90165.6</v>
      </c>
      <c r="D76" s="11">
        <f t="shared" si="4"/>
        <v>5257083.9400000004</v>
      </c>
      <c r="E76" s="12" t="s">
        <v>9</v>
      </c>
      <c r="G76" s="15">
        <f>65+209+11630+504+36690+30000+4467+2100+1500+470+520+240+110+560+560+30+30+240+16+5+129.6+90</f>
        <v>90165.6</v>
      </c>
      <c r="H76" s="15">
        <f>27116</f>
        <v>27116</v>
      </c>
      <c r="I76" s="15">
        <f>24484.8+29774+1450+17572.8+50000+197000+75920+131000+122100+145000+68000+30000+656312.5+37950.36+100000+30000+110036.57+384000+148963.35+19992+850000+50017.6+340000+115000+20988+38985.57+190000+400000+79799.88+20095.25+300000+42100+50000+50000+20000+38000+25000+85000+54300+20000+43600+10000+15928+7531</f>
        <v>5245901.6800000006</v>
      </c>
      <c r="J76" s="37">
        <f t="shared" si="5"/>
        <v>5273017.6800000006</v>
      </c>
      <c r="K76" s="15">
        <f t="shared" si="6"/>
        <v>15933.740000000224</v>
      </c>
      <c r="M76" s="4" t="s">
        <v>12</v>
      </c>
    </row>
    <row r="77" spans="1:13" x14ac:dyDescent="0.25">
      <c r="A77" s="9"/>
      <c r="B77" s="10"/>
      <c r="C77" s="10"/>
      <c r="D77" s="11">
        <f t="shared" si="4"/>
        <v>0</v>
      </c>
      <c r="G77" s="4"/>
      <c r="I77" s="15"/>
      <c r="J77" s="4"/>
      <c r="K77" s="15">
        <f t="shared" si="6"/>
        <v>0</v>
      </c>
    </row>
    <row r="78" spans="1:13" x14ac:dyDescent="0.25">
      <c r="A78" s="9"/>
      <c r="B78" s="10"/>
      <c r="C78" s="10"/>
      <c r="D78" s="11">
        <f t="shared" si="4"/>
        <v>0</v>
      </c>
      <c r="G78" s="4"/>
      <c r="I78" s="15"/>
      <c r="J78" s="4"/>
      <c r="K78" s="15">
        <f t="shared" si="6"/>
        <v>0</v>
      </c>
    </row>
    <row r="79" spans="1:13" x14ac:dyDescent="0.25">
      <c r="A79" s="14"/>
      <c r="B79" s="10"/>
      <c r="C79" s="10"/>
      <c r="D79" s="11">
        <f t="shared" si="4"/>
        <v>0</v>
      </c>
      <c r="G79" s="4"/>
      <c r="I79" s="15"/>
      <c r="J79" s="4"/>
      <c r="K79" s="15">
        <f t="shared" si="6"/>
        <v>0</v>
      </c>
    </row>
    <row r="80" spans="1:13" x14ac:dyDescent="0.25">
      <c r="A80" s="14"/>
      <c r="B80" s="13"/>
      <c r="C80" s="10"/>
      <c r="D80" s="11">
        <f t="shared" si="4"/>
        <v>0</v>
      </c>
      <c r="G80" s="4"/>
      <c r="I80" s="15"/>
      <c r="J80" s="4"/>
      <c r="K80" s="15">
        <f t="shared" si="6"/>
        <v>0</v>
      </c>
    </row>
    <row r="81" spans="1:17" x14ac:dyDescent="0.25">
      <c r="A81" s="14"/>
      <c r="B81" s="10"/>
      <c r="C81" s="10"/>
      <c r="D81" s="11">
        <f t="shared" si="4"/>
        <v>0</v>
      </c>
      <c r="G81" s="4"/>
      <c r="I81" s="15"/>
      <c r="J81" s="4"/>
      <c r="K81" s="15">
        <f t="shared" si="6"/>
        <v>0</v>
      </c>
    </row>
    <row r="82" spans="1:17" x14ac:dyDescent="0.25">
      <c r="A82" s="14"/>
      <c r="B82" s="10">
        <f>SUM(B47:B81)</f>
        <v>31381874.329999994</v>
      </c>
      <c r="C82" s="10">
        <f>SUM(C47:C81)</f>
        <v>2494994.9699999997</v>
      </c>
      <c r="D82" s="11">
        <f t="shared" si="4"/>
        <v>28886879.359999996</v>
      </c>
      <c r="G82" s="15"/>
      <c r="I82" s="15"/>
      <c r="J82" s="4"/>
      <c r="K82" s="15">
        <f>SUM(K47:K81)</f>
        <v>16142.349999998813</v>
      </c>
    </row>
    <row r="83" spans="1:17" x14ac:dyDescent="0.25">
      <c r="A83" s="14"/>
      <c r="B83" s="13"/>
      <c r="C83" s="10"/>
      <c r="D83" s="11">
        <f>B83-C83</f>
        <v>0</v>
      </c>
      <c r="G83" s="4"/>
      <c r="I83" s="4"/>
      <c r="J83" s="4"/>
      <c r="K83" s="15"/>
      <c r="L83" s="15"/>
    </row>
    <row r="84" spans="1:17" x14ac:dyDescent="0.25">
      <c r="A84" s="14"/>
      <c r="B84" s="16"/>
      <c r="C84" s="10"/>
      <c r="D84" s="11">
        <f>B84-C84</f>
        <v>0</v>
      </c>
      <c r="G84" s="4"/>
      <c r="I84" s="4"/>
      <c r="J84" s="4"/>
    </row>
    <row r="85" spans="1:17" ht="15" x14ac:dyDescent="0.25">
      <c r="A85" s="4"/>
      <c r="B85" s="4"/>
      <c r="C85" s="4"/>
      <c r="D85" s="4"/>
      <c r="G85" s="4"/>
      <c r="I85" s="4"/>
      <c r="J85" s="4"/>
    </row>
    <row r="86" spans="1:17" ht="15" x14ac:dyDescent="0.25">
      <c r="A86" s="4"/>
      <c r="B86" s="4"/>
      <c r="C86" s="4"/>
      <c r="D86" s="4"/>
      <c r="G86" s="4"/>
      <c r="I86" s="4"/>
      <c r="J86" s="4"/>
    </row>
    <row r="87" spans="1:17" ht="15" x14ac:dyDescent="0.25">
      <c r="A87" s="4"/>
      <c r="B87" s="4"/>
      <c r="C87" s="4"/>
      <c r="D87" s="4"/>
      <c r="G87" s="4"/>
      <c r="I87" s="4"/>
      <c r="J87" s="4"/>
    </row>
    <row r="88" spans="1:17" ht="18.75" x14ac:dyDescent="0.3">
      <c r="B88" s="274" t="s">
        <v>41</v>
      </c>
      <c r="C88" s="274"/>
      <c r="D88" s="2"/>
      <c r="E88" s="3"/>
      <c r="F88" s="3"/>
      <c r="G88" s="4"/>
      <c r="I88" s="4"/>
      <c r="J88" s="4"/>
    </row>
    <row r="89" spans="1:17" x14ac:dyDescent="0.25">
      <c r="A89" s="5"/>
      <c r="B89" s="6"/>
      <c r="C89" s="23" t="s">
        <v>6</v>
      </c>
      <c r="D89" s="7"/>
      <c r="E89" s="3"/>
      <c r="F89" s="3"/>
      <c r="G89" s="25"/>
      <c r="H89" s="41"/>
      <c r="I89" s="4"/>
      <c r="J89" s="4"/>
    </row>
    <row r="90" spans="1:17" ht="16.5" thickBot="1" x14ac:dyDescent="0.3">
      <c r="A90" s="19" t="s">
        <v>0</v>
      </c>
      <c r="B90" s="20" t="s">
        <v>1</v>
      </c>
      <c r="C90" s="21" t="s">
        <v>2</v>
      </c>
      <c r="D90" s="22" t="s">
        <v>4</v>
      </c>
      <c r="E90" s="3"/>
      <c r="F90" s="3"/>
      <c r="G90" s="38" t="s">
        <v>19</v>
      </c>
      <c r="H90" s="32" t="s">
        <v>10</v>
      </c>
      <c r="I90" s="27" t="s">
        <v>8</v>
      </c>
      <c r="J90" s="4"/>
      <c r="K90" s="33" t="s">
        <v>11</v>
      </c>
      <c r="L90" s="34" t="s">
        <v>13</v>
      </c>
    </row>
    <row r="91" spans="1:17" ht="16.5" thickTop="1" x14ac:dyDescent="0.25">
      <c r="A91" s="9">
        <v>41913</v>
      </c>
      <c r="B91" s="10">
        <v>808060.08</v>
      </c>
      <c r="C91" s="10">
        <f>551298.73</f>
        <v>551298.73</v>
      </c>
      <c r="D91" s="11">
        <f>B91-C91</f>
        <v>256761.34999999998</v>
      </c>
      <c r="E91" s="12" t="s">
        <v>9</v>
      </c>
      <c r="G91" s="15">
        <v>0</v>
      </c>
      <c r="H91" s="15">
        <v>0</v>
      </c>
      <c r="I91" s="15">
        <f>7497.2+72000+28000+55300+62400+20700+800+10064.9</f>
        <v>256762.1</v>
      </c>
      <c r="J91" s="37">
        <f>I91+H91+G91</f>
        <v>256762.1</v>
      </c>
      <c r="K91" s="15">
        <f>I91+H91+G91-D91</f>
        <v>0.75000000002910383</v>
      </c>
    </row>
    <row r="92" spans="1:17" x14ac:dyDescent="0.25">
      <c r="A92" s="9">
        <v>41914</v>
      </c>
      <c r="B92" s="10">
        <f>1168882.08+533279.9</f>
        <v>1702161.98</v>
      </c>
      <c r="C92" s="10">
        <f>48822.1+609+928+261</f>
        <v>50620.1</v>
      </c>
      <c r="D92" s="11">
        <f>B92-C92</f>
        <v>1651541.88</v>
      </c>
      <c r="E92" s="12" t="s">
        <v>9</v>
      </c>
      <c r="G92" s="31">
        <v>20784.2</v>
      </c>
      <c r="H92" s="31">
        <f>112703.6+17234.4+220469.91+38611.6+8736.18</f>
        <v>397755.69</v>
      </c>
      <c r="I92" s="15">
        <f>3792+50000+16275+39147.2+91697.1+105165+41800+16440+47800+1000+5000+45000+56000+55100+45000+60000+32000+27305+102860+40000+35000+32000+67350+61880+135826+19564.6</f>
        <v>1233001.9000000001</v>
      </c>
      <c r="J92" s="37">
        <f t="shared" ref="J92:J121" si="8">I92+H92+G92</f>
        <v>1651541.79</v>
      </c>
      <c r="K92" s="15">
        <f t="shared" ref="K92:K120" si="9">I92+H92+G92-D92</f>
        <v>-8.9999999850988388E-2</v>
      </c>
    </row>
    <row r="93" spans="1:17" x14ac:dyDescent="0.25">
      <c r="A93" s="9">
        <v>41915</v>
      </c>
      <c r="B93" s="10">
        <f>50654.87+495025.5+6084.4</f>
        <v>551764.77</v>
      </c>
      <c r="C93" s="10">
        <f>35364.63</f>
        <v>35364.629999999997</v>
      </c>
      <c r="D93" s="11">
        <f t="shared" ref="D93:D128" si="10">B93-C93</f>
        <v>516400.14</v>
      </c>
      <c r="E93" s="12" t="s">
        <v>9</v>
      </c>
      <c r="G93" s="15">
        <f>33046.6</f>
        <v>33046.6</v>
      </c>
      <c r="H93" s="15">
        <f>1763.8+3854.7</f>
        <v>5618.5</v>
      </c>
      <c r="I93" s="15">
        <f>9211.6+5234.97+17121+17324+50000+32600+65450+40000+65000+46000+34406+88249.7+7138.5</f>
        <v>477735.77</v>
      </c>
      <c r="J93" s="37">
        <f t="shared" si="8"/>
        <v>516400.87</v>
      </c>
      <c r="K93" s="15">
        <f t="shared" si="9"/>
        <v>0.72999999998137355</v>
      </c>
    </row>
    <row r="94" spans="1:17" x14ac:dyDescent="0.25">
      <c r="A94" s="9">
        <v>41916</v>
      </c>
      <c r="B94" s="10">
        <f>1106718.71+378787.8</f>
        <v>1485506.51</v>
      </c>
      <c r="C94" s="10">
        <f>23770+88+900</f>
        <v>24758</v>
      </c>
      <c r="D94" s="11">
        <f t="shared" si="10"/>
        <v>1460748.51</v>
      </c>
      <c r="E94" s="12" t="s">
        <v>9</v>
      </c>
      <c r="G94" s="15">
        <v>5822</v>
      </c>
      <c r="H94" s="15">
        <f>128681.5+2921.4+223055.51</f>
        <v>354658.41000000003</v>
      </c>
      <c r="I94" s="15">
        <f>22186.8+12340+12800+8150+27700+42410+85000+96000+1273+245528+10600+12400+53400+35450+50000+70000+50000+19000+87500+53600+71260+17741.9</f>
        <v>1084339.7</v>
      </c>
      <c r="J94" s="37">
        <f t="shared" si="8"/>
        <v>1444820.1099999999</v>
      </c>
      <c r="K94" s="15">
        <f t="shared" si="9"/>
        <v>-15928.40000000014</v>
      </c>
      <c r="M94" s="36" t="s">
        <v>21</v>
      </c>
      <c r="N94" s="36"/>
      <c r="O94" s="36"/>
      <c r="P94" s="36"/>
      <c r="Q94" s="36"/>
    </row>
    <row r="95" spans="1:17" x14ac:dyDescent="0.25">
      <c r="A95" s="9">
        <v>41917</v>
      </c>
      <c r="B95" s="10">
        <f>208720.32+394373.32</f>
        <v>603093.64</v>
      </c>
      <c r="C95" s="10">
        <f>1224</f>
        <v>1224</v>
      </c>
      <c r="D95" s="11">
        <f t="shared" si="10"/>
        <v>601869.64</v>
      </c>
      <c r="E95" s="12" t="s">
        <v>9</v>
      </c>
      <c r="G95" s="15">
        <f>504.4</f>
        <v>504.4</v>
      </c>
      <c r="H95" s="15">
        <f>14830+15551.6+28254+31637.92+28800+34461.7</f>
        <v>153535.21999999997</v>
      </c>
      <c r="I95" s="15">
        <f>90000+100000+75000+100000+82295+535</f>
        <v>447830</v>
      </c>
      <c r="J95" s="37">
        <f t="shared" si="8"/>
        <v>601869.62</v>
      </c>
      <c r="K95" s="15">
        <f t="shared" si="9"/>
        <v>-2.0000000018626451E-2</v>
      </c>
    </row>
    <row r="96" spans="1:17" x14ac:dyDescent="0.25">
      <c r="A96" s="9">
        <v>41918</v>
      </c>
      <c r="B96" s="10">
        <f>136060.2+1030624.67</f>
        <v>1166684.8700000001</v>
      </c>
      <c r="C96" s="10">
        <f>330+25376.01</f>
        <v>25706.01</v>
      </c>
      <c r="D96" s="11">
        <f t="shared" si="10"/>
        <v>1140978.8600000001</v>
      </c>
      <c r="E96" s="12" t="s">
        <v>9</v>
      </c>
      <c r="G96" s="15">
        <f>29794</f>
        <v>29794</v>
      </c>
      <c r="H96" s="15">
        <f>21375</f>
        <v>21375</v>
      </c>
      <c r="I96" s="15">
        <f>29304+1528+50000+50000+4900+130000+80000+25000+50000+85000+23500+50000+54050+26600+40000+135548+62991.5+42418.2+39528+27456.5+53527.6+11290+17162.5</f>
        <v>1089804.3</v>
      </c>
      <c r="J96" s="37">
        <f t="shared" si="8"/>
        <v>1140973.3</v>
      </c>
      <c r="K96" s="15">
        <f t="shared" si="9"/>
        <v>-5.5600000000558794</v>
      </c>
    </row>
    <row r="97" spans="1:12" x14ac:dyDescent="0.25">
      <c r="A97" s="9">
        <v>41919</v>
      </c>
      <c r="B97" s="10">
        <f>102479.54+595826.14</f>
        <v>698305.68</v>
      </c>
      <c r="C97" s="10">
        <f>94910.53+1800</f>
        <v>96710.53</v>
      </c>
      <c r="D97" s="11">
        <f t="shared" si="10"/>
        <v>601595.15</v>
      </c>
      <c r="E97" s="12" t="s">
        <v>9</v>
      </c>
      <c r="G97" s="15">
        <f>1064.3</f>
        <v>1064.3</v>
      </c>
      <c r="H97" s="15">
        <f>27536+4308.2+4298.4</f>
        <v>36142.6</v>
      </c>
      <c r="I97" s="15">
        <f>10646.8+2240+12800+44950+19300+73120+17500+18000+70000+50000+45920+39812.5+45620+44617+69863.5</f>
        <v>564389.80000000005</v>
      </c>
      <c r="J97" s="37">
        <f t="shared" si="8"/>
        <v>601596.70000000007</v>
      </c>
      <c r="K97" s="15">
        <f t="shared" si="9"/>
        <v>1.5500000000465661</v>
      </c>
    </row>
    <row r="98" spans="1:12" x14ac:dyDescent="0.25">
      <c r="A98" s="9">
        <v>41920</v>
      </c>
      <c r="B98" s="10">
        <f>1264396.9+65238.8+271240.18+1896+175771.84</f>
        <v>1778543.72</v>
      </c>
      <c r="C98" s="10">
        <f>67257+820+340</f>
        <v>68417</v>
      </c>
      <c r="D98" s="11">
        <f t="shared" si="10"/>
        <v>1710126.72</v>
      </c>
      <c r="E98" s="12" t="s">
        <v>9</v>
      </c>
      <c r="G98" s="15">
        <f>151.6</f>
        <v>151.6</v>
      </c>
      <c r="H98" s="15">
        <v>14701.52</v>
      </c>
      <c r="I98" s="15">
        <f>3062.5+11400+28600+30900+13735+100000+100000+58023+8900+36000+46000+60150+92000+100720+114820+10240+20500+23570+26700+27200+106625+172000+5684+17189.44+10856+10600+48660+84000+77500+12000+60000+68997.08+51975+1896.16+37039.6+6441+11319</f>
        <v>1695302.78</v>
      </c>
      <c r="J98" s="37">
        <f t="shared" si="8"/>
        <v>1710155.9000000001</v>
      </c>
      <c r="K98" s="15">
        <f t="shared" si="9"/>
        <v>29.180000000167638</v>
      </c>
    </row>
    <row r="99" spans="1:12" x14ac:dyDescent="0.25">
      <c r="A99" s="9">
        <v>41921</v>
      </c>
      <c r="B99" s="10">
        <f>454666.1+103234.1+127927.44</f>
        <v>685827.6399999999</v>
      </c>
      <c r="C99" s="10">
        <f>27947.5+38173</f>
        <v>66120.5</v>
      </c>
      <c r="D99" s="11">
        <f t="shared" si="10"/>
        <v>619707.1399999999</v>
      </c>
      <c r="E99" s="12" t="s">
        <v>9</v>
      </c>
      <c r="G99" s="15">
        <f>7794.6</f>
        <v>7794.6</v>
      </c>
      <c r="H99" s="15">
        <f>16710+3407</f>
        <v>20117</v>
      </c>
      <c r="I99" s="15">
        <f>21788.8+17593+99033+75770+29000+13074+28750+25000+50000+50000+14093.5+42100+24000+54000+9123.6+14452.6+19502.5+4514.5</f>
        <v>591795.5</v>
      </c>
      <c r="J99" s="37">
        <f t="shared" si="8"/>
        <v>619707.1</v>
      </c>
      <c r="K99" s="15">
        <f t="shared" si="9"/>
        <v>-3.9999999920837581E-2</v>
      </c>
    </row>
    <row r="100" spans="1:12" x14ac:dyDescent="0.25">
      <c r="A100" s="9">
        <v>41922</v>
      </c>
      <c r="B100" s="10">
        <f>63765.2+375396.6+60869.22</f>
        <v>500031.02</v>
      </c>
      <c r="C100" s="10">
        <f>1725+73761.1</f>
        <v>75486.100000000006</v>
      </c>
      <c r="D100" s="11">
        <f t="shared" si="10"/>
        <v>424544.92000000004</v>
      </c>
      <c r="E100" s="12" t="s">
        <v>9</v>
      </c>
      <c r="G100" s="15">
        <f>1396.3</f>
        <v>1396.3</v>
      </c>
      <c r="H100" s="15">
        <f>17940</f>
        <v>17940</v>
      </c>
      <c r="I100" s="15">
        <f>40000+4100+70000+26000+97000+26616+24954.5+98974+17564</f>
        <v>405208.5</v>
      </c>
      <c r="J100" s="37">
        <f t="shared" si="8"/>
        <v>424544.8</v>
      </c>
      <c r="K100" s="15">
        <f t="shared" si="9"/>
        <v>-0.12000000005355105</v>
      </c>
    </row>
    <row r="101" spans="1:12" x14ac:dyDescent="0.25">
      <c r="A101" s="9">
        <v>41923</v>
      </c>
      <c r="B101" s="10">
        <f>173510.2+244649.45+618764.26</f>
        <v>1036923.91</v>
      </c>
      <c r="C101" s="10">
        <f>86789.34</f>
        <v>86789.34</v>
      </c>
      <c r="D101" s="11">
        <f t="shared" si="10"/>
        <v>950134.57000000007</v>
      </c>
      <c r="E101" s="12" t="s">
        <v>9</v>
      </c>
      <c r="G101" s="15">
        <f>0</f>
        <v>0</v>
      </c>
      <c r="H101" s="15">
        <f>59137.4+25410.4+22421.2+25440+28845.2+107727.99</f>
        <v>268982.19</v>
      </c>
      <c r="I101" s="15">
        <f>9256+3000+40000+100000+81800+70000+47810+45000+40000+60000+70000+17000+10426.8+2557+5526+46365.5+32311.5+100</f>
        <v>681152.8</v>
      </c>
      <c r="J101" s="37">
        <f t="shared" si="8"/>
        <v>950134.99</v>
      </c>
      <c r="K101" s="15">
        <f t="shared" si="9"/>
        <v>0.41999999992549419</v>
      </c>
    </row>
    <row r="102" spans="1:12" x14ac:dyDescent="0.25">
      <c r="A102" s="9">
        <v>41924</v>
      </c>
      <c r="B102" s="10">
        <f>48277.9+173797.09+51402.6</f>
        <v>273477.58999999997</v>
      </c>
      <c r="C102" s="10">
        <f>784</f>
        <v>784</v>
      </c>
      <c r="D102" s="11">
        <f t="shared" si="10"/>
        <v>272693.58999999997</v>
      </c>
      <c r="E102" s="12" t="s">
        <v>9</v>
      </c>
      <c r="G102" s="15">
        <v>2433.5</v>
      </c>
      <c r="H102" s="15">
        <f>6019+41435.3+6363.6</f>
        <v>53817.9</v>
      </c>
      <c r="I102" s="15">
        <f>823.5+100000+110000+5618.5</f>
        <v>216442</v>
      </c>
      <c r="J102" s="37">
        <f t="shared" si="8"/>
        <v>272693.40000000002</v>
      </c>
      <c r="K102" s="15">
        <f t="shared" si="9"/>
        <v>-0.18999999994412065</v>
      </c>
    </row>
    <row r="103" spans="1:12" x14ac:dyDescent="0.25">
      <c r="A103" s="9">
        <v>41925</v>
      </c>
      <c r="B103" s="10">
        <f>26760.2+265305+1253223.58</f>
        <v>1545288.78</v>
      </c>
      <c r="C103" s="10">
        <v>11516.82</v>
      </c>
      <c r="D103" s="11">
        <f t="shared" si="10"/>
        <v>1533771.96</v>
      </c>
      <c r="E103" s="12" t="s">
        <v>9</v>
      </c>
      <c r="G103" s="15">
        <v>15938</v>
      </c>
      <c r="H103" s="15">
        <f>82872.1+59502.6+20671.2+7350+3085</f>
        <v>173480.90000000002</v>
      </c>
      <c r="I103" s="15">
        <f>2000+4850+5000+12000+71930+20000+15000+41800+100000+50000+50000+42000+60000+32500+77400+42350+170000+440+20710.42+125369.5+51397+44000+73000+40900+120000+18015.5+12242.4+14831+23707.4+2910.5</f>
        <v>1344353.7199999997</v>
      </c>
      <c r="J103" s="37">
        <f t="shared" si="8"/>
        <v>1533772.6199999996</v>
      </c>
      <c r="K103" s="15">
        <f t="shared" si="9"/>
        <v>0.65999999968335032</v>
      </c>
    </row>
    <row r="104" spans="1:12" x14ac:dyDescent="0.25">
      <c r="A104" s="9">
        <v>41926</v>
      </c>
      <c r="B104" s="10">
        <f>41935.8+260963.65+178326.37</f>
        <v>481225.82</v>
      </c>
      <c r="C104" s="10">
        <f>21422.98+19473+12031.5</f>
        <v>52927.479999999996</v>
      </c>
      <c r="D104" s="11">
        <f t="shared" si="10"/>
        <v>428298.34</v>
      </c>
      <c r="E104" s="12" t="s">
        <v>9</v>
      </c>
      <c r="G104" s="15">
        <v>9615</v>
      </c>
      <c r="H104" s="15">
        <f>4937.4+23459.54</f>
        <v>28396.940000000002</v>
      </c>
      <c r="I104" s="15">
        <f>41760+90000+30000+42100+54500+51190+2573.5+31048.5+5178.5+1000+12892.6+18375+9669</f>
        <v>390287.1</v>
      </c>
      <c r="J104" s="37">
        <f t="shared" si="8"/>
        <v>428299.04</v>
      </c>
      <c r="K104" s="15">
        <f t="shared" si="9"/>
        <v>0.69999999995343387</v>
      </c>
    </row>
    <row r="105" spans="1:12" x14ac:dyDescent="0.25">
      <c r="A105" s="9">
        <v>41927</v>
      </c>
      <c r="B105" s="10">
        <f>380203.55+667520.96</f>
        <v>1047724.51</v>
      </c>
      <c r="C105" s="10">
        <f>21753.44+780+3997.16</f>
        <v>26530.6</v>
      </c>
      <c r="D105" s="11">
        <f t="shared" si="10"/>
        <v>1021193.91</v>
      </c>
      <c r="E105" s="12" t="s">
        <v>9</v>
      </c>
      <c r="G105" s="15">
        <v>11748.8</v>
      </c>
      <c r="H105" s="15">
        <f>6519.52+217633.79</f>
        <v>224153.31</v>
      </c>
      <c r="I105" s="15">
        <f>50000+106000+60000+64500+50000+50000+20000+52420+58250+39330+6841+6525+55451+89471+17468+48902+10133.84</f>
        <v>785291.84</v>
      </c>
      <c r="J105" s="37">
        <f t="shared" si="8"/>
        <v>1021193.95</v>
      </c>
      <c r="K105" s="15">
        <f t="shared" si="9"/>
        <v>3.9999999920837581E-2</v>
      </c>
    </row>
    <row r="106" spans="1:12" x14ac:dyDescent="0.25">
      <c r="A106" s="9">
        <v>41928</v>
      </c>
      <c r="B106" s="10">
        <f>462821.32+951364.5</f>
        <v>1414185.82</v>
      </c>
      <c r="C106" s="10">
        <f>83944.9+5810+661</f>
        <v>90415.9</v>
      </c>
      <c r="D106" s="11">
        <f t="shared" si="10"/>
        <v>1323769.9200000002</v>
      </c>
      <c r="E106" s="12" t="s">
        <v>9</v>
      </c>
      <c r="G106" s="15">
        <v>116399.76</v>
      </c>
      <c r="H106" s="15">
        <f>17254.4+3595.6</f>
        <v>20850</v>
      </c>
      <c r="I106" s="15">
        <f>32400+50000+50000+30000+30000+38500+40000+5909.6+15849.8+74431.7+31000+66000+17895+13893+17000+124000+68763+64000+154000+161000+28970+19410.5+15998+37500</f>
        <v>1186520.6000000001</v>
      </c>
      <c r="J106" s="37">
        <f t="shared" si="8"/>
        <v>1323770.3600000001</v>
      </c>
      <c r="K106" s="15">
        <f t="shared" si="9"/>
        <v>0.43999999994412065</v>
      </c>
    </row>
    <row r="107" spans="1:12" x14ac:dyDescent="0.25">
      <c r="A107" s="9">
        <v>41929</v>
      </c>
      <c r="B107" s="10">
        <f>278031.8+179871.09</f>
        <v>457902.89</v>
      </c>
      <c r="C107" s="10">
        <f>37431.5+9690</f>
        <v>47121.5</v>
      </c>
      <c r="D107" s="11">
        <f t="shared" si="10"/>
        <v>410781.39</v>
      </c>
      <c r="E107" s="12" t="s">
        <v>9</v>
      </c>
      <c r="G107" s="15">
        <v>1115.5</v>
      </c>
      <c r="H107" s="15">
        <v>7760</v>
      </c>
      <c r="I107" s="15">
        <f>60000+60000+75000+50000+60000+35000+27598+4484+4764.82+20186.6+4872.5</f>
        <v>401905.91999999998</v>
      </c>
      <c r="J107" s="37">
        <f t="shared" si="8"/>
        <v>410781.42</v>
      </c>
      <c r="K107" s="15">
        <f t="shared" si="9"/>
        <v>2.9999999969732016E-2</v>
      </c>
    </row>
    <row r="108" spans="1:12" x14ac:dyDescent="0.25">
      <c r="A108" s="9">
        <v>41930</v>
      </c>
      <c r="B108" s="10">
        <f>389499.7+1577359.59</f>
        <v>1966859.29</v>
      </c>
      <c r="C108" s="10">
        <v>17146</v>
      </c>
      <c r="D108" s="11">
        <f t="shared" si="10"/>
        <v>1949713.29</v>
      </c>
      <c r="E108" s="12" t="s">
        <v>9</v>
      </c>
      <c r="G108" s="15">
        <v>95627.199999999997</v>
      </c>
      <c r="H108" s="15">
        <f>126053.62+38976+84719.6+11460.8+13509.6+33701.14+126538.42</f>
        <v>434959.18</v>
      </c>
      <c r="I108" s="15">
        <f>105000+82000+11230+20000+40000+74900+50000+49300+49200+40000+34700+1548.8+4692+9319.8+10751+13860+14297+17901+20265+31255.5+42786.4+44177+20221+40990+86500+16400+21100+35000+56805+58000+70000+112000+28166+100000+6761.82</f>
        <v>1419127.32</v>
      </c>
      <c r="J108" s="37">
        <f t="shared" si="8"/>
        <v>1949713.7</v>
      </c>
      <c r="K108" s="15">
        <f t="shared" si="9"/>
        <v>0.40999999991618097</v>
      </c>
    </row>
    <row r="109" spans="1:12" x14ac:dyDescent="0.25">
      <c r="A109" s="9">
        <v>41931</v>
      </c>
      <c r="B109" s="10">
        <f>192099.02+110921.07+727667.8</f>
        <v>1030687.89</v>
      </c>
      <c r="C109" s="10">
        <f>3289.23+10213.4+28021</f>
        <v>41523.629999999997</v>
      </c>
      <c r="D109" s="11">
        <f t="shared" si="10"/>
        <v>989164.26</v>
      </c>
      <c r="E109" s="12" t="s">
        <v>9</v>
      </c>
      <c r="G109" s="15">
        <v>1384</v>
      </c>
      <c r="H109" s="15">
        <v>0</v>
      </c>
      <c r="I109" s="15">
        <f>127000+22200+38500+2971.6+32292.8+28688.8+19566+64700+106470+204000+152000+90000+30000+31000+1518+357+5967.8+13634.47+16914.5</f>
        <v>987780.97</v>
      </c>
      <c r="J109" s="37">
        <f t="shared" si="8"/>
        <v>989164.97</v>
      </c>
      <c r="K109" s="15">
        <f t="shared" si="9"/>
        <v>0.7099999999627471</v>
      </c>
    </row>
    <row r="110" spans="1:12" x14ac:dyDescent="0.25">
      <c r="A110" s="9">
        <v>41932</v>
      </c>
      <c r="B110" s="10">
        <f>196998.98+290242.06+148853.7</f>
        <v>636094.74</v>
      </c>
      <c r="C110" s="10">
        <v>11509.66</v>
      </c>
      <c r="D110" s="11">
        <f t="shared" si="10"/>
        <v>624585.07999999996</v>
      </c>
      <c r="E110" s="12" t="s">
        <v>9</v>
      </c>
      <c r="G110" s="15">
        <v>1976.6</v>
      </c>
      <c r="H110" s="15">
        <f>37204.5+31728.2</f>
        <v>68932.7</v>
      </c>
      <c r="I110" s="15">
        <f>115000+69600+30500+105050+19566+6279+923.4+6133.2+13908+9668.5+59100+6298.5+11984+30666+13030.2+55469+500</f>
        <v>553675.80000000005</v>
      </c>
      <c r="J110" s="37">
        <f t="shared" si="8"/>
        <v>624585.1</v>
      </c>
      <c r="K110" s="15">
        <f t="shared" si="9"/>
        <v>2.0000000018626451E-2</v>
      </c>
    </row>
    <row r="111" spans="1:12" x14ac:dyDescent="0.25">
      <c r="A111" s="9">
        <v>41933</v>
      </c>
      <c r="B111" s="10">
        <f>6426+158036.4+316964</f>
        <v>481426.4</v>
      </c>
      <c r="C111" s="10">
        <v>7287.44</v>
      </c>
      <c r="D111" s="11">
        <f t="shared" si="10"/>
        <v>474138.96</v>
      </c>
      <c r="E111" s="12" t="s">
        <v>9</v>
      </c>
      <c r="G111" s="15">
        <v>1712.2</v>
      </c>
      <c r="H111" s="15">
        <f>2125+17463.6</f>
        <v>19588.599999999999</v>
      </c>
      <c r="I111" s="15">
        <f>6426+41900+100000+24000+15000+45000+56480+1716+6404+15013+34110+35377+57279.6+14137.5</f>
        <v>452843.1</v>
      </c>
      <c r="J111" s="37">
        <f t="shared" si="8"/>
        <v>474143.89999999997</v>
      </c>
      <c r="K111" s="15">
        <f t="shared" si="9"/>
        <v>4.9399999999441206</v>
      </c>
      <c r="L111" s="34" t="s">
        <v>26</v>
      </c>
    </row>
    <row r="112" spans="1:12" x14ac:dyDescent="0.25">
      <c r="A112" s="9">
        <v>41934</v>
      </c>
      <c r="B112" s="10">
        <f>294664.28+1389896.57</f>
        <v>1684560.85</v>
      </c>
      <c r="C112" s="10">
        <f>18405.56+144893.5</f>
        <v>163299.06</v>
      </c>
      <c r="D112" s="11">
        <f t="shared" si="10"/>
        <v>1521261.79</v>
      </c>
      <c r="E112" s="12" t="s">
        <v>9</v>
      </c>
      <c r="G112" s="15">
        <v>31787.5</v>
      </c>
      <c r="H112" s="15">
        <f>10001+4650+5256.4+5300.2+10080.04+176771.8</f>
        <v>212059.44</v>
      </c>
      <c r="I112" s="15">
        <f>110000+50000+61900+81310+7000+17430.5+1141.8+3617.75+10475+14861+25116+29246+46967.8+108149+28000+170000+46600+92768+11250+108500+12361+38000+10200+61154+23000+104676+3691.2</f>
        <v>1277415.05</v>
      </c>
      <c r="J112" s="37">
        <f t="shared" si="8"/>
        <v>1521261.99</v>
      </c>
      <c r="K112" s="15">
        <f t="shared" si="9"/>
        <v>0.19999999995343387</v>
      </c>
    </row>
    <row r="113" spans="1:18" x14ac:dyDescent="0.25">
      <c r="A113" s="9">
        <v>41935</v>
      </c>
      <c r="B113" s="10">
        <f>347793.27+193338.39</f>
        <v>541131.66</v>
      </c>
      <c r="C113" s="10">
        <f>44897.99+14903+9480+3520+8669.7</f>
        <v>81470.689999999988</v>
      </c>
      <c r="D113" s="11">
        <f t="shared" si="10"/>
        <v>459660.97000000003</v>
      </c>
      <c r="E113" s="12" t="s">
        <v>9</v>
      </c>
      <c r="G113" s="15">
        <v>6865.8</v>
      </c>
      <c r="H113" s="15">
        <v>4752.8</v>
      </c>
      <c r="I113" s="15">
        <f>9600+14518+47400+88300+60000+40000+100000+44000+30528+10554.5+3141.5</f>
        <v>448042</v>
      </c>
      <c r="J113" s="37">
        <f t="shared" si="8"/>
        <v>459660.6</v>
      </c>
      <c r="K113" s="15">
        <f t="shared" si="9"/>
        <v>-0.37000000005355105</v>
      </c>
    </row>
    <row r="114" spans="1:18" x14ac:dyDescent="0.25">
      <c r="A114" s="9">
        <v>41936</v>
      </c>
      <c r="B114" s="10">
        <f>441280.46+291845.52+563555.76</f>
        <v>1296681.74</v>
      </c>
      <c r="C114" s="10">
        <f>413476.4+3700+877+2320</f>
        <v>420373.4</v>
      </c>
      <c r="D114" s="11">
        <f t="shared" si="10"/>
        <v>876308.34</v>
      </c>
      <c r="E114" s="12" t="s">
        <v>9</v>
      </c>
      <c r="G114" s="15">
        <v>50941.7</v>
      </c>
      <c r="H114" s="15">
        <f>19469.9+7640</f>
        <v>27109.9</v>
      </c>
      <c r="I114" s="15">
        <f>21804.5+4500+1500+59900+15400+41500+14168.5+117000+68400+5240.8+49867+102275.6+1672.29+30000+100000+100000+33582.56+31446.5</f>
        <v>798257.75</v>
      </c>
      <c r="J114" s="37">
        <f t="shared" si="8"/>
        <v>876309.35</v>
      </c>
      <c r="K114" s="15">
        <f t="shared" si="9"/>
        <v>1.0100000000093132</v>
      </c>
    </row>
    <row r="115" spans="1:18" x14ac:dyDescent="0.25">
      <c r="A115" s="9">
        <v>41937</v>
      </c>
      <c r="B115" s="10">
        <f>399923.74+584258.88</f>
        <v>984182.62</v>
      </c>
      <c r="C115" s="10">
        <f>28114+54206</f>
        <v>82320</v>
      </c>
      <c r="D115" s="11">
        <f t="shared" si="10"/>
        <v>901862.62</v>
      </c>
      <c r="E115" s="12" t="s">
        <v>9</v>
      </c>
      <c r="G115" s="15">
        <v>1346.36</v>
      </c>
      <c r="H115" s="15">
        <f>19176+39704.1+129287.7+3836.36+94017.92</f>
        <v>286022.07999999996</v>
      </c>
      <c r="I115" s="15">
        <f>52600+18350+77700+62450+57600+70000+100000+59600+11468.5+14803+54465+26277.8+9179.5</f>
        <v>614493.80000000005</v>
      </c>
      <c r="J115" s="37">
        <f t="shared" si="8"/>
        <v>901862.24</v>
      </c>
      <c r="K115" s="15">
        <f t="shared" si="9"/>
        <v>-0.38000000000465661</v>
      </c>
    </row>
    <row r="116" spans="1:18" x14ac:dyDescent="0.25">
      <c r="A116" s="9">
        <v>41938</v>
      </c>
      <c r="B116" s="10">
        <f>224891.92+42193.6</f>
        <v>267085.52</v>
      </c>
      <c r="C116" s="10">
        <f>4704+27152.5</f>
        <v>31856.5</v>
      </c>
      <c r="D116" s="11">
        <f t="shared" si="10"/>
        <v>235229.02000000002</v>
      </c>
      <c r="E116" s="12" t="s">
        <v>9</v>
      </c>
      <c r="G116" s="15">
        <v>4268.7</v>
      </c>
      <c r="H116" s="15">
        <v>57239.8</v>
      </c>
      <c r="I116" s="15">
        <f>75000+44200+12800+37200+4520</f>
        <v>173720</v>
      </c>
      <c r="J116" s="37">
        <f t="shared" si="8"/>
        <v>235228.5</v>
      </c>
      <c r="K116" s="15">
        <f t="shared" si="9"/>
        <v>-0.52000000001862645</v>
      </c>
    </row>
    <row r="117" spans="1:18" x14ac:dyDescent="0.25">
      <c r="A117" s="9">
        <v>41939</v>
      </c>
      <c r="B117" s="10">
        <f>326087.86+326446.85</f>
        <v>652534.71</v>
      </c>
      <c r="C117" s="10">
        <f>31659.36+106794.32</f>
        <v>138453.68</v>
      </c>
      <c r="D117" s="11">
        <f t="shared" si="10"/>
        <v>514081.02999999997</v>
      </c>
      <c r="E117" s="12" t="s">
        <v>9</v>
      </c>
      <c r="G117" s="15">
        <v>1868.8</v>
      </c>
      <c r="H117" s="15">
        <f>3379.2+14850.4+970.6+16912</f>
        <v>36112.199999999997</v>
      </c>
      <c r="I117" s="15">
        <f>32500+80000+30000+11251+61739.9+69900+18344.5+46700+46200+46300+32500+664</f>
        <v>476099.4</v>
      </c>
      <c r="J117" s="37">
        <f t="shared" si="8"/>
        <v>514080.4</v>
      </c>
      <c r="K117" s="15">
        <f t="shared" si="9"/>
        <v>-0.62999999994644895</v>
      </c>
    </row>
    <row r="118" spans="1:18" x14ac:dyDescent="0.25">
      <c r="A118" s="9">
        <v>41940</v>
      </c>
      <c r="B118" s="10">
        <f>298840.46+296534.08</f>
        <v>595374.54</v>
      </c>
      <c r="C118" s="10">
        <f>5385.2+31599.5</f>
        <v>36984.699999999997</v>
      </c>
      <c r="D118" s="11">
        <f t="shared" si="10"/>
        <v>558389.84000000008</v>
      </c>
      <c r="E118" s="12" t="s">
        <v>9</v>
      </c>
      <c r="G118" s="15">
        <v>12919.3</v>
      </c>
      <c r="H118" s="15">
        <v>2988</v>
      </c>
      <c r="I118" s="15">
        <f>99200+68100+61133+15352.5+28667+44036+45753+5817.24+6989.72+8811.44+25000+58800+14670+51100+9052.5</f>
        <v>542482.39999999991</v>
      </c>
      <c r="J118" s="37">
        <f t="shared" si="8"/>
        <v>558389.69999999995</v>
      </c>
      <c r="K118" s="15">
        <f t="shared" si="9"/>
        <v>-0.14000000013038516</v>
      </c>
    </row>
    <row r="119" spans="1:18" x14ac:dyDescent="0.25">
      <c r="A119" s="9">
        <v>41941</v>
      </c>
      <c r="B119" s="10">
        <f>302898.78+499675.78+9591.8</f>
        <v>812166.3600000001</v>
      </c>
      <c r="C119" s="10">
        <v>16917.98</v>
      </c>
      <c r="D119" s="11">
        <f t="shared" si="10"/>
        <v>795248.38000000012</v>
      </c>
      <c r="E119" s="12" t="s">
        <v>9</v>
      </c>
      <c r="G119" s="15">
        <v>560</v>
      </c>
      <c r="H119" s="15">
        <f>3055+11592.6+26537.94+178289.56</f>
        <v>219475.1</v>
      </c>
      <c r="I119" s="15">
        <f>75000+90500+90000+60000+42150+43550+58800+85298+12201.2+8122.5+9592</f>
        <v>575213.69999999995</v>
      </c>
      <c r="J119" s="37">
        <f t="shared" si="8"/>
        <v>795248.79999999993</v>
      </c>
      <c r="K119" s="15">
        <f t="shared" si="9"/>
        <v>0.41999999980907887</v>
      </c>
    </row>
    <row r="120" spans="1:18" x14ac:dyDescent="0.25">
      <c r="A120" s="9">
        <v>41942</v>
      </c>
      <c r="B120" s="10">
        <f>280301.55+3584376.07</f>
        <v>3864677.6199999996</v>
      </c>
      <c r="C120" s="10">
        <f>25653.41+19481.5+300+850</f>
        <v>46284.91</v>
      </c>
      <c r="D120" s="11">
        <f t="shared" si="10"/>
        <v>3818392.7099999995</v>
      </c>
      <c r="E120" s="12" t="s">
        <v>9</v>
      </c>
      <c r="G120" s="15">
        <v>72681.100000000006</v>
      </c>
      <c r="H120" s="15">
        <v>18278</v>
      </c>
      <c r="I120" s="15">
        <f>26300+40000+50000+50000+100000+44052.4+150000+1699+8883.5+32508+33355.5+48603+90933+25004+56200.04+72598.62+79898.4+600000+150000+430000+500000+58000+114500+45000+100844+38000+7060+24000+109811+59629+5939+90000+12000+12500+32550+101000+38405+103500+165500+19177.6</f>
        <v>3727451.06</v>
      </c>
      <c r="J120" s="37">
        <f t="shared" si="8"/>
        <v>3818410.16</v>
      </c>
      <c r="K120" s="15">
        <f t="shared" si="9"/>
        <v>17.450000000651926</v>
      </c>
      <c r="R120" s="4" t="s">
        <v>22</v>
      </c>
    </row>
    <row r="121" spans="1:18" x14ac:dyDescent="0.25">
      <c r="A121" s="9">
        <v>41943</v>
      </c>
      <c r="B121" s="10">
        <f>231909.48+256477.74</f>
        <v>488387.22</v>
      </c>
      <c r="C121" s="10">
        <v>20384.8</v>
      </c>
      <c r="D121" s="11">
        <f t="shared" si="10"/>
        <v>468002.42</v>
      </c>
      <c r="E121" s="12" t="s">
        <v>9</v>
      </c>
      <c r="G121" s="15">
        <v>1224.6500000000001</v>
      </c>
      <c r="H121" s="15">
        <v>22566</v>
      </c>
      <c r="I121" s="15">
        <f>4496+8542.8+6134.8+73830.48+30000+50000+65000+100000+77100+22000+7107.5</f>
        <v>444211.57999999996</v>
      </c>
      <c r="J121" s="37">
        <f t="shared" si="8"/>
        <v>468002.23</v>
      </c>
      <c r="K121" s="15">
        <f>I121+H121+G121-D121</f>
        <v>-0.19000000000232831</v>
      </c>
      <c r="L121" s="34" t="s">
        <v>27</v>
      </c>
    </row>
    <row r="122" spans="1:18" x14ac:dyDescent="0.25">
      <c r="A122" s="9"/>
      <c r="B122" s="10"/>
      <c r="C122" s="10"/>
      <c r="D122" s="11">
        <f t="shared" si="10"/>
        <v>0</v>
      </c>
      <c r="G122" s="15"/>
      <c r="I122" s="15"/>
      <c r="J122" s="4"/>
      <c r="K122" s="15">
        <f t="shared" ref="K122:K126" si="11">I122+H122-D122</f>
        <v>0</v>
      </c>
    </row>
    <row r="123" spans="1:18" x14ac:dyDescent="0.25">
      <c r="A123" s="14"/>
      <c r="B123" s="10"/>
      <c r="C123" s="10"/>
      <c r="D123" s="11">
        <f t="shared" si="10"/>
        <v>0</v>
      </c>
      <c r="G123" s="15"/>
      <c r="I123" s="15"/>
      <c r="J123" s="4"/>
      <c r="K123" s="15">
        <f t="shared" si="11"/>
        <v>0</v>
      </c>
    </row>
    <row r="124" spans="1:18" x14ac:dyDescent="0.25">
      <c r="A124" s="14"/>
      <c r="B124" s="13"/>
      <c r="C124" s="10"/>
      <c r="D124" s="11">
        <f t="shared" si="10"/>
        <v>0</v>
      </c>
      <c r="G124" s="15"/>
      <c r="I124" s="15"/>
      <c r="J124" s="4"/>
      <c r="K124" s="15">
        <f t="shared" si="11"/>
        <v>0</v>
      </c>
    </row>
    <row r="125" spans="1:18" x14ac:dyDescent="0.25">
      <c r="A125" s="14"/>
      <c r="B125" s="10"/>
      <c r="C125" s="10"/>
      <c r="D125" s="11">
        <f t="shared" si="10"/>
        <v>0</v>
      </c>
      <c r="G125" s="15"/>
      <c r="I125" s="15"/>
      <c r="J125" s="4"/>
      <c r="K125" s="15">
        <f t="shared" si="11"/>
        <v>0</v>
      </c>
    </row>
    <row r="126" spans="1:18" x14ac:dyDescent="0.25">
      <c r="A126" s="14"/>
      <c r="B126" s="10">
        <f>SUM(B91:B125)</f>
        <v>31538560.389999997</v>
      </c>
      <c r="C126" s="10">
        <f>SUM(C91:C125)</f>
        <v>2427603.69</v>
      </c>
      <c r="D126" s="11">
        <f t="shared" si="10"/>
        <v>29110956.699999996</v>
      </c>
      <c r="G126" s="15"/>
      <c r="I126" s="15"/>
      <c r="J126" s="4"/>
      <c r="K126" s="15">
        <f t="shared" si="11"/>
        <v>-29110956.699999996</v>
      </c>
    </row>
    <row r="127" spans="1:18" x14ac:dyDescent="0.25">
      <c r="A127" s="14"/>
      <c r="B127" s="13"/>
      <c r="C127" s="10"/>
      <c r="D127" s="11">
        <f t="shared" si="10"/>
        <v>0</v>
      </c>
      <c r="G127" s="4"/>
      <c r="H127" s="4"/>
      <c r="I127" s="4"/>
      <c r="J127" s="4"/>
    </row>
    <row r="128" spans="1:18" x14ac:dyDescent="0.25">
      <c r="A128" s="14"/>
      <c r="B128" s="16"/>
      <c r="C128" s="10"/>
      <c r="D128" s="11">
        <f t="shared" si="10"/>
        <v>0</v>
      </c>
      <c r="G128" s="4"/>
      <c r="H128" s="4"/>
      <c r="I128" s="4"/>
      <c r="J128" s="4"/>
    </row>
    <row r="129" spans="1:25" ht="15" x14ac:dyDescent="0.25">
      <c r="A129" s="4"/>
      <c r="B129" s="4"/>
      <c r="C129" s="4"/>
      <c r="D129" s="4"/>
      <c r="G129" s="4"/>
      <c r="I129" s="4"/>
      <c r="J129" s="4"/>
    </row>
    <row r="130" spans="1:25" ht="15" x14ac:dyDescent="0.25">
      <c r="A130" s="4"/>
      <c r="B130" s="4"/>
      <c r="C130" s="4"/>
      <c r="D130" s="4"/>
      <c r="G130" s="4"/>
      <c r="I130" s="4"/>
      <c r="J130" s="4"/>
    </row>
    <row r="131" spans="1:25" ht="15" x14ac:dyDescent="0.25">
      <c r="A131" s="4"/>
      <c r="B131" s="4"/>
      <c r="C131" s="4"/>
      <c r="D131" s="4"/>
      <c r="G131" s="4"/>
      <c r="I131" s="4"/>
      <c r="J131" s="4"/>
    </row>
    <row r="132" spans="1:25" ht="18.75" x14ac:dyDescent="0.3">
      <c r="B132" s="57" t="s">
        <v>42</v>
      </c>
      <c r="C132" s="57"/>
      <c r="D132" s="2"/>
      <c r="E132" s="3"/>
      <c r="F132" s="3"/>
      <c r="G132" s="4"/>
      <c r="I132" s="4"/>
      <c r="J132" s="4"/>
    </row>
    <row r="133" spans="1:25" x14ac:dyDescent="0.25">
      <c r="A133" s="5"/>
      <c r="B133" s="6"/>
      <c r="C133" s="23" t="s">
        <v>6</v>
      </c>
      <c r="D133" s="7"/>
      <c r="E133" s="3"/>
      <c r="F133" s="3"/>
      <c r="G133" s="4"/>
      <c r="I133" s="4"/>
      <c r="J133" s="4"/>
    </row>
    <row r="134" spans="1:25" ht="16.5" thickBot="1" x14ac:dyDescent="0.3">
      <c r="A134" s="19" t="s">
        <v>0</v>
      </c>
      <c r="B134" s="20" t="s">
        <v>1</v>
      </c>
      <c r="C134" s="21" t="s">
        <v>2</v>
      </c>
      <c r="D134" s="22" t="s">
        <v>4</v>
      </c>
      <c r="E134" s="3"/>
      <c r="F134" s="3"/>
      <c r="G134" s="38" t="s">
        <v>19</v>
      </c>
      <c r="H134" s="32" t="s">
        <v>10</v>
      </c>
      <c r="I134" s="27" t="s">
        <v>8</v>
      </c>
      <c r="J134" s="4"/>
      <c r="K134" s="33" t="s">
        <v>11</v>
      </c>
      <c r="L134" s="34" t="s">
        <v>13</v>
      </c>
    </row>
    <row r="135" spans="1:25" ht="16.5" thickTop="1" x14ac:dyDescent="0.25">
      <c r="A135" s="9">
        <v>41944</v>
      </c>
      <c r="B135" s="10">
        <f>516865.42+3142118.03+735690.48</f>
        <v>4394673.93</v>
      </c>
      <c r="C135" s="10">
        <f>46902.14+14432.7</f>
        <v>61334.84</v>
      </c>
      <c r="D135" s="11">
        <f>B135-C135</f>
        <v>4333339.09</v>
      </c>
      <c r="E135" s="12" t="s">
        <v>9</v>
      </c>
      <c r="G135" s="15">
        <v>888735.12</v>
      </c>
      <c r="H135" s="15">
        <f>110058.8+8335+9611.2+9537.7+111433.8+132098.8+33835.96+88457.9+149227.48</f>
        <v>652596.64</v>
      </c>
      <c r="I135" s="15">
        <f>118354.7+120000+81065+9437+65818+109500+1317+131000+58050+23000+106550+108500+5250+26000+59000+168000+16552+28560+44880.8+80536.2+17868+46032+51808.16+2686.1+100000+100000+64197.6+2500+19192.15+23998.5+690000+75050+81200+30000+18800+80000+23264.5+4042.5</f>
        <v>2792010.21</v>
      </c>
      <c r="J135" s="37">
        <f>I135+H135+G135</f>
        <v>4333341.97</v>
      </c>
      <c r="K135" s="15">
        <f>I135+H135+G135-D135</f>
        <v>2.8799999998882413</v>
      </c>
    </row>
    <row r="136" spans="1:25" x14ac:dyDescent="0.25">
      <c r="A136" s="9">
        <v>41945</v>
      </c>
      <c r="B136" s="10">
        <f>91076.72+5040.5</f>
        <v>96117.22</v>
      </c>
      <c r="C136" s="10">
        <f>3097+14454</f>
        <v>17551</v>
      </c>
      <c r="D136" s="11">
        <f t="shared" ref="D136:D172" si="12">B136-C136</f>
        <v>78566.22</v>
      </c>
      <c r="E136" s="12" t="s">
        <v>9</v>
      </c>
      <c r="G136" s="31">
        <v>0</v>
      </c>
      <c r="H136" s="31">
        <v>0</v>
      </c>
      <c r="I136" s="15">
        <f>45000+33566</f>
        <v>78566</v>
      </c>
      <c r="J136" s="37">
        <f t="shared" ref="J136:J164" si="13">I136+H136+G136</f>
        <v>78566</v>
      </c>
      <c r="K136" s="15">
        <f t="shared" ref="K136:K164" si="14">I136+H136+G136-D136</f>
        <v>-0.22000000000116415</v>
      </c>
    </row>
    <row r="137" spans="1:25" x14ac:dyDescent="0.25">
      <c r="A137" s="9">
        <v>41946</v>
      </c>
      <c r="B137" s="10">
        <f>480986.66+293742.7</f>
        <v>774729.36</v>
      </c>
      <c r="C137" s="10">
        <f>12153.82+99924+870</f>
        <v>112947.82</v>
      </c>
      <c r="D137" s="11">
        <f t="shared" si="12"/>
        <v>661781.54</v>
      </c>
      <c r="E137" s="12" t="s">
        <v>9</v>
      </c>
      <c r="G137" s="15">
        <v>28514.6</v>
      </c>
      <c r="H137" s="15">
        <f>5458.2+9262.4+5552+15387.8+6600</f>
        <v>42260.399999999994</v>
      </c>
      <c r="I137" s="15">
        <f>65000+45000+100000+62000+171592.2+22534+75000+1688.4+18556.5+23303+6272.6+60</f>
        <v>591006.69999999995</v>
      </c>
      <c r="J137" s="37">
        <f t="shared" si="13"/>
        <v>661781.69999999995</v>
      </c>
      <c r="K137" s="15">
        <f t="shared" si="14"/>
        <v>0.15999999991618097</v>
      </c>
      <c r="M137" s="4" t="s">
        <v>34</v>
      </c>
    </row>
    <row r="138" spans="1:25" x14ac:dyDescent="0.25">
      <c r="A138" s="9">
        <v>41947</v>
      </c>
      <c r="B138" s="10">
        <f>359005.43+738687.56</f>
        <v>1097692.99</v>
      </c>
      <c r="C138" s="10">
        <f>13810.6+2439</f>
        <v>16249.6</v>
      </c>
      <c r="D138" s="11">
        <f t="shared" si="12"/>
        <v>1081443.3899999999</v>
      </c>
      <c r="E138" s="12" t="s">
        <v>9</v>
      </c>
      <c r="G138" s="15">
        <v>151823.65</v>
      </c>
      <c r="H138" s="15">
        <f>3692+15360.98</f>
        <v>19052.98</v>
      </c>
      <c r="I138" s="15">
        <f>120000+50000+100000+100000+20971.7+150565+23917.6+88328.4+3032.8+38937+54500+20000+33400+100000+6913.5</f>
        <v>910566</v>
      </c>
      <c r="J138" s="37">
        <f t="shared" si="13"/>
        <v>1081442.6299999999</v>
      </c>
      <c r="K138" s="15">
        <f t="shared" si="14"/>
        <v>-0.76000000000931323</v>
      </c>
    </row>
    <row r="139" spans="1:25" x14ac:dyDescent="0.25">
      <c r="A139" s="9">
        <v>41948</v>
      </c>
      <c r="B139" s="10">
        <f>291256.89+583411.73</f>
        <v>874668.62</v>
      </c>
      <c r="C139" s="10">
        <f>26715+21231</f>
        <v>47946</v>
      </c>
      <c r="D139" s="11">
        <f t="shared" si="12"/>
        <v>826722.62</v>
      </c>
      <c r="E139" s="12" t="s">
        <v>9</v>
      </c>
      <c r="G139" s="15">
        <v>8235.2000000000007</v>
      </c>
      <c r="H139" s="15">
        <f>5470.36+7266.8+202395.76+15784.74</f>
        <v>230917.66</v>
      </c>
      <c r="I139" s="15">
        <f>62550+14423+47000+65820+90000+150000+10779.21+11512.8+32501.2+69000+27470.5+6513.2</f>
        <v>587569.90999999992</v>
      </c>
      <c r="J139" s="37">
        <f t="shared" si="13"/>
        <v>826722.7699999999</v>
      </c>
      <c r="K139" s="15">
        <f t="shared" si="14"/>
        <v>0.14999999990686774</v>
      </c>
    </row>
    <row r="140" spans="1:25" x14ac:dyDescent="0.25">
      <c r="A140" s="9">
        <v>41949</v>
      </c>
      <c r="B140" s="10">
        <f>359451.17+571630.79</f>
        <v>931081.96</v>
      </c>
      <c r="C140" s="10">
        <f>7084.19+44663.5+1000+160</f>
        <v>52907.69</v>
      </c>
      <c r="D140" s="11">
        <f t="shared" si="12"/>
        <v>878174.27</v>
      </c>
      <c r="E140" s="12" t="s">
        <v>9</v>
      </c>
      <c r="G140" s="15">
        <v>3320.4</v>
      </c>
      <c r="H140" s="15">
        <f>3620+5255.1+19442.2</f>
        <v>28317.300000000003</v>
      </c>
      <c r="I140" s="15">
        <f>100000+25500+30200+100000+100000+30000+60000+60000+42300+33717.5+68217.6+70229+15534.5+13342+7032+9217.2+33139.1+8527+37032.3+2548</f>
        <v>846536.2</v>
      </c>
      <c r="J140" s="37">
        <f t="shared" si="13"/>
        <v>878173.9</v>
      </c>
      <c r="K140" s="15">
        <f t="shared" si="14"/>
        <v>-0.36999999999534339</v>
      </c>
    </row>
    <row r="141" spans="1:25" x14ac:dyDescent="0.25">
      <c r="A141" s="9">
        <v>41950</v>
      </c>
      <c r="B141" s="10">
        <f>331381.35+252280.24</f>
        <v>583661.59</v>
      </c>
      <c r="C141" s="10">
        <f>3935.68+37174.5+6981.13+110</f>
        <v>48201.31</v>
      </c>
      <c r="D141" s="11">
        <f t="shared" si="12"/>
        <v>535460.28</v>
      </c>
      <c r="E141" s="12" t="s">
        <v>9</v>
      </c>
      <c r="G141" s="15">
        <v>7511</v>
      </c>
      <c r="H141" s="15">
        <v>0</v>
      </c>
      <c r="I141" s="15">
        <f>67000+50000+20000+20800+98000+23984.4+17254.6+14548.5+67289+40000+41000+45000+23072.78</f>
        <v>527949.28</v>
      </c>
      <c r="J141" s="37">
        <f t="shared" si="13"/>
        <v>535460.28</v>
      </c>
      <c r="K141" s="15">
        <f t="shared" si="14"/>
        <v>0</v>
      </c>
      <c r="M141" s="4" t="s">
        <v>24</v>
      </c>
    </row>
    <row r="142" spans="1:25" x14ac:dyDescent="0.25">
      <c r="A142" s="9">
        <v>41951</v>
      </c>
      <c r="B142" s="10">
        <f>302477.85+1108843.91+36454</f>
        <v>1447775.7599999998</v>
      </c>
      <c r="C142" s="10">
        <f>9704.25+174+480</f>
        <v>10358.25</v>
      </c>
      <c r="D142" s="11">
        <f t="shared" si="12"/>
        <v>1437417.5099999998</v>
      </c>
      <c r="E142" s="12" t="s">
        <v>9</v>
      </c>
      <c r="G142" s="15">
        <v>4059.52</v>
      </c>
      <c r="H142" s="15">
        <f>47285.04+131199.2+30597.6+8362.21+9681.2+11860+87857.2+139377.46</f>
        <v>466219.91000000003</v>
      </c>
      <c r="I142" s="15">
        <f>2030+1500+1000+5500+26424+30747.5+6431.5+14928.8+69943.74+10000+40000+50000+20000+50000+21000+100000+10000+20000+50000+100000+10000+50000+48644+100000+50000+50000+25000+9981</f>
        <v>973130.54</v>
      </c>
      <c r="J142" s="37">
        <f t="shared" si="13"/>
        <v>1443409.9700000002</v>
      </c>
      <c r="K142" s="15">
        <f t="shared" si="14"/>
        <v>5992.4600000004284</v>
      </c>
      <c r="M142" s="4" t="s">
        <v>32</v>
      </c>
    </row>
    <row r="143" spans="1:25" x14ac:dyDescent="0.25">
      <c r="A143" s="9">
        <v>41952</v>
      </c>
      <c r="B143" s="10">
        <f>84324.87+31969.08</f>
        <v>116293.95</v>
      </c>
      <c r="C143" s="10">
        <f>17413+23116.5</f>
        <v>40529.5</v>
      </c>
      <c r="D143" s="11">
        <f t="shared" si="12"/>
        <v>75764.45</v>
      </c>
      <c r="E143" s="12" t="s">
        <v>9</v>
      </c>
      <c r="G143" s="15">
        <v>603.4</v>
      </c>
      <c r="H143" s="15">
        <v>0</v>
      </c>
      <c r="I143" s="15">
        <f>50000+25161.5</f>
        <v>75161.5</v>
      </c>
      <c r="J143" s="37">
        <f t="shared" si="13"/>
        <v>75764.899999999994</v>
      </c>
      <c r="K143" s="15">
        <f t="shared" si="14"/>
        <v>0.44999999999708962</v>
      </c>
      <c r="M143" s="4" t="s">
        <v>23</v>
      </c>
    </row>
    <row r="144" spans="1:25" x14ac:dyDescent="0.25">
      <c r="A144" s="9">
        <v>41953</v>
      </c>
      <c r="B144" s="10">
        <f>373132.95+337786.03</f>
        <v>710918.98</v>
      </c>
      <c r="C144" s="10">
        <f>8507+11750</f>
        <v>20257</v>
      </c>
      <c r="D144" s="11">
        <f t="shared" si="12"/>
        <v>690661.98</v>
      </c>
      <c r="E144" s="12" t="s">
        <v>9</v>
      </c>
      <c r="G144" s="15">
        <v>1042.3</v>
      </c>
      <c r="H144" s="15">
        <v>0</v>
      </c>
      <c r="I144" s="15">
        <f>4625.4+50000+40000+40000+90000+100000+130000+101261.5+114217.5+30153.5</f>
        <v>700257.9</v>
      </c>
      <c r="J144" s="37">
        <f t="shared" si="13"/>
        <v>701300.20000000007</v>
      </c>
      <c r="K144" s="15">
        <f t="shared" si="14"/>
        <v>10638.220000000088</v>
      </c>
      <c r="M144" s="36" t="s">
        <v>25</v>
      </c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</row>
    <row r="145" spans="1:14" x14ac:dyDescent="0.25">
      <c r="A145" s="9">
        <v>41954</v>
      </c>
      <c r="B145" s="10">
        <f>203524.7+1213999.6</f>
        <v>1417524.3</v>
      </c>
      <c r="C145" s="10">
        <f>12932+60228.24+960</f>
        <v>74120.239999999991</v>
      </c>
      <c r="D145" s="11">
        <f t="shared" si="12"/>
        <v>1343404.06</v>
      </c>
      <c r="E145" s="12" t="s">
        <v>9</v>
      </c>
      <c r="G145" s="15">
        <v>18214.14</v>
      </c>
      <c r="H145" s="15">
        <v>30066.5</v>
      </c>
      <c r="I145" s="15">
        <f>39046.95+8157.84+9972.26+7370+25000+30800+134018+155000+15500+17000+29591+50000+32375+26303+32591+3842+74007+80000+40000+40000+40000+85000+50000+50000+80000+99500+500+29569.5</f>
        <v>1285143.55</v>
      </c>
      <c r="J145" s="37">
        <f t="shared" si="13"/>
        <v>1333424.19</v>
      </c>
      <c r="K145" s="15">
        <f t="shared" si="14"/>
        <v>-9979.8700000001118</v>
      </c>
      <c r="M145" s="4" t="s">
        <v>31</v>
      </c>
    </row>
    <row r="146" spans="1:14" x14ac:dyDescent="0.25">
      <c r="A146" s="9">
        <v>41955</v>
      </c>
      <c r="B146" s="10">
        <f>168829.43+628183.49</f>
        <v>797012.91999999993</v>
      </c>
      <c r="C146" s="10">
        <f>11890.8+22975.14</f>
        <v>34865.94</v>
      </c>
      <c r="D146" s="11">
        <f t="shared" si="12"/>
        <v>762146.98</v>
      </c>
      <c r="E146" s="12" t="s">
        <v>9</v>
      </c>
      <c r="G146" s="15">
        <v>4902.5</v>
      </c>
      <c r="H146" s="15">
        <f>18693.26+7785+4755</f>
        <v>31233.26</v>
      </c>
      <c r="I146" s="15">
        <f>30000+100000+50000+70000+40000+100000+68000+44173+28956+29150+58281.5+14321+17179+29813.3+7500.8+40473</f>
        <v>727847.60000000009</v>
      </c>
      <c r="J146" s="37">
        <f t="shared" si="13"/>
        <v>763983.3600000001</v>
      </c>
      <c r="K146" s="15">
        <f t="shared" si="14"/>
        <v>1836.3800000001211</v>
      </c>
      <c r="M146" s="36" t="s">
        <v>33</v>
      </c>
      <c r="N146" s="36"/>
    </row>
    <row r="147" spans="1:14" x14ac:dyDescent="0.25">
      <c r="A147" s="9">
        <v>41956</v>
      </c>
      <c r="B147" s="10">
        <f>354830.86+1778330.46</f>
        <v>2133161.3199999998</v>
      </c>
      <c r="C147" s="10">
        <f>8571+4700+2700+350+100+320+96.5</f>
        <v>16837.5</v>
      </c>
      <c r="D147" s="11">
        <f t="shared" si="12"/>
        <v>2116323.8199999998</v>
      </c>
      <c r="E147" s="12" t="s">
        <v>9</v>
      </c>
      <c r="G147" s="15">
        <v>140244.32</v>
      </c>
      <c r="H147" s="15">
        <f>45580.1+9196.8</f>
        <v>54776.899999999994</v>
      </c>
      <c r="I147" s="15">
        <f>100000+100000+50000+50000+80000+30000+66053.5+9000+11176.8+68428.5+8450+32000+103800+126500+136500+52000+10410+41000+111150+151800+136000+46300+3860+14500+20100+105000+12490+5236+36000+32500+135000+34076+133.5</f>
        <v>1919464.3</v>
      </c>
      <c r="J147" s="37">
        <f t="shared" si="13"/>
        <v>2114485.52</v>
      </c>
      <c r="K147" s="15">
        <f t="shared" si="14"/>
        <v>-1838.2999999998137</v>
      </c>
      <c r="M147" s="4" t="s">
        <v>17</v>
      </c>
    </row>
    <row r="148" spans="1:14" x14ac:dyDescent="0.25">
      <c r="A148" s="9">
        <v>41957</v>
      </c>
      <c r="B148" s="10">
        <f>127939.05+579523.73</f>
        <v>707462.78</v>
      </c>
      <c r="C148" s="10">
        <f>15388.59+14170</f>
        <v>29558.59</v>
      </c>
      <c r="D148" s="11">
        <f t="shared" si="12"/>
        <v>677904.19000000006</v>
      </c>
      <c r="E148" s="12" t="s">
        <v>9</v>
      </c>
      <c r="G148" s="15">
        <v>6003.75</v>
      </c>
      <c r="H148" s="15">
        <f>5835+77935.4</f>
        <v>83770.399999999994</v>
      </c>
      <c r="I148" s="15">
        <f>200000+90000+90000+60000+105000+43131.5</f>
        <v>588131.5</v>
      </c>
      <c r="J148" s="37">
        <f t="shared" si="13"/>
        <v>677905.65</v>
      </c>
      <c r="K148" s="15">
        <f t="shared" si="14"/>
        <v>1.4599999999627471</v>
      </c>
    </row>
    <row r="149" spans="1:14" x14ac:dyDescent="0.25">
      <c r="A149" s="9">
        <v>41958</v>
      </c>
      <c r="B149" s="10">
        <f>269370.95+994049.5</f>
        <v>1263420.45</v>
      </c>
      <c r="C149" s="10">
        <f>20343.6</f>
        <v>20343.599999999999</v>
      </c>
      <c r="D149" s="11">
        <f t="shared" si="12"/>
        <v>1243076.8499999999</v>
      </c>
      <c r="E149" s="35"/>
      <c r="G149" s="15">
        <v>288369.09999999998</v>
      </c>
      <c r="H149" s="15">
        <f>19983.6+23662.4+39203.4+77245.2+125490.14</f>
        <v>285584.74</v>
      </c>
      <c r="I149" s="15">
        <f>125000+85000+60000+80000+100000+100000+72435.2+39188</f>
        <v>661623.19999999995</v>
      </c>
      <c r="J149" s="37">
        <f t="shared" si="13"/>
        <v>1235577.04</v>
      </c>
      <c r="K149" s="15">
        <f t="shared" si="14"/>
        <v>-7499.809999999823</v>
      </c>
      <c r="M149" s="39" t="s">
        <v>30</v>
      </c>
    </row>
    <row r="150" spans="1:14" x14ac:dyDescent="0.25">
      <c r="A150" s="9">
        <v>41959</v>
      </c>
      <c r="B150" s="10">
        <f>83487.13+14678.8</f>
        <v>98165.930000000008</v>
      </c>
      <c r="C150" s="10">
        <v>7679</v>
      </c>
      <c r="D150" s="11">
        <f t="shared" si="12"/>
        <v>90486.930000000008</v>
      </c>
      <c r="E150" s="12" t="s">
        <v>9</v>
      </c>
      <c r="G150" s="15">
        <v>0</v>
      </c>
      <c r="H150" s="15">
        <v>0</v>
      </c>
      <c r="I150" s="15">
        <f>45000+45488.5</f>
        <v>90488.5</v>
      </c>
      <c r="J150" s="37">
        <f t="shared" si="13"/>
        <v>90488.5</v>
      </c>
      <c r="K150" s="15">
        <f t="shared" si="14"/>
        <v>1.569999999992433</v>
      </c>
    </row>
    <row r="151" spans="1:14" x14ac:dyDescent="0.25">
      <c r="A151" s="9">
        <v>41960</v>
      </c>
      <c r="B151" s="10">
        <f>391470.87+850192.95</f>
        <v>1241663.8199999998</v>
      </c>
      <c r="C151" s="10">
        <f>28136+126129.95</f>
        <v>154265.95000000001</v>
      </c>
      <c r="D151" s="11">
        <f t="shared" si="12"/>
        <v>1087397.8699999999</v>
      </c>
      <c r="E151" s="12" t="s">
        <v>9</v>
      </c>
      <c r="G151" s="15">
        <v>6871.3</v>
      </c>
      <c r="H151" s="15">
        <f>8334.9+13128.2+14998.4+9868.52</f>
        <v>46330.020000000004</v>
      </c>
      <c r="I151" s="15">
        <f>4500+56700+21551.5+35730.5+29089+14752+36874+90000+50000+34900+70000+100000+65000+30000+65000+160000+70000+100000+100</f>
        <v>1034197</v>
      </c>
      <c r="J151" s="37">
        <f t="shared" si="13"/>
        <v>1087398.32</v>
      </c>
      <c r="K151" s="15">
        <f t="shared" si="14"/>
        <v>0.45000000018626451</v>
      </c>
    </row>
    <row r="152" spans="1:14" x14ac:dyDescent="0.25">
      <c r="A152" s="9">
        <v>41961</v>
      </c>
      <c r="B152" s="10">
        <f>150090.95+184692.56</f>
        <v>334783.51</v>
      </c>
      <c r="C152" s="10">
        <v>26612</v>
      </c>
      <c r="D152" s="11">
        <f t="shared" si="12"/>
        <v>308171.51</v>
      </c>
      <c r="E152" s="12" t="s">
        <v>9</v>
      </c>
      <c r="G152" s="15">
        <v>285</v>
      </c>
      <c r="H152" s="15">
        <f>6545+9740+11250</f>
        <v>27535</v>
      </c>
      <c r="I152" s="15">
        <f>40000+75000+35000+3896.1+841.6+13896.4+9930.16+33900+36910.5+30977</f>
        <v>280351.76</v>
      </c>
      <c r="J152" s="37">
        <f t="shared" si="13"/>
        <v>308171.76</v>
      </c>
      <c r="K152" s="15">
        <f t="shared" si="14"/>
        <v>0.25</v>
      </c>
    </row>
    <row r="153" spans="1:14" x14ac:dyDescent="0.25">
      <c r="A153" s="9">
        <v>41962</v>
      </c>
      <c r="B153" s="10">
        <f>160654.8+2491873.88+11892</f>
        <v>2664420.6799999997</v>
      </c>
      <c r="C153" s="10">
        <f>32489.3</f>
        <v>32489.3</v>
      </c>
      <c r="D153" s="11">
        <f t="shared" si="12"/>
        <v>2631931.38</v>
      </c>
      <c r="E153" s="47" t="s">
        <v>9</v>
      </c>
      <c r="G153" s="15">
        <v>908.69</v>
      </c>
      <c r="H153" s="15">
        <f>94468+9371.4+9876.44</f>
        <v>113715.84</v>
      </c>
      <c r="I153" s="15">
        <f>35489+42235+84889.69+105396.57+315000+150000+89868.07+93686.5+500000+202953.04+285042.44+49981.41+28430.2+45000+60000+71100+110000+100000+50000+60000+7600+500+3792.36+26343.5</f>
        <v>2517307.7799999998</v>
      </c>
      <c r="J153" s="37">
        <f t="shared" si="13"/>
        <v>2631932.3099999996</v>
      </c>
      <c r="K153" s="15">
        <f t="shared" si="14"/>
        <v>0.92999999970197678</v>
      </c>
    </row>
    <row r="154" spans="1:14" x14ac:dyDescent="0.25">
      <c r="A154" s="9">
        <v>41963</v>
      </c>
      <c r="B154" s="10">
        <f>245285.03+230054.6</f>
        <v>475339.63</v>
      </c>
      <c r="C154" s="10">
        <v>17158.91</v>
      </c>
      <c r="D154" s="11">
        <f t="shared" si="12"/>
        <v>458180.72000000003</v>
      </c>
      <c r="E154" s="12" t="s">
        <v>9</v>
      </c>
      <c r="G154" s="15">
        <v>285.10000000000002</v>
      </c>
      <c r="H154" s="15">
        <v>0</v>
      </c>
      <c r="I154" s="15">
        <f>32727.78+6826.2+13643+69300+95000+80000+76000+60000+24399</f>
        <v>457895.98</v>
      </c>
      <c r="J154" s="37">
        <f t="shared" si="13"/>
        <v>458181.07999999996</v>
      </c>
      <c r="K154" s="15">
        <f t="shared" si="14"/>
        <v>0.3599999999278225</v>
      </c>
    </row>
    <row r="155" spans="1:14" x14ac:dyDescent="0.25">
      <c r="A155" s="9">
        <v>41964</v>
      </c>
      <c r="B155" s="10">
        <f>360189+901020.75</f>
        <v>1261209.75</v>
      </c>
      <c r="C155" s="10">
        <v>12134</v>
      </c>
      <c r="D155" s="11">
        <f t="shared" si="12"/>
        <v>1249075.75</v>
      </c>
      <c r="E155" s="12" t="s">
        <v>9</v>
      </c>
      <c r="G155" s="15">
        <v>9029.9</v>
      </c>
      <c r="H155" s="15">
        <f>87053.4+19630.6</f>
        <v>106684</v>
      </c>
      <c r="I155" s="15">
        <f>100000+38387.3+8620+9790.2+90250+75534.5+103018.5+41895+23370+78028.5+12331.5+79711+12977.5+34697+40393+27833+37351.9+20556+32520+33461+30200+14000+32200+85000+71237</f>
        <v>1133362.8999999999</v>
      </c>
      <c r="J155" s="37">
        <f t="shared" si="13"/>
        <v>1249076.7999999998</v>
      </c>
      <c r="K155" s="15">
        <f t="shared" si="14"/>
        <v>1.0499999998137355</v>
      </c>
    </row>
    <row r="156" spans="1:14" x14ac:dyDescent="0.25">
      <c r="A156" s="9">
        <v>41965</v>
      </c>
      <c r="B156" s="10">
        <f>273358.15+1435224.63</f>
        <v>1708582.7799999998</v>
      </c>
      <c r="C156" s="10">
        <f>22100+109191.3+2200</f>
        <v>133491.29999999999</v>
      </c>
      <c r="D156" s="11">
        <f t="shared" si="12"/>
        <v>1575091.4799999997</v>
      </c>
      <c r="E156" s="12" t="s">
        <v>9</v>
      </c>
      <c r="G156" s="15">
        <v>331195.62</v>
      </c>
      <c r="H156" s="15">
        <f>2497+8755+29336+34788.6+160205.64+174181.74+36925.2+112323.6</f>
        <v>559012.78</v>
      </c>
      <c r="I156" s="15">
        <f>70000+70000+45000+65000+115000+60000+50000+60000+64900+30538.5+22447+6298.5+25700</f>
        <v>684884</v>
      </c>
      <c r="J156" s="37">
        <f t="shared" si="13"/>
        <v>1575092.4</v>
      </c>
      <c r="K156" s="15">
        <f t="shared" si="14"/>
        <v>0.92000000015832484</v>
      </c>
    </row>
    <row r="157" spans="1:14" x14ac:dyDescent="0.25">
      <c r="A157" s="9">
        <v>41966</v>
      </c>
      <c r="B157" s="10">
        <f>118240.46+115797.5</f>
        <v>234037.96000000002</v>
      </c>
      <c r="C157" s="10">
        <f>2998+15041.4</f>
        <v>18039.400000000001</v>
      </c>
      <c r="D157" s="11">
        <f t="shared" si="12"/>
        <v>215998.56000000003</v>
      </c>
      <c r="E157" s="12" t="s">
        <v>9</v>
      </c>
      <c r="G157" s="15">
        <v>3148.4</v>
      </c>
      <c r="H157" s="15">
        <v>0</v>
      </c>
      <c r="I157" s="15">
        <f>45000+90000+50000+27850</f>
        <v>212850</v>
      </c>
      <c r="J157" s="37">
        <f t="shared" si="13"/>
        <v>215998.4</v>
      </c>
      <c r="K157" s="15">
        <f t="shared" si="14"/>
        <v>-0.16000000003259629</v>
      </c>
    </row>
    <row r="158" spans="1:14" x14ac:dyDescent="0.25">
      <c r="A158" s="9">
        <v>41967</v>
      </c>
      <c r="B158" s="10">
        <f>292666.75+2226130.26</f>
        <v>2518797.0099999998</v>
      </c>
      <c r="C158" s="10">
        <f>9478.22+10450.49+3884.74+232+174</f>
        <v>24219.449999999997</v>
      </c>
      <c r="D158" s="11">
        <f t="shared" si="12"/>
        <v>2494577.5599999996</v>
      </c>
      <c r="E158" s="12" t="s">
        <v>9</v>
      </c>
      <c r="G158" s="15">
        <v>182622.82</v>
      </c>
      <c r="H158" s="15">
        <v>0</v>
      </c>
      <c r="I158" s="15">
        <f>100000+65000+54700+100000+70000+98000+20081+121400+12250+35150+190000+106600+149000+198000+155490+121000+48350+104325+100000+80000+46575+46503+98673+6790+17070+15155.5+82674.5+15974+4638.6+26730.4+21826</f>
        <v>2311956</v>
      </c>
      <c r="J158" s="37">
        <f t="shared" si="13"/>
        <v>2494578.8199999998</v>
      </c>
      <c r="K158" s="15">
        <f t="shared" si="14"/>
        <v>1.2600000002421439</v>
      </c>
    </row>
    <row r="159" spans="1:14" x14ac:dyDescent="0.25">
      <c r="A159" s="9">
        <v>41968</v>
      </c>
      <c r="B159" s="10">
        <f>237736.97+646430.71</f>
        <v>884167.67999999993</v>
      </c>
      <c r="C159" s="10">
        <f>12227.1+6000</f>
        <v>18227.099999999999</v>
      </c>
      <c r="D159" s="11">
        <f t="shared" si="12"/>
        <v>865940.58</v>
      </c>
      <c r="E159" s="12" t="s">
        <v>9</v>
      </c>
      <c r="G159" s="15">
        <v>26913.51</v>
      </c>
      <c r="H159" s="15">
        <f>8666.2+6251.4+14665+9000</f>
        <v>38582.6</v>
      </c>
      <c r="I159" s="15">
        <f>150000+95000+35000+35000+60000+105500+56932+20063+9394+6367+3123.5+48124.7+20474+155467</f>
        <v>800445.2</v>
      </c>
      <c r="J159" s="37">
        <f t="shared" si="13"/>
        <v>865941.30999999994</v>
      </c>
      <c r="K159" s="15">
        <f t="shared" si="14"/>
        <v>0.72999999998137355</v>
      </c>
    </row>
    <row r="160" spans="1:14" x14ac:dyDescent="0.25">
      <c r="A160" s="9">
        <v>41969</v>
      </c>
      <c r="B160" s="10">
        <f>243064.19+1407003.26</f>
        <v>1650067.45</v>
      </c>
      <c r="C160" s="10">
        <v>20421.5</v>
      </c>
      <c r="D160" s="11">
        <f t="shared" si="12"/>
        <v>1629645.95</v>
      </c>
      <c r="E160" s="12" t="s">
        <v>9</v>
      </c>
      <c r="G160" s="15">
        <v>4733.5</v>
      </c>
      <c r="H160" s="15">
        <f>11512+10801.8+156206.91</f>
        <v>178520.71</v>
      </c>
      <c r="I160" s="15">
        <f>500+55700+68000+30000+60000+100000+80000+80000+40000+70000+19444+7697.6+4587.74+244000+36750+11500+5650+10000+51500+11954+138200+116150+78508.5+12335+62389+12600+18391+20535</f>
        <v>1446391.8399999999</v>
      </c>
      <c r="J160" s="37">
        <f t="shared" si="13"/>
        <v>1629646.0499999998</v>
      </c>
      <c r="K160" s="15">
        <f t="shared" si="14"/>
        <v>9.9999999860301614E-2</v>
      </c>
      <c r="L160" s="48">
        <v>11512.4</v>
      </c>
      <c r="M160" s="4" t="s">
        <v>64</v>
      </c>
    </row>
    <row r="161" spans="1:21" x14ac:dyDescent="0.25">
      <c r="A161" s="9">
        <v>41970</v>
      </c>
      <c r="B161" s="10">
        <f>8500+301003.26+239362.36</f>
        <v>548865.62</v>
      </c>
      <c r="C161" s="10">
        <f>21898.6+1728.02+1512.03</f>
        <v>25138.649999999998</v>
      </c>
      <c r="D161" s="11">
        <f t="shared" si="12"/>
        <v>523726.97</v>
      </c>
      <c r="E161" s="12" t="s">
        <v>9</v>
      </c>
      <c r="G161" s="15">
        <v>6063</v>
      </c>
      <c r="H161" s="15">
        <v>0</v>
      </c>
      <c r="I161" s="15">
        <f>3000+5500+19027+70000+60000+30000+57000+100000+60000+40000+40000+33137</f>
        <v>517664</v>
      </c>
      <c r="J161" s="37">
        <f t="shared" si="13"/>
        <v>523727</v>
      </c>
      <c r="K161" s="15">
        <f t="shared" si="14"/>
        <v>3.0000000027939677E-2</v>
      </c>
    </row>
    <row r="162" spans="1:21" x14ac:dyDescent="0.25">
      <c r="A162" s="9">
        <v>41971</v>
      </c>
      <c r="B162" s="10">
        <f>305409.3+257890.25</f>
        <v>563299.55000000005</v>
      </c>
      <c r="C162" s="10">
        <f>31936.79+116</f>
        <v>32052.79</v>
      </c>
      <c r="D162" s="11">
        <f t="shared" si="12"/>
        <v>531246.76</v>
      </c>
      <c r="E162" s="12" t="s">
        <v>22</v>
      </c>
      <c r="G162" s="15">
        <v>974</v>
      </c>
      <c r="H162" s="15">
        <f>19338.6+4508.4</f>
        <v>23847</v>
      </c>
      <c r="I162" s="15">
        <f>60000+125000+5331+2781+4432.5+10402.8+3205.4+82251+40945+15794+34000+6627.9+33655.5+82000</f>
        <v>506426.1</v>
      </c>
      <c r="J162" s="37">
        <f t="shared" si="13"/>
        <v>531247.1</v>
      </c>
      <c r="K162" s="15">
        <f t="shared" si="14"/>
        <v>0.33999999996740371</v>
      </c>
      <c r="M162" s="46" t="s">
        <v>35</v>
      </c>
      <c r="N162" s="46"/>
      <c r="O162" s="46"/>
      <c r="P162" s="46"/>
      <c r="Q162" s="46"/>
      <c r="R162" s="46"/>
      <c r="S162" s="46"/>
      <c r="T162" s="46"/>
      <c r="U162" s="46"/>
    </row>
    <row r="163" spans="1:21" x14ac:dyDescent="0.25">
      <c r="A163" s="9">
        <v>41972</v>
      </c>
      <c r="B163" s="10">
        <f>378689.1+800325.92</f>
        <v>1179015.02</v>
      </c>
      <c r="C163" s="10">
        <f>11379.15+86818.15</f>
        <v>98197.299999999988</v>
      </c>
      <c r="D163" s="11">
        <f t="shared" si="12"/>
        <v>1080817.72</v>
      </c>
      <c r="E163" s="12" t="s">
        <v>9</v>
      </c>
      <c r="G163" s="15">
        <v>6028</v>
      </c>
      <c r="H163" s="15">
        <f>9748.8+19603.7+26066.4+32472.3+36749.5+43442.67+71541</f>
        <v>239624.37</v>
      </c>
      <c r="I163" s="15">
        <f>5729.5+64248+7736.5+21053.5+16164+32041+70892.5+70000+120000+95000+60000+140000+50000+40000+42300</f>
        <v>835165</v>
      </c>
      <c r="J163" s="37">
        <f t="shared" si="13"/>
        <v>1080817.3700000001</v>
      </c>
      <c r="K163" s="15">
        <f t="shared" si="14"/>
        <v>-0.34999999986030161</v>
      </c>
    </row>
    <row r="164" spans="1:21" x14ac:dyDescent="0.25">
      <c r="A164" s="9">
        <v>41973</v>
      </c>
      <c r="B164" s="10">
        <f>157986.68+200117.27</f>
        <v>358103.94999999995</v>
      </c>
      <c r="C164" s="10">
        <v>8928</v>
      </c>
      <c r="D164" s="11">
        <f t="shared" si="12"/>
        <v>349175.94999999995</v>
      </c>
      <c r="E164" s="12" t="s">
        <v>9</v>
      </c>
      <c r="G164" s="15">
        <v>0</v>
      </c>
      <c r="H164" s="15">
        <v>10934</v>
      </c>
      <c r="I164" s="15">
        <f>100000+50000+75000+100000+13242</f>
        <v>338242</v>
      </c>
      <c r="J164" s="37">
        <f t="shared" si="13"/>
        <v>349176</v>
      </c>
      <c r="K164" s="15">
        <f t="shared" si="14"/>
        <v>5.0000000046566129E-2</v>
      </c>
    </row>
    <row r="165" spans="1:21" x14ac:dyDescent="0.25">
      <c r="A165" s="9"/>
      <c r="B165" s="10"/>
      <c r="C165" s="10"/>
      <c r="D165" s="11">
        <f t="shared" si="12"/>
        <v>0</v>
      </c>
      <c r="G165" s="15"/>
      <c r="I165" s="15"/>
      <c r="J165" s="4"/>
      <c r="K165" s="15">
        <f>I165+H165+G165-D165</f>
        <v>0</v>
      </c>
    </row>
    <row r="166" spans="1:21" x14ac:dyDescent="0.25">
      <c r="A166" s="9"/>
      <c r="B166" s="10"/>
      <c r="C166" s="10"/>
      <c r="D166" s="11">
        <f t="shared" si="12"/>
        <v>0</v>
      </c>
      <c r="G166" s="15"/>
      <c r="I166" s="15"/>
      <c r="J166" s="4"/>
      <c r="K166" s="15">
        <f t="shared" ref="K166:K170" si="15">I166+H166-D166</f>
        <v>0</v>
      </c>
    </row>
    <row r="167" spans="1:21" x14ac:dyDescent="0.25">
      <c r="A167" s="14"/>
      <c r="B167" s="10"/>
      <c r="C167" s="10"/>
      <c r="D167" s="11">
        <f t="shared" si="12"/>
        <v>0</v>
      </c>
      <c r="G167" s="15"/>
      <c r="I167" s="15"/>
      <c r="J167" s="4"/>
      <c r="K167" s="15">
        <f t="shared" si="15"/>
        <v>0</v>
      </c>
    </row>
    <row r="168" spans="1:21" x14ac:dyDescent="0.25">
      <c r="A168" s="14"/>
      <c r="B168" s="13"/>
      <c r="C168" s="10"/>
      <c r="D168" s="11">
        <f t="shared" si="12"/>
        <v>0</v>
      </c>
      <c r="G168" s="15"/>
      <c r="I168" s="15"/>
      <c r="J168" s="4"/>
      <c r="K168" s="15">
        <f t="shared" si="15"/>
        <v>0</v>
      </c>
    </row>
    <row r="169" spans="1:21" x14ac:dyDescent="0.25">
      <c r="A169" s="14"/>
      <c r="B169" s="10"/>
      <c r="C169" s="10"/>
      <c r="D169" s="11">
        <f t="shared" si="12"/>
        <v>0</v>
      </c>
      <c r="G169" s="15"/>
      <c r="I169" s="15"/>
      <c r="J169" s="4"/>
      <c r="K169" s="15">
        <f t="shared" si="15"/>
        <v>0</v>
      </c>
    </row>
    <row r="170" spans="1:21" x14ac:dyDescent="0.25">
      <c r="A170" s="14"/>
      <c r="B170" s="10">
        <f>SUM(B135:B169)</f>
        <v>33066716.470000003</v>
      </c>
      <c r="C170" s="10">
        <f>SUM(C135:C169)</f>
        <v>1233063.5299999998</v>
      </c>
      <c r="D170" s="11">
        <f t="shared" si="12"/>
        <v>31833652.940000001</v>
      </c>
      <c r="G170" s="15"/>
      <c r="I170" s="15"/>
      <c r="J170" s="4"/>
      <c r="K170" s="15">
        <f t="shared" si="15"/>
        <v>-31833652.940000001</v>
      </c>
    </row>
    <row r="171" spans="1:21" x14ac:dyDescent="0.25">
      <c r="A171" s="14"/>
      <c r="B171" s="13"/>
      <c r="C171" s="10"/>
      <c r="D171" s="11">
        <f t="shared" si="12"/>
        <v>0</v>
      </c>
      <c r="G171" s="4"/>
      <c r="I171" s="4"/>
      <c r="J171" s="4"/>
    </row>
    <row r="172" spans="1:21" x14ac:dyDescent="0.25">
      <c r="A172" s="14"/>
      <c r="B172" s="16"/>
      <c r="C172" s="10"/>
      <c r="D172" s="11">
        <f t="shared" si="12"/>
        <v>0</v>
      </c>
      <c r="G172" s="4"/>
      <c r="I172" s="4"/>
      <c r="J172" s="4"/>
    </row>
    <row r="173" spans="1:21" ht="15" x14ac:dyDescent="0.25">
      <c r="A173" s="4"/>
      <c r="B173" s="4"/>
      <c r="C173" s="4"/>
      <c r="D173" s="4"/>
      <c r="G173" s="4"/>
      <c r="I173" s="4"/>
      <c r="J173" s="4"/>
    </row>
    <row r="174" spans="1:21" ht="15" x14ac:dyDescent="0.25">
      <c r="A174" s="4"/>
      <c r="B174" s="4"/>
      <c r="C174" s="4"/>
      <c r="D174" s="4"/>
      <c r="G174" s="4"/>
      <c r="I174" s="4"/>
      <c r="J174" s="4"/>
    </row>
    <row r="175" spans="1:21" ht="15" x14ac:dyDescent="0.25">
      <c r="A175" s="4"/>
      <c r="B175" s="4"/>
      <c r="C175" s="4"/>
      <c r="D175" s="4"/>
      <c r="G175" s="4"/>
      <c r="I175" s="4"/>
      <c r="J175" s="4"/>
    </row>
    <row r="176" spans="1:21" ht="18.75" x14ac:dyDescent="0.3">
      <c r="B176" s="57" t="s">
        <v>43</v>
      </c>
      <c r="C176" s="57"/>
      <c r="D176" s="2"/>
      <c r="E176" s="3"/>
      <c r="F176" s="3"/>
      <c r="G176" s="4"/>
      <c r="I176" s="4"/>
      <c r="J176" s="4"/>
    </row>
    <row r="177" spans="1:17" x14ac:dyDescent="0.25">
      <c r="A177" s="5"/>
      <c r="B177" s="6"/>
      <c r="C177" s="23" t="s">
        <v>6</v>
      </c>
      <c r="D177" s="7"/>
      <c r="E177" s="3"/>
      <c r="F177" s="3"/>
      <c r="G177" s="4"/>
      <c r="I177" s="4"/>
      <c r="J177" s="4"/>
    </row>
    <row r="178" spans="1:17" ht="16.5" thickBot="1" x14ac:dyDescent="0.3">
      <c r="A178" s="19" t="s">
        <v>0</v>
      </c>
      <c r="B178" s="20" t="s">
        <v>1</v>
      </c>
      <c r="C178" s="21" t="s">
        <v>2</v>
      </c>
      <c r="D178" s="22" t="s">
        <v>4</v>
      </c>
      <c r="E178" s="3"/>
      <c r="F178" s="3"/>
      <c r="G178" s="38" t="s">
        <v>19</v>
      </c>
      <c r="H178" s="32" t="s">
        <v>10</v>
      </c>
      <c r="I178" s="27" t="s">
        <v>8</v>
      </c>
      <c r="J178" s="50"/>
      <c r="K178" s="33" t="s">
        <v>11</v>
      </c>
      <c r="L178" s="34" t="s">
        <v>13</v>
      </c>
    </row>
    <row r="179" spans="1:17" ht="16.5" thickTop="1" x14ac:dyDescent="0.25">
      <c r="A179" s="9">
        <v>41974</v>
      </c>
      <c r="B179" s="10">
        <f>360963.84+1401524.83</f>
        <v>1762488.6700000002</v>
      </c>
      <c r="C179" s="10">
        <f>30354.24+4000</f>
        <v>34354.240000000005</v>
      </c>
      <c r="D179" s="11">
        <f>B179-C179</f>
        <v>1728134.4300000002</v>
      </c>
      <c r="E179" s="12" t="s">
        <v>9</v>
      </c>
      <c r="G179" s="15">
        <v>374649.33</v>
      </c>
      <c r="H179" s="15">
        <v>7026.8</v>
      </c>
      <c r="I179" s="15">
        <f>59000+33300+50000+166045+150000+30030+41302+11676+13742.5+8643+336342.5+25915+9678+15853+35500+63305+89500+148000+10746+13000+27992+6888.6</f>
        <v>1346458.6</v>
      </c>
      <c r="J179" s="37">
        <f>I179+H179+G179</f>
        <v>1728134.7300000002</v>
      </c>
      <c r="K179" s="15">
        <f>I179+H179+G179-D179</f>
        <v>0.30000000004656613</v>
      </c>
    </row>
    <row r="180" spans="1:17" x14ac:dyDescent="0.25">
      <c r="A180" s="9">
        <v>41975</v>
      </c>
      <c r="B180" s="10">
        <f>226862.15+256482.34</f>
        <v>483344.49</v>
      </c>
      <c r="C180" s="10">
        <f>16673+6461.2</f>
        <v>23134.2</v>
      </c>
      <c r="D180" s="11">
        <f t="shared" ref="D180:D216" si="16">B180-C180</f>
        <v>460210.29</v>
      </c>
      <c r="E180" s="12" t="s">
        <v>9</v>
      </c>
      <c r="G180" s="31">
        <v>7591.35</v>
      </c>
      <c r="H180" s="31">
        <v>5281.2</v>
      </c>
      <c r="I180" s="15">
        <f>100000+37600+100000+40000+70000+25000+70000+4738</f>
        <v>447338</v>
      </c>
      <c r="J180" s="37">
        <f t="shared" ref="J180:J209" si="17">I180+H180+G180</f>
        <v>460210.55</v>
      </c>
      <c r="K180" s="15">
        <f>I180+H180+G180-D180</f>
        <v>0.26000000000931323</v>
      </c>
    </row>
    <row r="181" spans="1:17" x14ac:dyDescent="0.25">
      <c r="A181" s="9">
        <v>41976</v>
      </c>
      <c r="B181" s="10">
        <f>396809.42+1744461.02+19500</f>
        <v>2160770.44</v>
      </c>
      <c r="C181" s="10">
        <v>81311.399999999994</v>
      </c>
      <c r="D181" s="11">
        <f t="shared" si="16"/>
        <v>2079459.04</v>
      </c>
      <c r="E181" s="12" t="s">
        <v>9</v>
      </c>
      <c r="G181" s="15">
        <v>6944</v>
      </c>
      <c r="H181" s="15">
        <f>13212.8+13720.8+50551.88+84491.76+15665.48+4620</f>
        <v>182262.72</v>
      </c>
      <c r="I181" s="15">
        <f>160000+50000+116000+60000+20000+41000+50000+45000+85000+58700+14441+33900+31500+250000+31950+176000+168000+85595+7500+49297.5+10000+7000+84566+23082.5+70211+17815.5+17287.5+25314+5875.74+322.28+5958.8+13824.8+45000+10593.5+10000+9500</f>
        <v>1890235.12</v>
      </c>
      <c r="J181" s="37">
        <f t="shared" si="17"/>
        <v>2079441.84</v>
      </c>
      <c r="K181" s="15">
        <f t="shared" ref="K181:K214" si="18">I181+H181+G181-D181</f>
        <v>-17.199999999953434</v>
      </c>
      <c r="L181" s="48">
        <v>4620</v>
      </c>
      <c r="M181" s="60" t="s">
        <v>47</v>
      </c>
      <c r="N181" s="60"/>
      <c r="O181" s="60"/>
    </row>
    <row r="182" spans="1:17" x14ac:dyDescent="0.25">
      <c r="A182" s="9">
        <v>41977</v>
      </c>
      <c r="B182" s="10">
        <f>359342.35+571177.84</f>
        <v>930520.19</v>
      </c>
      <c r="C182" s="10">
        <f>3502+47367.5</f>
        <v>50869.5</v>
      </c>
      <c r="D182" s="11">
        <f t="shared" si="16"/>
        <v>879650.69</v>
      </c>
      <c r="E182" s="12" t="s">
        <v>9</v>
      </c>
      <c r="G182" s="15">
        <v>122488.3</v>
      </c>
      <c r="H182" s="15">
        <f>25239.1+9651+5108</f>
        <v>39998.1</v>
      </c>
      <c r="I182" s="15">
        <f>180000+73231.5+31154.5+70000+70000+90000+80000+65000+20000+37778.5</f>
        <v>717164.5</v>
      </c>
      <c r="J182" s="37">
        <f t="shared" si="17"/>
        <v>879650.9</v>
      </c>
      <c r="K182" s="15">
        <f t="shared" si="18"/>
        <v>0.21000000007916242</v>
      </c>
    </row>
    <row r="183" spans="1:17" x14ac:dyDescent="0.25">
      <c r="A183" s="9">
        <v>41978</v>
      </c>
      <c r="B183" s="10">
        <f>480819.81+487394.25</f>
        <v>968214.06</v>
      </c>
      <c r="C183" s="10">
        <f>81480.6+31971.8</f>
        <v>113452.40000000001</v>
      </c>
      <c r="D183" s="11">
        <f t="shared" si="16"/>
        <v>854761.66</v>
      </c>
      <c r="E183" s="12" t="s">
        <v>9</v>
      </c>
      <c r="G183" s="15">
        <v>961.32</v>
      </c>
      <c r="H183" s="15">
        <f>9482+8942.8+16509.68</f>
        <v>34934.479999999996</v>
      </c>
      <c r="I183" s="15">
        <f>6089+130000+65000+100000+55000+88500+70000+75000+86588+5633+72748+25000+39309</f>
        <v>818867</v>
      </c>
      <c r="J183" s="37">
        <f t="shared" si="17"/>
        <v>854762.79999999993</v>
      </c>
      <c r="K183" s="15">
        <f t="shared" si="18"/>
        <v>1.1399999998975545</v>
      </c>
    </row>
    <row r="184" spans="1:17" x14ac:dyDescent="0.25">
      <c r="A184" s="9">
        <v>41979</v>
      </c>
      <c r="B184" s="10">
        <f>484881.9+1574804.56</f>
        <v>2059686.46</v>
      </c>
      <c r="C184" s="10">
        <f>16001.5</f>
        <v>16001.5</v>
      </c>
      <c r="D184" s="11">
        <f t="shared" si="16"/>
        <v>2043684.96</v>
      </c>
      <c r="E184" s="12" t="s">
        <v>9</v>
      </c>
      <c r="G184" s="15">
        <v>153874.73000000001</v>
      </c>
      <c r="H184" s="15">
        <f>53682.2+81988+25715.2+44324.76+13104+5346.6+22300</f>
        <v>246460.76000000004</v>
      </c>
      <c r="I184" s="15">
        <f>63800+20000+86000+20000+45000+50000+70000+120000+100000+95000+55000+24000+20000+40000+28499+28371.8+19346.6+3518.58+9200+16377.55+36507.9+9450+4030+21000+24814+46600+144200+190000+89607+14089+5022+14632+31582.5+40872+21310+34970+550.5</f>
        <v>1643350.4300000002</v>
      </c>
      <c r="J184" s="37">
        <f t="shared" si="17"/>
        <v>2043685.9200000002</v>
      </c>
      <c r="K184" s="15">
        <f t="shared" si="18"/>
        <v>0.96000000019557774</v>
      </c>
    </row>
    <row r="185" spans="1:17" x14ac:dyDescent="0.25">
      <c r="A185" s="9">
        <v>41980</v>
      </c>
      <c r="B185" s="10">
        <f>160550.32+127449.85</f>
        <v>288000.17000000004</v>
      </c>
      <c r="C185" s="10">
        <v>15598.4</v>
      </c>
      <c r="D185" s="11">
        <f t="shared" si="16"/>
        <v>272401.77</v>
      </c>
      <c r="E185" s="12" t="s">
        <v>9</v>
      </c>
      <c r="G185" s="15">
        <v>0</v>
      </c>
      <c r="H185" s="15">
        <v>19621.2</v>
      </c>
      <c r="I185" s="15">
        <f>80000+40000+57900+60000+14881</f>
        <v>252781</v>
      </c>
      <c r="J185" s="37">
        <f t="shared" si="17"/>
        <v>272402.2</v>
      </c>
      <c r="K185" s="15">
        <f t="shared" si="18"/>
        <v>0.42999999999301508</v>
      </c>
    </row>
    <row r="186" spans="1:17" x14ac:dyDescent="0.25">
      <c r="A186" s="9">
        <v>41981</v>
      </c>
      <c r="B186" s="10">
        <f>195120.79+310984.4</f>
        <v>506105.19000000006</v>
      </c>
      <c r="C186" s="10">
        <v>14735</v>
      </c>
      <c r="D186" s="11">
        <f t="shared" si="16"/>
        <v>491370.19000000006</v>
      </c>
      <c r="E186" s="12" t="s">
        <v>9</v>
      </c>
      <c r="G186" s="15">
        <v>49587</v>
      </c>
      <c r="H186" s="15">
        <v>7142</v>
      </c>
      <c r="I186" s="15">
        <f>90000+112000+20000+95000+85000+32641.5</f>
        <v>434641.5</v>
      </c>
      <c r="J186" s="37">
        <f t="shared" si="17"/>
        <v>491370.5</v>
      </c>
      <c r="K186" s="15">
        <f t="shared" si="18"/>
        <v>0.30999999993946403</v>
      </c>
    </row>
    <row r="187" spans="1:17" x14ac:dyDescent="0.25">
      <c r="A187" s="9">
        <v>41982</v>
      </c>
      <c r="B187" s="10">
        <f>304899.3+258577.78</f>
        <v>563477.07999999996</v>
      </c>
      <c r="C187" s="10">
        <f>3248+43425.9</f>
        <v>46673.9</v>
      </c>
      <c r="D187" s="11">
        <f t="shared" si="16"/>
        <v>516803.17999999993</v>
      </c>
      <c r="E187" s="12" t="s">
        <v>9</v>
      </c>
      <c r="G187" s="15">
        <v>9237.2999999999993</v>
      </c>
      <c r="H187" s="15">
        <v>0</v>
      </c>
      <c r="I187" s="15">
        <f>16115+5109.63+8303+6899.6+105000+80000+55000+29051+6643+6804+2219.5+11440.5+1597+8280+80314.5+5573+1479+73148.5+4589</f>
        <v>507566.23</v>
      </c>
      <c r="J187" s="37">
        <f t="shared" si="17"/>
        <v>516803.52999999997</v>
      </c>
      <c r="K187" s="15">
        <f t="shared" si="18"/>
        <v>0.3500000000349246</v>
      </c>
      <c r="M187" s="39" t="s">
        <v>63</v>
      </c>
    </row>
    <row r="188" spans="1:17" x14ac:dyDescent="0.25">
      <c r="A188" s="9">
        <v>41983</v>
      </c>
      <c r="B188" s="10">
        <f>400950.22+755288.13</f>
        <v>1156238.3500000001</v>
      </c>
      <c r="C188" s="10">
        <f>15298+8400+480</f>
        <v>24178</v>
      </c>
      <c r="D188" s="11">
        <f t="shared" si="16"/>
        <v>1132060.3500000001</v>
      </c>
      <c r="E188" s="12" t="s">
        <v>9</v>
      </c>
      <c r="G188" s="15">
        <v>9520.7999999999993</v>
      </c>
      <c r="H188" s="15">
        <f>30994.6+8727.2+13093.4</f>
        <v>52815.200000000004</v>
      </c>
      <c r="I188" s="15">
        <f>153000+40000+110000+120000+70000+125000+40000+187150+34307+3916.8+25335.6+15705.5+110117+17750+17415.5</f>
        <v>1069697.3999999999</v>
      </c>
      <c r="J188" s="37">
        <f t="shared" si="17"/>
        <v>1132033.3999999999</v>
      </c>
      <c r="K188" s="15">
        <f t="shared" si="18"/>
        <v>-26.950000000186265</v>
      </c>
      <c r="L188" s="61">
        <v>30994.6</v>
      </c>
      <c r="M188" s="60" t="s">
        <v>46</v>
      </c>
      <c r="N188" s="60"/>
      <c r="O188" s="60"/>
      <c r="P188" s="60"/>
      <c r="Q188" s="60"/>
    </row>
    <row r="189" spans="1:17" x14ac:dyDescent="0.25">
      <c r="A189" s="9">
        <v>41984</v>
      </c>
      <c r="B189" s="10">
        <f>286631.81+232178.7</f>
        <v>518810.51</v>
      </c>
      <c r="C189" s="10">
        <f>19750+28191</f>
        <v>47941</v>
      </c>
      <c r="D189" s="11">
        <f t="shared" si="16"/>
        <v>470869.51</v>
      </c>
      <c r="E189" s="12" t="s">
        <v>9</v>
      </c>
      <c r="G189" s="15">
        <v>27353.5</v>
      </c>
      <c r="H189" s="15">
        <f>8352.08+9890</f>
        <v>18242.080000000002</v>
      </c>
      <c r="I189" s="15">
        <f>74000+110000+40000+55000+65000+19195+62100</f>
        <v>425295</v>
      </c>
      <c r="J189" s="37">
        <f t="shared" si="17"/>
        <v>470890.58</v>
      </c>
      <c r="K189" s="15">
        <f t="shared" si="18"/>
        <v>21.070000000006985</v>
      </c>
    </row>
    <row r="190" spans="1:17" x14ac:dyDescent="0.25">
      <c r="A190" s="9">
        <v>41985</v>
      </c>
      <c r="B190" s="10">
        <f>332891.65+550658.3</f>
        <v>883549.95000000007</v>
      </c>
      <c r="C190" s="10">
        <f>58675.41+522</f>
        <v>59197.41</v>
      </c>
      <c r="D190" s="11">
        <f t="shared" si="16"/>
        <v>824352.54</v>
      </c>
      <c r="E190" s="12" t="s">
        <v>9</v>
      </c>
      <c r="G190" s="15">
        <v>3922.4</v>
      </c>
      <c r="H190" s="15">
        <f>9500+10599.6</f>
        <v>20099.599999999999</v>
      </c>
      <c r="I190" s="15">
        <f>110000+50000+100000+42000+32500+48592+100000+7955+34888+16506+29888.5+33117+36493+118632.5+20738.5+19021</f>
        <v>800331.5</v>
      </c>
      <c r="J190" s="37">
        <f t="shared" si="17"/>
        <v>824353.5</v>
      </c>
      <c r="K190" s="15">
        <f t="shared" si="18"/>
        <v>0.9599999999627471</v>
      </c>
    </row>
    <row r="191" spans="1:17" x14ac:dyDescent="0.25">
      <c r="A191" s="9">
        <v>41986</v>
      </c>
      <c r="B191" s="10">
        <f>562140.6+1329658.94+12500</f>
        <v>1904299.54</v>
      </c>
      <c r="C191" s="10">
        <f>10344.44+82374.4+2246</f>
        <v>94964.84</v>
      </c>
      <c r="D191" s="11">
        <f t="shared" si="16"/>
        <v>1809334.7</v>
      </c>
      <c r="E191" s="12" t="s">
        <v>9</v>
      </c>
      <c r="G191" s="15">
        <v>0</v>
      </c>
      <c r="H191" s="15">
        <f>3421.6+5143.05+9764.4+19761+38327.2+46107.8+95150.6+126150.5+179659.47+40398.8+8182.7+34082.55</f>
        <v>606149.67000000004</v>
      </c>
      <c r="I191" s="15">
        <f>110000+55000+71000+105000+60000+70000+60000+75000+55000+80000+80000+70000+40000+26798.6+54300+9109+133077+20833+15567+7500+5000</f>
        <v>1203184.6000000001</v>
      </c>
      <c r="J191" s="37">
        <f t="shared" si="17"/>
        <v>1809334.27</v>
      </c>
      <c r="K191" s="15">
        <f t="shared" si="18"/>
        <v>-0.42999999993480742</v>
      </c>
    </row>
    <row r="192" spans="1:17" x14ac:dyDescent="0.25">
      <c r="A192" s="9">
        <v>41987</v>
      </c>
      <c r="B192" s="10">
        <f>202968.5+1099102</f>
        <v>1302070.5</v>
      </c>
      <c r="C192" s="10">
        <f>13089.5+88830+280</f>
        <v>102199.5</v>
      </c>
      <c r="D192" s="11">
        <f t="shared" si="16"/>
        <v>1199871</v>
      </c>
      <c r="E192" s="12" t="s">
        <v>9</v>
      </c>
      <c r="G192" s="15">
        <v>1473.8</v>
      </c>
      <c r="H192" s="15">
        <v>0</v>
      </c>
      <c r="I192" s="15">
        <f>4779+67200+71000+25005+2303+18456+35500+320500+1088+24000+9254+14712+155500+149000+18600+222500+24000+35000</f>
        <v>1198397</v>
      </c>
      <c r="J192" s="37">
        <f t="shared" si="17"/>
        <v>1199870.8</v>
      </c>
      <c r="K192" s="15">
        <f t="shared" si="18"/>
        <v>-0.19999999995343387</v>
      </c>
    </row>
    <row r="193" spans="1:19" x14ac:dyDescent="0.25">
      <c r="A193" s="9">
        <v>41988</v>
      </c>
      <c r="B193" s="10">
        <f>384243+298093.05</f>
        <v>682336.05</v>
      </c>
      <c r="C193" s="10">
        <v>8365.11</v>
      </c>
      <c r="D193" s="11">
        <f t="shared" si="16"/>
        <v>673970.94000000006</v>
      </c>
      <c r="E193" s="12" t="s">
        <v>9</v>
      </c>
      <c r="G193" s="15">
        <v>65451.95</v>
      </c>
      <c r="H193" s="15">
        <v>5057.2</v>
      </c>
      <c r="I193" s="15">
        <f>50000+45000+57000+100000+75300+18089+85578+4300+23000+35850+60000+25991.5+18929+4425</f>
        <v>603462.5</v>
      </c>
      <c r="J193" s="37">
        <f t="shared" si="17"/>
        <v>673971.64999999991</v>
      </c>
      <c r="K193" s="15">
        <f t="shared" si="18"/>
        <v>0.70999999984633178</v>
      </c>
    </row>
    <row r="194" spans="1:19" x14ac:dyDescent="0.25">
      <c r="A194" s="9">
        <v>41989</v>
      </c>
      <c r="B194" s="10">
        <f>339679.8+2326648.89</f>
        <v>2666328.69</v>
      </c>
      <c r="C194" s="10">
        <f>8806+36974.3+105</f>
        <v>45885.3</v>
      </c>
      <c r="D194" s="11">
        <f t="shared" si="16"/>
        <v>2620443.39</v>
      </c>
      <c r="E194" s="12" t="s">
        <v>9</v>
      </c>
      <c r="G194" s="15">
        <v>58213.9</v>
      </c>
      <c r="H194" s="15">
        <f>6254.4+177173.42+9554+33743.9</f>
        <v>226725.72</v>
      </c>
      <c r="I194" s="15">
        <f>63000+65000+150000+34000+65000+59800+140000+65000+34100+10000+14456+21600.2+78000+20151+32418+22214+55000+88830+7975+35000+284600+243000+247000+51260+56000+10500+19500+88500+13000+64000+15000+188500+200</f>
        <v>2342604.2000000002</v>
      </c>
      <c r="J194" s="37">
        <f t="shared" si="17"/>
        <v>2627543.8200000003</v>
      </c>
      <c r="K194" s="15">
        <f t="shared" si="18"/>
        <v>7100.4300000001676</v>
      </c>
      <c r="M194" s="60" t="s">
        <v>129</v>
      </c>
      <c r="N194" s="60"/>
      <c r="O194" s="60"/>
      <c r="P194" s="60"/>
      <c r="Q194" s="60"/>
    </row>
    <row r="195" spans="1:19" x14ac:dyDescent="0.25">
      <c r="A195" s="9">
        <v>41990</v>
      </c>
      <c r="B195" s="10">
        <f>441796.85+362864.44+2500</f>
        <v>807161.29</v>
      </c>
      <c r="C195" s="10">
        <f>7381.22+19296.5+700+105.5+255+127.6+17.5</f>
        <v>27883.32</v>
      </c>
      <c r="D195" s="11">
        <f t="shared" si="16"/>
        <v>779277.97000000009</v>
      </c>
      <c r="E195" s="12" t="s">
        <v>9</v>
      </c>
      <c r="G195" s="15">
        <v>3865.6</v>
      </c>
      <c r="H195" s="15">
        <v>5361.2</v>
      </c>
      <c r="I195" s="15">
        <f>14000+55000+100900+30200+55000+35000+96000+48000+9419.5+5200+33956+50000+15485+11628+34272.5+1570+100000+6449+39100+5341+12546.75+4941.4+3187.8+2500+35.5</f>
        <v>769732.45000000007</v>
      </c>
      <c r="J195" s="37">
        <f t="shared" si="17"/>
        <v>778959.25</v>
      </c>
      <c r="K195" s="15">
        <f t="shared" si="18"/>
        <v>-318.72000000008848</v>
      </c>
      <c r="M195" s="60" t="s">
        <v>780</v>
      </c>
      <c r="N195" s="60"/>
      <c r="O195" s="60"/>
      <c r="P195" s="60"/>
    </row>
    <row r="196" spans="1:19" x14ac:dyDescent="0.25">
      <c r="A196" s="9">
        <v>41991</v>
      </c>
      <c r="B196" s="10">
        <f>648215.95+555496.8</f>
        <v>1203712.75</v>
      </c>
      <c r="C196" s="10">
        <f>24198+15400.5</f>
        <v>39598.5</v>
      </c>
      <c r="D196" s="11">
        <f t="shared" si="16"/>
        <v>1164114.25</v>
      </c>
      <c r="E196" s="12" t="s">
        <v>9</v>
      </c>
      <c r="G196" s="15">
        <v>789.9</v>
      </c>
      <c r="H196" s="15">
        <f>10916+9700+3262.5</f>
        <v>23878.5</v>
      </c>
      <c r="I196" s="15">
        <f>14472+100000+100000+40000+107500+149000+60000+70000+70000+113914+69503.5+17979.5+22912+2530+135000+23300+2047.5+41287</f>
        <v>1139445.5</v>
      </c>
      <c r="J196" s="37">
        <f t="shared" si="17"/>
        <v>1164113.8999999999</v>
      </c>
      <c r="K196" s="15">
        <f t="shared" si="18"/>
        <v>-0.35000000009313226</v>
      </c>
    </row>
    <row r="197" spans="1:19" x14ac:dyDescent="0.25">
      <c r="A197" s="9">
        <v>41992</v>
      </c>
      <c r="B197" s="10">
        <f>435495.18+732648.75</f>
        <v>1168143.93</v>
      </c>
      <c r="C197" s="10">
        <f>38489.92+69398.3</f>
        <v>107888.22</v>
      </c>
      <c r="D197" s="11">
        <f t="shared" si="16"/>
        <v>1060255.71</v>
      </c>
      <c r="E197" s="12" t="s">
        <v>9</v>
      </c>
      <c r="G197" s="15">
        <v>3057</v>
      </c>
      <c r="H197" s="15">
        <f>144745.4+19416.8</f>
        <v>164162.19999999998</v>
      </c>
      <c r="I197" s="15">
        <f>34068.5+45000+100000+100000+43800+75000+50000+26400+100000+100000+100000+100000+12040</f>
        <v>886308.5</v>
      </c>
      <c r="J197" s="37">
        <f t="shared" si="17"/>
        <v>1053527.7</v>
      </c>
      <c r="K197" s="15">
        <f t="shared" si="18"/>
        <v>-6728.0100000000093</v>
      </c>
      <c r="M197" s="60" t="s">
        <v>48</v>
      </c>
      <c r="N197" s="60"/>
      <c r="O197" s="60"/>
      <c r="P197" s="60"/>
      <c r="Q197" s="60"/>
    </row>
    <row r="198" spans="1:19" x14ac:dyDescent="0.25">
      <c r="A198" s="9">
        <v>41993</v>
      </c>
      <c r="B198" s="10">
        <f>1389108.65+1604651.01+8199.5</f>
        <v>3001959.16</v>
      </c>
      <c r="C198" s="10">
        <f>12270+88615.8</f>
        <v>100885.8</v>
      </c>
      <c r="D198" s="11">
        <f t="shared" si="16"/>
        <v>2901073.3600000003</v>
      </c>
      <c r="E198" s="12" t="s">
        <v>9</v>
      </c>
      <c r="G198" s="15">
        <v>16311.4</v>
      </c>
      <c r="H198" s="15">
        <f>30275.6+53344.2+57446+46042.2</f>
        <v>187108</v>
      </c>
      <c r="I198" s="15">
        <f>11550+55000+100000+52000+70000+60000+130000+60000+60000+100000+100000+100000+60000+32300+150000+219000+320500+80000+240000+26000+137400+22800+153500+207000+26651.1+19628.5+60755+19378+3297.84+12696+1500+6700</f>
        <v>2697656.44</v>
      </c>
      <c r="J198" s="37">
        <f t="shared" si="17"/>
        <v>2901075.84</v>
      </c>
      <c r="K198" s="15">
        <f t="shared" si="18"/>
        <v>2.4799999995157123</v>
      </c>
    </row>
    <row r="199" spans="1:19" x14ac:dyDescent="0.25">
      <c r="A199" s="9">
        <v>41994</v>
      </c>
      <c r="B199" s="10">
        <f>480898.92+338723.65</f>
        <v>819622.57000000007</v>
      </c>
      <c r="C199" s="10">
        <f>16966.4+280+61555</f>
        <v>78801.399999999994</v>
      </c>
      <c r="D199" s="11">
        <f t="shared" si="16"/>
        <v>740821.17</v>
      </c>
      <c r="E199" s="12" t="s">
        <v>9</v>
      </c>
      <c r="G199" s="15">
        <v>3670.9</v>
      </c>
      <c r="H199" s="15">
        <v>9225.4</v>
      </c>
      <c r="I199" s="15">
        <f>45000+125000+30000+90000+80000+80000+120000+55000+60000+32339+10586</f>
        <v>727925</v>
      </c>
      <c r="J199" s="37">
        <f t="shared" si="17"/>
        <v>740821.3</v>
      </c>
      <c r="K199" s="15">
        <f t="shared" si="18"/>
        <v>0.13000000000465661</v>
      </c>
    </row>
    <row r="200" spans="1:19" x14ac:dyDescent="0.25">
      <c r="A200" s="9">
        <v>41995</v>
      </c>
      <c r="B200" s="10">
        <f>359051.47+391085.3</f>
        <v>750136.77</v>
      </c>
      <c r="C200" s="10">
        <v>14979</v>
      </c>
      <c r="D200" s="11">
        <f t="shared" si="16"/>
        <v>735157.77</v>
      </c>
      <c r="E200" s="12" t="s">
        <v>9</v>
      </c>
      <c r="G200" s="15">
        <v>0</v>
      </c>
      <c r="H200" s="15">
        <v>8581.6</v>
      </c>
      <c r="I200" s="15">
        <f>100000+100000+110000+70000+60000+95000+14000+80000+84240+13336</f>
        <v>726576</v>
      </c>
      <c r="J200" s="37">
        <f t="shared" si="17"/>
        <v>735157.6</v>
      </c>
      <c r="K200" s="15">
        <f t="shared" si="18"/>
        <v>-0.17000000004190952</v>
      </c>
    </row>
    <row r="201" spans="1:19" x14ac:dyDescent="0.25">
      <c r="A201" s="9">
        <v>41996</v>
      </c>
      <c r="B201" s="10">
        <f>745195.77+1772957.45+1708.6</f>
        <v>2519861.8199999998</v>
      </c>
      <c r="C201" s="10">
        <f>10051.5+20943+480+480+5931+261</f>
        <v>38146.5</v>
      </c>
      <c r="D201" s="11">
        <f t="shared" si="16"/>
        <v>2481715.3199999998</v>
      </c>
      <c r="E201" s="12" t="s">
        <v>9</v>
      </c>
      <c r="G201" s="15">
        <v>89.59</v>
      </c>
      <c r="H201" s="15">
        <f>2450+4521.6+276581.41+54645.12+144092.8</f>
        <v>482290.92999999993</v>
      </c>
      <c r="I201" s="15">
        <f>24000+55000+100000+130000+120000+50000+60000+60000+30000+55000+60000+48000+40000+37700+90000+116500+110000+90000+80000+187006.8+70000+35000+70000+100000+98000+73751.5+7670+1707.6</f>
        <v>1999335.9000000001</v>
      </c>
      <c r="J201" s="37">
        <f t="shared" si="17"/>
        <v>2481716.42</v>
      </c>
      <c r="K201" s="15">
        <f t="shared" si="18"/>
        <v>1.1000000000931323</v>
      </c>
    </row>
    <row r="202" spans="1:19" x14ac:dyDescent="0.25">
      <c r="A202" s="9">
        <v>41997</v>
      </c>
      <c r="B202" s="10">
        <f>678410.88+1352872.95</f>
        <v>2031283.83</v>
      </c>
      <c r="C202" s="10">
        <f>9976.8+25020</f>
        <v>34996.800000000003</v>
      </c>
      <c r="D202" s="11">
        <f t="shared" si="16"/>
        <v>1996287.03</v>
      </c>
      <c r="E202" s="35"/>
      <c r="G202" s="15">
        <v>14633.6</v>
      </c>
      <c r="H202" s="15">
        <v>5831.8</v>
      </c>
      <c r="I202" s="15">
        <f>140100+100000+59900+90000+160000+60000+60000+79100+75000+90000+55000+100000+382760+62241+1612+165836+3244.5+5260.5+15145+104876.5+19540.5+6450+62291+58763.5+9234+7470</f>
        <v>1973824.5</v>
      </c>
      <c r="J202" s="37">
        <f t="shared" si="17"/>
        <v>1994289.9000000001</v>
      </c>
      <c r="K202" s="15">
        <f t="shared" si="18"/>
        <v>-1997.1299999998882</v>
      </c>
      <c r="M202" s="39" t="s">
        <v>51</v>
      </c>
    </row>
    <row r="203" spans="1:19" x14ac:dyDescent="0.25">
      <c r="A203" s="9">
        <v>41998</v>
      </c>
      <c r="B203" s="271" t="s">
        <v>38</v>
      </c>
      <c r="C203" s="273"/>
      <c r="D203" s="53" t="e">
        <f t="shared" si="16"/>
        <v>#VALUE!</v>
      </c>
      <c r="E203" s="54"/>
      <c r="F203" s="46"/>
      <c r="G203" s="55"/>
      <c r="H203" s="55"/>
      <c r="I203" s="55"/>
      <c r="J203" s="56">
        <f t="shared" si="17"/>
        <v>0</v>
      </c>
      <c r="K203" s="55" t="e">
        <f t="shared" si="18"/>
        <v>#VALUE!</v>
      </c>
      <c r="L203" s="46"/>
      <c r="M203" s="46"/>
      <c r="N203" s="46"/>
      <c r="O203" s="46"/>
      <c r="P203" s="46"/>
      <c r="Q203" s="46"/>
      <c r="R203" s="46"/>
      <c r="S203" s="46"/>
    </row>
    <row r="204" spans="1:19" x14ac:dyDescent="0.25">
      <c r="A204" s="9">
        <v>41999</v>
      </c>
      <c r="B204" s="10">
        <f>359021.88+340616.11</f>
        <v>699637.99</v>
      </c>
      <c r="C204" s="10">
        <f>9526.39+81371</f>
        <v>90897.39</v>
      </c>
      <c r="D204" s="11">
        <f t="shared" si="16"/>
        <v>608740.6</v>
      </c>
      <c r="E204" s="35"/>
      <c r="G204" s="15">
        <v>0</v>
      </c>
      <c r="H204" s="15">
        <v>0</v>
      </c>
      <c r="I204" s="15">
        <f>100000+95000+25000+150000+80000+90000+60000+8741</f>
        <v>608741</v>
      </c>
      <c r="J204" s="37">
        <f t="shared" si="17"/>
        <v>608741</v>
      </c>
      <c r="K204" s="15">
        <f t="shared" si="18"/>
        <v>0.40000000002328306</v>
      </c>
    </row>
    <row r="205" spans="1:19" x14ac:dyDescent="0.25">
      <c r="A205" s="9">
        <v>42000</v>
      </c>
      <c r="B205" s="10">
        <f>360265.64+1351079.2+1000</f>
        <v>1712344.8399999999</v>
      </c>
      <c r="C205" s="10">
        <f>238485.62+10613+464</f>
        <v>249562.62</v>
      </c>
      <c r="D205" s="11">
        <f t="shared" si="16"/>
        <v>1462782.2199999997</v>
      </c>
      <c r="E205" s="35"/>
      <c r="G205" s="15">
        <v>2756.4</v>
      </c>
      <c r="H205" s="15">
        <f>33317.8+12708.3+70906.8+8284.2+36772.8+35897.6+118179.6+47983.6</f>
        <v>364050.7</v>
      </c>
      <c r="I205" s="15">
        <f>150000+90000+44000+90000+65000+60000+26000+4824+59569+37272.5+57908+74744+35370.5+200000+88472.8+3059.1+8761+1000</f>
        <v>1095980.9000000001</v>
      </c>
      <c r="J205" s="37">
        <f t="shared" si="17"/>
        <v>1462788</v>
      </c>
      <c r="K205" s="15">
        <f t="shared" si="18"/>
        <v>5.7800000002607703</v>
      </c>
    </row>
    <row r="206" spans="1:19" x14ac:dyDescent="0.25">
      <c r="A206" s="9">
        <v>42001</v>
      </c>
      <c r="B206" s="10">
        <f>411702.58+2359732.79</f>
        <v>2771435.37</v>
      </c>
      <c r="C206" s="10">
        <f>213687.72</f>
        <v>213687.72</v>
      </c>
      <c r="D206" s="11">
        <f t="shared" si="16"/>
        <v>2557747.65</v>
      </c>
      <c r="E206" s="12" t="s">
        <v>9</v>
      </c>
      <c r="G206" s="15">
        <v>11126.88</v>
      </c>
      <c r="H206" s="15">
        <f>14198.92+4566</f>
        <v>18764.919999999998</v>
      </c>
      <c r="I206" s="15">
        <f>76000+80000+140000+98000+38087.5+16421.5+28952+31622+33648+76385.5+79562.5+34056+310000+25500+110200+21978+38650+215000+29000+15000+8000+100000+22500+185400+186000+13000+23000+15760+275000+25000+25000+25000+25000+15000+30000+15500+15000+7950+9000+8683</f>
        <v>2527856</v>
      </c>
      <c r="J206" s="37">
        <f t="shared" si="17"/>
        <v>2557747.7999999998</v>
      </c>
      <c r="K206" s="15">
        <f t="shared" si="18"/>
        <v>0.14999999990686774</v>
      </c>
    </row>
    <row r="207" spans="1:19" x14ac:dyDescent="0.25">
      <c r="A207" s="9">
        <v>42002</v>
      </c>
      <c r="B207" s="10">
        <f>308987.96+677322.38</f>
        <v>986310.34000000008</v>
      </c>
      <c r="C207" s="10">
        <f>81997.3+86192.3</f>
        <v>168189.6</v>
      </c>
      <c r="D207" s="11">
        <f t="shared" si="16"/>
        <v>818120.74000000011</v>
      </c>
      <c r="E207" s="12" t="s">
        <v>9</v>
      </c>
      <c r="G207" s="15">
        <v>1427.8</v>
      </c>
      <c r="H207" s="15">
        <v>5200.6000000000004</v>
      </c>
      <c r="I207" s="15">
        <f>13824+4359.6+12400+4368+8702.4+9484.04+12321.12+55883.5+40000+100000+100000+300000+60820+60700+21800+6830</f>
        <v>811492.66</v>
      </c>
      <c r="J207" s="37">
        <f t="shared" si="17"/>
        <v>818121.06</v>
      </c>
      <c r="K207" s="15">
        <f t="shared" si="18"/>
        <v>0.31999999994877726</v>
      </c>
      <c r="M207" s="60" t="s">
        <v>52</v>
      </c>
      <c r="N207" s="60"/>
      <c r="O207" s="60"/>
      <c r="P207" s="60"/>
    </row>
    <row r="208" spans="1:19" x14ac:dyDescent="0.25">
      <c r="A208" s="9">
        <v>42003</v>
      </c>
      <c r="B208" s="10">
        <f>429192.15+1110278.08</f>
        <v>1539470.23</v>
      </c>
      <c r="C208" s="10">
        <f>169111.02+5519+638</f>
        <v>175268.02</v>
      </c>
      <c r="D208" s="11">
        <f t="shared" si="16"/>
        <v>1364202.21</v>
      </c>
      <c r="E208" s="12" t="s">
        <v>9</v>
      </c>
      <c r="G208" s="15">
        <v>160534.70000000001</v>
      </c>
      <c r="H208" s="15">
        <f>4631.4+10998.4+60600.98+239389.62</f>
        <v>315620.40000000002</v>
      </c>
      <c r="I208" s="15">
        <f>50350+90000+100000+22600+130000+58900+8970+9832.68+44266.4+16939.64+352.8+1612.8+4771+11183.8+21379.4+6530+9750+181512.3+10595.76+30100+74190+4443.6</f>
        <v>888280.18</v>
      </c>
      <c r="J208" s="37">
        <f t="shared" si="17"/>
        <v>1364435.28</v>
      </c>
      <c r="K208" s="15">
        <f t="shared" si="18"/>
        <v>233.07000000006519</v>
      </c>
      <c r="M208" s="60" t="s">
        <v>85</v>
      </c>
      <c r="N208" s="60"/>
      <c r="O208" s="60"/>
    </row>
    <row r="209" spans="1:15" x14ac:dyDescent="0.25">
      <c r="A209" s="9">
        <v>42004</v>
      </c>
      <c r="B209" s="10">
        <f>542844.84+1378482.73</f>
        <v>1921327.5699999998</v>
      </c>
      <c r="C209" s="10">
        <f>45849.76+47683.85</f>
        <v>93533.61</v>
      </c>
      <c r="D209" s="11">
        <f t="shared" si="16"/>
        <v>1827793.9599999997</v>
      </c>
      <c r="E209" s="12" t="s">
        <v>9</v>
      </c>
      <c r="G209" s="15">
        <v>530.6</v>
      </c>
      <c r="H209" s="15">
        <f>7080+108434.04</f>
        <v>115514.04</v>
      </c>
      <c r="I209" s="15">
        <f>150000+140000+117800+83200+60400+10000+130000+39500+70000+60000+21200+19100+161200+17650+43000+100000+100000+62000+15500+90500+188000+26541+6158.5+3100+30000+100000+100000+100000+100000+100000+300000</f>
        <v>2544849.5</v>
      </c>
      <c r="J209" s="37">
        <f t="shared" si="17"/>
        <v>2660894.14</v>
      </c>
      <c r="K209" s="15">
        <f t="shared" si="18"/>
        <v>833100.1800000004</v>
      </c>
      <c r="M209" s="60" t="s">
        <v>86</v>
      </c>
      <c r="N209" s="60"/>
      <c r="O209" s="60"/>
    </row>
    <row r="210" spans="1:15" x14ac:dyDescent="0.25">
      <c r="A210" s="9"/>
      <c r="B210" s="10"/>
      <c r="C210" s="10"/>
      <c r="D210" s="11">
        <f t="shared" si="16"/>
        <v>0</v>
      </c>
      <c r="G210" s="4"/>
      <c r="I210" s="15"/>
      <c r="J210" s="4"/>
      <c r="K210" s="15">
        <f t="shared" si="18"/>
        <v>0</v>
      </c>
    </row>
    <row r="211" spans="1:15" x14ac:dyDescent="0.25">
      <c r="A211" s="14"/>
      <c r="B211" s="10"/>
      <c r="C211" s="10"/>
      <c r="D211" s="11">
        <f t="shared" si="16"/>
        <v>0</v>
      </c>
      <c r="G211" s="4"/>
      <c r="I211" s="15"/>
      <c r="J211" s="4"/>
      <c r="K211" s="15">
        <f t="shared" si="18"/>
        <v>0</v>
      </c>
    </row>
    <row r="212" spans="1:15" x14ac:dyDescent="0.25">
      <c r="A212" s="14"/>
      <c r="B212" s="13"/>
      <c r="C212" s="10"/>
      <c r="D212" s="11">
        <f t="shared" si="16"/>
        <v>0</v>
      </c>
      <c r="G212" s="4"/>
      <c r="I212" s="15"/>
      <c r="J212" s="4"/>
      <c r="K212" s="15">
        <f t="shared" si="18"/>
        <v>0</v>
      </c>
    </row>
    <row r="213" spans="1:15" x14ac:dyDescent="0.25">
      <c r="A213" s="14"/>
      <c r="B213" s="10"/>
      <c r="C213" s="10"/>
      <c r="D213" s="11">
        <f t="shared" si="16"/>
        <v>0</v>
      </c>
      <c r="G213" s="4"/>
      <c r="I213" s="15"/>
      <c r="J213" s="4"/>
      <c r="K213" s="15">
        <f t="shared" si="18"/>
        <v>0</v>
      </c>
    </row>
    <row r="214" spans="1:15" x14ac:dyDescent="0.25">
      <c r="A214" s="14"/>
      <c r="B214" s="10">
        <f>SUM(B179:B213)</f>
        <v>40768648.799999997</v>
      </c>
      <c r="C214" s="10">
        <f>SUM(C179:C213)</f>
        <v>2213180.1999999997</v>
      </c>
      <c r="D214" s="11">
        <f t="shared" si="16"/>
        <v>38555468.599999994</v>
      </c>
      <c r="G214" s="15"/>
      <c r="I214" s="15"/>
      <c r="J214" s="4"/>
      <c r="K214" s="15">
        <f t="shared" si="18"/>
        <v>-38555468.599999994</v>
      </c>
    </row>
    <row r="215" spans="1:15" x14ac:dyDescent="0.25">
      <c r="A215" s="14"/>
      <c r="B215" s="13"/>
      <c r="C215" s="10"/>
      <c r="D215" s="11">
        <f t="shared" si="16"/>
        <v>0</v>
      </c>
      <c r="G215" s="4"/>
      <c r="I215" s="4"/>
      <c r="J215" s="4"/>
    </row>
    <row r="216" spans="1:15" x14ac:dyDescent="0.25">
      <c r="A216" s="14"/>
      <c r="B216" s="16"/>
      <c r="C216" s="10"/>
      <c r="D216" s="11">
        <f t="shared" si="16"/>
        <v>0</v>
      </c>
      <c r="G216" s="4"/>
      <c r="I216" s="4"/>
      <c r="J216" s="4"/>
    </row>
  </sheetData>
  <mergeCells count="3">
    <mergeCell ref="B203:C203"/>
    <mergeCell ref="B1:C1"/>
    <mergeCell ref="B88:C88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481"/>
  <sheetViews>
    <sheetView topLeftCell="B410" workbookViewId="0">
      <selection activeCell="K427" sqref="K427"/>
    </sheetView>
  </sheetViews>
  <sheetFormatPr baseColWidth="10" defaultRowHeight="15" x14ac:dyDescent="0.25"/>
  <cols>
    <col min="2" max="2" width="21.7109375" customWidth="1"/>
    <col min="6" max="6" width="15.7109375" customWidth="1"/>
    <col min="8" max="8" width="8" customWidth="1"/>
    <col min="9" max="9" width="15.5703125" customWidth="1"/>
  </cols>
  <sheetData>
    <row r="2" spans="1:20" ht="18.75" x14ac:dyDescent="0.3">
      <c r="B2" s="275" t="s">
        <v>44</v>
      </c>
      <c r="C2" s="275"/>
      <c r="D2" s="275"/>
      <c r="E2" s="275"/>
      <c r="F2" s="275"/>
      <c r="G2" s="275"/>
    </row>
    <row r="4" spans="1:20" s="4" customFormat="1" ht="16.5" thickBot="1" x14ac:dyDescent="0.3">
      <c r="A4" s="19" t="s">
        <v>0</v>
      </c>
      <c r="B4" s="20" t="s">
        <v>1</v>
      </c>
      <c r="C4" s="67" t="s">
        <v>58</v>
      </c>
      <c r="D4" s="8" t="s">
        <v>3</v>
      </c>
      <c r="E4" s="21" t="s">
        <v>2</v>
      </c>
      <c r="F4" s="22" t="s">
        <v>4</v>
      </c>
      <c r="G4" s="27" t="s">
        <v>8</v>
      </c>
    </row>
    <row r="5" spans="1:20" s="4" customFormat="1" ht="16.5" thickTop="1" x14ac:dyDescent="0.25">
      <c r="A5" s="65">
        <v>42005</v>
      </c>
      <c r="B5" s="276" t="s">
        <v>45</v>
      </c>
      <c r="C5" s="277"/>
      <c r="D5" s="277"/>
      <c r="E5" s="278"/>
      <c r="F5" s="66" t="e">
        <f>B5+C5-D5-E5</f>
        <v>#VALUE!</v>
      </c>
      <c r="G5" s="30"/>
      <c r="H5" s="25"/>
      <c r="I5" s="15" t="e">
        <f>G5-F5</f>
        <v>#VALUE!</v>
      </c>
      <c r="J5" s="15"/>
    </row>
    <row r="6" spans="1:20" s="4" customFormat="1" ht="15.75" x14ac:dyDescent="0.25">
      <c r="A6" s="9">
        <v>42006</v>
      </c>
      <c r="B6" s="10">
        <v>570130.02</v>
      </c>
      <c r="C6" s="10">
        <v>0</v>
      </c>
      <c r="D6" s="10">
        <v>95184</v>
      </c>
      <c r="E6" s="10">
        <v>17583.22</v>
      </c>
      <c r="F6" s="11">
        <f t="shared" ref="F6:F40" si="0">B6+C6-D6-E6</f>
        <v>457362.80000000005</v>
      </c>
      <c r="G6" s="15">
        <f>5675+8737+10613+6599+12343+1836+100000+10022.4+29537.02+62000+80000+130000</f>
        <v>457362.42</v>
      </c>
      <c r="H6" s="25" t="s">
        <v>9</v>
      </c>
      <c r="I6" s="15">
        <f t="shared" ref="I6:I36" si="1">G6-F6</f>
        <v>-0.38000000006286427</v>
      </c>
      <c r="J6" s="15"/>
      <c r="K6" s="46" t="s">
        <v>65</v>
      </c>
      <c r="L6" s="46"/>
      <c r="M6" s="46"/>
      <c r="N6" s="46"/>
      <c r="O6" s="46"/>
    </row>
    <row r="7" spans="1:20" s="4" customFormat="1" ht="15.75" x14ac:dyDescent="0.25">
      <c r="A7" s="9">
        <v>42007</v>
      </c>
      <c r="B7" s="10">
        <v>396800.88</v>
      </c>
      <c r="C7" s="10">
        <v>0</v>
      </c>
      <c r="D7" s="10">
        <v>100240.81</v>
      </c>
      <c r="E7" s="10">
        <v>147102.5</v>
      </c>
      <c r="F7" s="11">
        <f t="shared" si="0"/>
        <v>149457.57</v>
      </c>
      <c r="G7" s="15">
        <f>29457+50000+70000</f>
        <v>149457</v>
      </c>
      <c r="H7" s="25" t="s">
        <v>9</v>
      </c>
      <c r="I7" s="15">
        <f t="shared" si="1"/>
        <v>-0.57000000000698492</v>
      </c>
      <c r="J7" s="15"/>
    </row>
    <row r="8" spans="1:20" s="4" customFormat="1" ht="15.75" x14ac:dyDescent="0.25">
      <c r="A8" s="9">
        <v>42008</v>
      </c>
      <c r="B8" s="10">
        <v>333466.64</v>
      </c>
      <c r="C8" s="10">
        <v>0</v>
      </c>
      <c r="D8" s="10">
        <v>267367.40999999997</v>
      </c>
      <c r="E8" s="10">
        <v>7302</v>
      </c>
      <c r="F8" s="11">
        <f t="shared" si="0"/>
        <v>58797.23000000004</v>
      </c>
      <c r="G8" s="15">
        <f>29797+29000</f>
        <v>58797</v>
      </c>
      <c r="H8" s="25" t="s">
        <v>9</v>
      </c>
      <c r="I8" s="15">
        <f t="shared" si="1"/>
        <v>-0.23000000003958121</v>
      </c>
      <c r="J8" s="15"/>
      <c r="K8" s="46" t="s">
        <v>94</v>
      </c>
      <c r="L8" s="46"/>
      <c r="M8" s="46"/>
      <c r="N8" s="46"/>
      <c r="O8" s="46"/>
    </row>
    <row r="9" spans="1:20" s="4" customFormat="1" ht="15.75" x14ac:dyDescent="0.25">
      <c r="A9" s="9">
        <v>42009</v>
      </c>
      <c r="B9" s="10">
        <v>352324.39</v>
      </c>
      <c r="C9" s="10">
        <v>0</v>
      </c>
      <c r="D9" s="10">
        <v>272264.08</v>
      </c>
      <c r="E9" s="10">
        <v>5901</v>
      </c>
      <c r="F9" s="11">
        <f t="shared" si="0"/>
        <v>74159.31</v>
      </c>
      <c r="G9" s="15">
        <f>44000+30158</f>
        <v>74158</v>
      </c>
      <c r="H9" s="25" t="s">
        <v>9</v>
      </c>
      <c r="I9" s="15">
        <f t="shared" si="1"/>
        <v>-1.3099999999976717</v>
      </c>
      <c r="J9" s="15"/>
      <c r="K9" s="46" t="s">
        <v>95</v>
      </c>
      <c r="L9" s="46"/>
      <c r="M9" s="46"/>
      <c r="N9" s="46"/>
      <c r="O9" s="46"/>
      <c r="P9" s="46"/>
      <c r="Q9" s="46"/>
      <c r="R9" s="46"/>
      <c r="S9" s="46"/>
    </row>
    <row r="10" spans="1:20" s="4" customFormat="1" ht="15.75" x14ac:dyDescent="0.25">
      <c r="A10" s="9">
        <v>42010</v>
      </c>
      <c r="B10" s="10">
        <v>282224.39</v>
      </c>
      <c r="C10" s="10">
        <v>0</v>
      </c>
      <c r="D10" s="10">
        <v>197495.19</v>
      </c>
      <c r="E10" s="10">
        <v>4695.34</v>
      </c>
      <c r="F10" s="11">
        <f t="shared" si="0"/>
        <v>80033.860000000015</v>
      </c>
      <c r="G10" s="15">
        <f>451.25+49000+30582</f>
        <v>80033.25</v>
      </c>
      <c r="H10" s="25" t="s">
        <v>9</v>
      </c>
      <c r="I10" s="15">
        <f t="shared" si="1"/>
        <v>-0.61000000001513399</v>
      </c>
      <c r="J10" s="15"/>
      <c r="K10" s="46" t="s">
        <v>96</v>
      </c>
      <c r="L10" s="46"/>
      <c r="M10" s="46"/>
      <c r="N10" s="46"/>
      <c r="O10" s="46"/>
      <c r="P10" s="46"/>
      <c r="Q10" s="46"/>
    </row>
    <row r="11" spans="1:20" s="4" customFormat="1" ht="15.75" x14ac:dyDescent="0.25">
      <c r="A11" s="9">
        <v>42011</v>
      </c>
      <c r="B11" s="10">
        <v>282749.21999999997</v>
      </c>
      <c r="C11" s="10">
        <v>0</v>
      </c>
      <c r="D11" s="10">
        <v>65899.45</v>
      </c>
      <c r="E11" s="10">
        <v>2458.04</v>
      </c>
      <c r="F11" s="11">
        <f t="shared" si="0"/>
        <v>214391.72999999995</v>
      </c>
      <c r="G11" s="15">
        <f>80000+90000+44391</f>
        <v>214391</v>
      </c>
      <c r="H11" s="25" t="s">
        <v>9</v>
      </c>
      <c r="I11" s="15">
        <f t="shared" si="1"/>
        <v>-0.72999999995226972</v>
      </c>
      <c r="J11" s="15"/>
    </row>
    <row r="12" spans="1:20" s="4" customFormat="1" ht="15.75" x14ac:dyDescent="0.25">
      <c r="A12" s="9">
        <v>42012</v>
      </c>
      <c r="B12" s="10">
        <v>328006.71999999997</v>
      </c>
      <c r="C12" s="10">
        <f>6104+12522.6</f>
        <v>18626.599999999999</v>
      </c>
      <c r="D12" s="10">
        <v>253799.34</v>
      </c>
      <c r="E12" s="10">
        <v>5325.75</v>
      </c>
      <c r="F12" s="11">
        <f t="shared" si="0"/>
        <v>87508.229999999952</v>
      </c>
      <c r="G12" s="15">
        <f>35000+33882+18626</f>
        <v>87508</v>
      </c>
      <c r="H12" s="25" t="s">
        <v>9</v>
      </c>
      <c r="I12" s="15">
        <f t="shared" si="1"/>
        <v>-0.22999999995226972</v>
      </c>
      <c r="J12" s="15"/>
      <c r="K12" s="46" t="s">
        <v>97</v>
      </c>
      <c r="L12" s="46"/>
      <c r="M12" s="46"/>
      <c r="N12" s="46"/>
      <c r="O12" s="46"/>
    </row>
    <row r="13" spans="1:20" s="4" customFormat="1" ht="15.75" x14ac:dyDescent="0.25">
      <c r="A13" s="9">
        <v>42013</v>
      </c>
      <c r="B13" s="10">
        <v>446819.91</v>
      </c>
      <c r="C13" s="10">
        <v>0</v>
      </c>
      <c r="D13" s="10">
        <v>295782.93</v>
      </c>
      <c r="E13" s="10">
        <v>35643.5</v>
      </c>
      <c r="F13" s="11">
        <f t="shared" si="0"/>
        <v>115393.47999999998</v>
      </c>
      <c r="G13" s="15">
        <f>31548+4503+10761.5+41581+27000</f>
        <v>115393.5</v>
      </c>
      <c r="H13" s="25" t="s">
        <v>9</v>
      </c>
      <c r="I13" s="15">
        <f t="shared" si="1"/>
        <v>2.0000000018626451E-2</v>
      </c>
      <c r="J13" s="15"/>
      <c r="K13" s="46" t="s">
        <v>98</v>
      </c>
      <c r="L13" s="46"/>
      <c r="M13" s="46"/>
      <c r="N13" s="46"/>
      <c r="O13" s="46"/>
      <c r="P13" s="46"/>
      <c r="Q13" s="46"/>
    </row>
    <row r="14" spans="1:20" s="4" customFormat="1" ht="15.75" x14ac:dyDescent="0.25">
      <c r="A14" s="9">
        <v>42014</v>
      </c>
      <c r="B14" s="10">
        <v>451930.41</v>
      </c>
      <c r="C14" s="10">
        <v>0</v>
      </c>
      <c r="D14" s="10">
        <v>262957.06</v>
      </c>
      <c r="E14" s="10">
        <v>141588.4</v>
      </c>
      <c r="F14" s="11">
        <f t="shared" si="0"/>
        <v>47384.949999999983</v>
      </c>
      <c r="G14" s="15">
        <f>8000+6355.15+33030</f>
        <v>47385.15</v>
      </c>
      <c r="H14" s="25" t="s">
        <v>9</v>
      </c>
      <c r="I14" s="15">
        <f t="shared" si="1"/>
        <v>0.20000000001891749</v>
      </c>
      <c r="J14" s="15"/>
      <c r="K14" s="46" t="s">
        <v>99</v>
      </c>
      <c r="L14" s="46"/>
      <c r="M14" s="81"/>
      <c r="N14" s="81"/>
      <c r="O14" s="81"/>
      <c r="P14" s="81"/>
      <c r="Q14" s="81"/>
      <c r="R14" s="46"/>
      <c r="S14" s="46"/>
    </row>
    <row r="15" spans="1:20" s="4" customFormat="1" ht="15.75" x14ac:dyDescent="0.25">
      <c r="A15" s="9">
        <v>42015</v>
      </c>
      <c r="B15" s="10">
        <v>279234.43</v>
      </c>
      <c r="C15" s="10">
        <v>0</v>
      </c>
      <c r="D15" s="10">
        <v>253559.26</v>
      </c>
      <c r="E15" s="10">
        <v>2248</v>
      </c>
      <c r="F15" s="11">
        <f t="shared" si="0"/>
        <v>23427.169999999984</v>
      </c>
      <c r="G15" s="15">
        <f>23427</f>
        <v>23427</v>
      </c>
      <c r="H15" s="25" t="s">
        <v>9</v>
      </c>
      <c r="I15" s="15">
        <f t="shared" si="1"/>
        <v>-0.16999999998370185</v>
      </c>
      <c r="J15" s="15"/>
      <c r="K15" s="46" t="s">
        <v>100</v>
      </c>
      <c r="L15" s="46"/>
      <c r="M15" s="81"/>
      <c r="N15" s="81"/>
      <c r="O15" s="81"/>
      <c r="P15" s="81"/>
      <c r="Q15" s="46"/>
      <c r="R15" s="46"/>
      <c r="S15" s="46"/>
      <c r="T15" s="46"/>
    </row>
    <row r="16" spans="1:20" s="4" customFormat="1" ht="15.75" x14ac:dyDescent="0.25">
      <c r="A16" s="9">
        <v>42016</v>
      </c>
      <c r="B16" s="10">
        <v>356740.79</v>
      </c>
      <c r="C16" s="10">
        <v>0</v>
      </c>
      <c r="D16" s="10">
        <v>239043.61</v>
      </c>
      <c r="E16" s="10">
        <v>11051</v>
      </c>
      <c r="F16" s="11">
        <f t="shared" si="0"/>
        <v>106646.18</v>
      </c>
      <c r="G16" s="15">
        <f>13717+18857+18591+35480+20000</f>
        <v>106645</v>
      </c>
      <c r="H16" s="25" t="s">
        <v>9</v>
      </c>
      <c r="I16" s="15">
        <f t="shared" si="1"/>
        <v>-1.1799999999930151</v>
      </c>
      <c r="J16" s="15"/>
      <c r="K16" s="46" t="s">
        <v>105</v>
      </c>
      <c r="L16" s="46"/>
      <c r="M16" s="46"/>
      <c r="N16" s="46"/>
    </row>
    <row r="17" spans="1:40" s="4" customFormat="1" ht="15.75" x14ac:dyDescent="0.25">
      <c r="A17" s="9">
        <v>42017</v>
      </c>
      <c r="B17" s="10">
        <v>242341.14</v>
      </c>
      <c r="C17" s="10">
        <v>0</v>
      </c>
      <c r="D17" s="10">
        <v>206470.74</v>
      </c>
      <c r="E17" s="10">
        <v>7905.34</v>
      </c>
      <c r="F17" s="11">
        <f t="shared" si="0"/>
        <v>27965.060000000023</v>
      </c>
      <c r="G17" s="15">
        <v>27965</v>
      </c>
      <c r="H17" s="25" t="s">
        <v>9</v>
      </c>
      <c r="I17" s="15">
        <f t="shared" si="1"/>
        <v>-6.0000000023137545E-2</v>
      </c>
      <c r="J17" s="15"/>
      <c r="K17" s="46" t="s">
        <v>106</v>
      </c>
      <c r="L17" s="46"/>
      <c r="M17" s="46"/>
      <c r="N17" s="46"/>
      <c r="O17" s="46"/>
      <c r="P17" s="46"/>
      <c r="Q17" s="46"/>
      <c r="R17" s="46"/>
    </row>
    <row r="18" spans="1:40" s="4" customFormat="1" ht="15.75" x14ac:dyDescent="0.25">
      <c r="A18" s="9">
        <v>42018</v>
      </c>
      <c r="B18" s="10">
        <v>327388.61</v>
      </c>
      <c r="C18" s="10">
        <v>0</v>
      </c>
      <c r="D18" s="10">
        <v>154216.44</v>
      </c>
      <c r="E18" s="10">
        <v>3671.72</v>
      </c>
      <c r="F18" s="11">
        <f t="shared" si="0"/>
        <v>169500.44999999998</v>
      </c>
      <c r="G18" s="15">
        <f>30000+50000+65000+24500</f>
        <v>169500</v>
      </c>
      <c r="H18" s="25" t="s">
        <v>9</v>
      </c>
      <c r="I18" s="15">
        <f t="shared" si="1"/>
        <v>-0.4499999999825377</v>
      </c>
      <c r="J18" s="15"/>
      <c r="K18" s="46" t="s">
        <v>107</v>
      </c>
      <c r="L18" s="46"/>
      <c r="M18" s="46"/>
      <c r="N18" s="46"/>
      <c r="O18" s="46"/>
      <c r="P18" s="46"/>
    </row>
    <row r="19" spans="1:40" s="4" customFormat="1" ht="15.75" x14ac:dyDescent="0.25">
      <c r="A19" s="9">
        <v>42019</v>
      </c>
      <c r="B19" s="10">
        <v>354759.41</v>
      </c>
      <c r="C19" s="10">
        <v>0</v>
      </c>
      <c r="D19" s="10">
        <v>310818.7</v>
      </c>
      <c r="E19" s="10">
        <v>5468</v>
      </c>
      <c r="F19" s="11">
        <f t="shared" si="0"/>
        <v>38472.709999999963</v>
      </c>
      <c r="G19" s="15">
        <f>4800+33672</f>
        <v>38472</v>
      </c>
      <c r="H19" s="25" t="s">
        <v>9</v>
      </c>
      <c r="I19" s="15">
        <f t="shared" si="1"/>
        <v>-0.7099999999627471</v>
      </c>
      <c r="J19" s="15"/>
      <c r="K19" s="46" t="s">
        <v>108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</row>
    <row r="20" spans="1:40" s="4" customFormat="1" ht="15.75" x14ac:dyDescent="0.25">
      <c r="A20" s="9">
        <v>42020</v>
      </c>
      <c r="B20" s="10">
        <v>468234.62</v>
      </c>
      <c r="C20" s="10">
        <v>0</v>
      </c>
      <c r="D20" s="10">
        <v>401948.96</v>
      </c>
      <c r="E20" s="10">
        <v>19196.830000000002</v>
      </c>
      <c r="F20" s="11">
        <f t="shared" si="0"/>
        <v>47088.829999999973</v>
      </c>
      <c r="G20" s="15">
        <f>35621+11267.85</f>
        <v>46888.85</v>
      </c>
      <c r="H20" s="42"/>
      <c r="I20" s="15">
        <f t="shared" si="1"/>
        <v>-199.9799999999741</v>
      </c>
      <c r="J20" s="15"/>
      <c r="K20" s="39" t="s">
        <v>109</v>
      </c>
      <c r="M20" s="46"/>
      <c r="N20" s="46"/>
      <c r="O20" s="46"/>
      <c r="P20" s="46"/>
      <c r="Q20" s="46"/>
      <c r="R20" s="46"/>
      <c r="S20" s="46"/>
      <c r="T20" s="46"/>
    </row>
    <row r="21" spans="1:40" s="4" customFormat="1" ht="15.75" x14ac:dyDescent="0.25">
      <c r="A21" s="9">
        <v>42021</v>
      </c>
      <c r="B21" s="10">
        <v>474587.75</v>
      </c>
      <c r="C21" s="10">
        <v>0</v>
      </c>
      <c r="D21" s="10">
        <v>298031.07</v>
      </c>
      <c r="E21" s="10">
        <v>138029</v>
      </c>
      <c r="F21" s="11">
        <f t="shared" si="0"/>
        <v>38527.679999999993</v>
      </c>
      <c r="G21" s="15">
        <v>38527</v>
      </c>
      <c r="H21" s="25" t="s">
        <v>9</v>
      </c>
      <c r="I21" s="15">
        <f t="shared" si="1"/>
        <v>-0.67999999999301508</v>
      </c>
      <c r="J21" s="15"/>
      <c r="K21" s="46" t="s">
        <v>114</v>
      </c>
    </row>
    <row r="22" spans="1:40" s="4" customFormat="1" ht="15.75" x14ac:dyDescent="0.25">
      <c r="A22" s="9">
        <v>42022</v>
      </c>
      <c r="B22" s="10">
        <v>251069.87</v>
      </c>
      <c r="C22" s="10">
        <v>0</v>
      </c>
      <c r="D22" s="10">
        <v>217317.5</v>
      </c>
      <c r="E22" s="10">
        <v>1980</v>
      </c>
      <c r="F22" s="11">
        <f t="shared" si="0"/>
        <v>31772.369999999995</v>
      </c>
      <c r="G22" s="15">
        <v>31772</v>
      </c>
      <c r="H22" s="25" t="s">
        <v>9</v>
      </c>
      <c r="I22" s="15">
        <f t="shared" si="1"/>
        <v>-0.36999999999534339</v>
      </c>
      <c r="J22" s="15"/>
      <c r="K22" s="46" t="s">
        <v>88</v>
      </c>
      <c r="S22" s="69"/>
      <c r="T22" s="69"/>
      <c r="U22" s="69"/>
    </row>
    <row r="23" spans="1:40" s="4" customFormat="1" ht="15.75" x14ac:dyDescent="0.25">
      <c r="A23" s="9">
        <v>42023</v>
      </c>
      <c r="B23" s="10">
        <v>315335.74</v>
      </c>
      <c r="C23" s="10">
        <v>0</v>
      </c>
      <c r="D23" s="10">
        <v>240119.86</v>
      </c>
      <c r="E23" s="10">
        <v>13693.2</v>
      </c>
      <c r="F23" s="11">
        <f t="shared" si="0"/>
        <v>61522.680000000008</v>
      </c>
      <c r="G23" s="15">
        <f>18300+10390+32832</f>
        <v>61522</v>
      </c>
      <c r="H23" s="25" t="s">
        <v>9</v>
      </c>
      <c r="I23" s="15">
        <f t="shared" si="1"/>
        <v>-0.680000000007567</v>
      </c>
      <c r="J23" s="15" t="s">
        <v>124</v>
      </c>
      <c r="K23" s="4" t="s">
        <v>131</v>
      </c>
      <c r="O23" s="69"/>
      <c r="P23" s="69"/>
      <c r="Q23" s="69"/>
      <c r="R23" s="69"/>
      <c r="S23" s="69"/>
      <c r="T23" s="69"/>
      <c r="U23" s="69"/>
    </row>
    <row r="24" spans="1:40" s="4" customFormat="1" ht="15.75" x14ac:dyDescent="0.25">
      <c r="A24" s="9">
        <v>42024</v>
      </c>
      <c r="B24" s="10">
        <v>252278.73</v>
      </c>
      <c r="C24" s="10">
        <v>0</v>
      </c>
      <c r="D24" s="10">
        <v>202587.45</v>
      </c>
      <c r="E24" s="10">
        <v>2223.67</v>
      </c>
      <c r="F24" s="11">
        <f t="shared" si="0"/>
        <v>47467.61</v>
      </c>
      <c r="G24" s="15">
        <f>11343+1288.64+34836</f>
        <v>47467.64</v>
      </c>
      <c r="H24" s="25" t="s">
        <v>9</v>
      </c>
      <c r="I24" s="15">
        <f t="shared" si="1"/>
        <v>2.9999999998835847E-2</v>
      </c>
      <c r="J24" s="15" t="s">
        <v>102</v>
      </c>
      <c r="K24" s="4" t="s">
        <v>110</v>
      </c>
      <c r="M24" s="46"/>
      <c r="N24" s="46"/>
      <c r="O24" s="46"/>
      <c r="P24" s="91"/>
      <c r="Q24" s="91"/>
      <c r="R24" s="91"/>
      <c r="S24" s="91"/>
      <c r="T24" s="91"/>
      <c r="U24" s="91"/>
    </row>
    <row r="25" spans="1:40" s="4" customFormat="1" ht="15.75" x14ac:dyDescent="0.25">
      <c r="A25" s="9">
        <v>42025</v>
      </c>
      <c r="B25" s="10">
        <v>264562.06</v>
      </c>
      <c r="C25" s="10">
        <v>0</v>
      </c>
      <c r="D25" s="10">
        <v>215057.6</v>
      </c>
      <c r="E25" s="10">
        <v>7077</v>
      </c>
      <c r="F25" s="11">
        <f t="shared" si="0"/>
        <v>42427.459999999992</v>
      </c>
      <c r="G25" s="15">
        <v>42427.5</v>
      </c>
      <c r="H25" s="25" t="s">
        <v>9</v>
      </c>
      <c r="I25" s="15">
        <f t="shared" si="1"/>
        <v>4.0000000008149073E-2</v>
      </c>
      <c r="J25" s="15" t="s">
        <v>90</v>
      </c>
      <c r="K25" s="4" t="s">
        <v>103</v>
      </c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6"/>
      <c r="Z25" s="86"/>
      <c r="AA25" s="86"/>
      <c r="AB25" s="86"/>
      <c r="AC25" s="86"/>
      <c r="AD25" s="86"/>
      <c r="AE25" s="86"/>
    </row>
    <row r="26" spans="1:40" s="4" customFormat="1" ht="15.75" x14ac:dyDescent="0.25">
      <c r="A26" s="9">
        <v>42026</v>
      </c>
      <c r="B26" s="10">
        <v>322749.34999999998</v>
      </c>
      <c r="C26" s="10">
        <v>0</v>
      </c>
      <c r="D26" s="10">
        <v>284893.57</v>
      </c>
      <c r="E26" s="10">
        <v>2023.96</v>
      </c>
      <c r="F26" s="11">
        <f t="shared" si="0"/>
        <v>35831.819999999971</v>
      </c>
      <c r="G26" s="15">
        <f>5380+30452</f>
        <v>35832</v>
      </c>
      <c r="H26" s="25" t="s">
        <v>9</v>
      </c>
      <c r="I26" s="15">
        <f t="shared" si="1"/>
        <v>0.18000000002939487</v>
      </c>
      <c r="J26" s="4" t="s">
        <v>122</v>
      </c>
      <c r="K26" s="4" t="s">
        <v>104</v>
      </c>
      <c r="M26" s="70"/>
      <c r="N26" s="70"/>
      <c r="O26" s="70"/>
      <c r="P26" s="83"/>
      <c r="Q26" s="83"/>
      <c r="R26" s="83"/>
      <c r="S26" s="83"/>
      <c r="T26" s="84"/>
      <c r="U26" s="84"/>
      <c r="V26" s="84"/>
      <c r="W26" s="76"/>
      <c r="X26" s="76"/>
      <c r="Y26" s="76"/>
      <c r="Z26" s="76"/>
      <c r="AA26" s="51"/>
      <c r="AB26" s="51"/>
      <c r="AC26" s="51"/>
      <c r="AD26" s="85"/>
      <c r="AE26" s="85"/>
      <c r="AF26" s="85"/>
      <c r="AG26" s="85"/>
      <c r="AH26" s="86"/>
      <c r="AI26" s="86"/>
      <c r="AJ26" s="86"/>
      <c r="AK26" s="86"/>
      <c r="AL26" s="87"/>
      <c r="AM26" s="87"/>
      <c r="AN26" s="87"/>
    </row>
    <row r="27" spans="1:40" s="4" customFormat="1" ht="15.75" x14ac:dyDescent="0.25">
      <c r="A27" s="9">
        <v>42027</v>
      </c>
      <c r="B27" s="10">
        <v>425506.86</v>
      </c>
      <c r="C27" s="10">
        <v>0</v>
      </c>
      <c r="D27" s="10">
        <v>365245.54</v>
      </c>
      <c r="E27" s="10">
        <v>22643</v>
      </c>
      <c r="F27" s="11">
        <f t="shared" si="0"/>
        <v>37618.320000000007</v>
      </c>
      <c r="G27" s="15">
        <v>37618</v>
      </c>
      <c r="H27" s="25" t="s">
        <v>9</v>
      </c>
      <c r="I27" s="15">
        <f t="shared" si="1"/>
        <v>-0.32000000000698492</v>
      </c>
      <c r="J27" s="15" t="s">
        <v>123</v>
      </c>
      <c r="K27" s="4" t="s">
        <v>101</v>
      </c>
      <c r="M27" s="87"/>
      <c r="N27" s="87"/>
      <c r="O27" s="87"/>
      <c r="P27" s="87"/>
    </row>
    <row r="28" spans="1:40" s="4" customFormat="1" ht="15.75" x14ac:dyDescent="0.25">
      <c r="A28" s="9">
        <v>42028</v>
      </c>
      <c r="B28" s="10">
        <v>438555.88</v>
      </c>
      <c r="C28" s="10">
        <v>0</v>
      </c>
      <c r="D28" s="10">
        <v>320490</v>
      </c>
      <c r="E28" s="10">
        <v>87941</v>
      </c>
      <c r="F28" s="11">
        <f t="shared" si="0"/>
        <v>30124.880000000005</v>
      </c>
      <c r="G28" s="15">
        <v>30124</v>
      </c>
      <c r="H28" s="25" t="s">
        <v>9</v>
      </c>
      <c r="I28" s="15">
        <f t="shared" si="1"/>
        <v>-0.88000000000465661</v>
      </c>
      <c r="J28" s="4" t="s">
        <v>111</v>
      </c>
      <c r="K28" s="4" t="s">
        <v>143</v>
      </c>
      <c r="M28" s="74"/>
      <c r="N28" s="74"/>
      <c r="O28" s="74"/>
      <c r="P28" s="74"/>
      <c r="Q28" s="74"/>
      <c r="R28" s="74"/>
      <c r="S28" s="24"/>
      <c r="T28" s="24"/>
      <c r="U28" s="24"/>
    </row>
    <row r="29" spans="1:40" s="4" customFormat="1" ht="15.75" x14ac:dyDescent="0.25">
      <c r="A29" s="9">
        <v>42029</v>
      </c>
      <c r="B29" s="10">
        <v>259335.66</v>
      </c>
      <c r="C29" s="10">
        <v>0</v>
      </c>
      <c r="D29" s="10">
        <v>62654.39</v>
      </c>
      <c r="E29" s="10">
        <v>2585</v>
      </c>
      <c r="F29" s="11">
        <f t="shared" si="0"/>
        <v>194096.27000000002</v>
      </c>
      <c r="G29" s="15">
        <f>5335+27762+41000+120000</f>
        <v>194097</v>
      </c>
      <c r="H29" s="25" t="s">
        <v>9</v>
      </c>
      <c r="I29" s="15">
        <f t="shared" si="1"/>
        <v>0.72999999998137355</v>
      </c>
      <c r="J29" s="15" t="s">
        <v>112</v>
      </c>
      <c r="K29" s="4" t="s">
        <v>130</v>
      </c>
      <c r="M29" s="24"/>
      <c r="N29" s="24"/>
      <c r="O29" s="24"/>
      <c r="P29" s="24"/>
      <c r="Q29" s="24"/>
      <c r="R29" s="24"/>
    </row>
    <row r="30" spans="1:40" s="4" customFormat="1" ht="15.75" x14ac:dyDescent="0.25">
      <c r="A30" s="9">
        <v>42030</v>
      </c>
      <c r="B30" s="10">
        <v>249893.48</v>
      </c>
      <c r="C30" s="10">
        <v>0</v>
      </c>
      <c r="D30" s="10">
        <v>6111.9</v>
      </c>
      <c r="E30" s="10">
        <v>1776</v>
      </c>
      <c r="F30" s="11">
        <f t="shared" si="0"/>
        <v>242005.58000000002</v>
      </c>
      <c r="G30" s="15">
        <f>31505+130000+35000+45500</f>
        <v>242005</v>
      </c>
      <c r="H30" s="25" t="s">
        <v>9</v>
      </c>
      <c r="I30" s="15">
        <f t="shared" si="1"/>
        <v>-0.58000000001629815</v>
      </c>
      <c r="J30" s="15" t="s">
        <v>113</v>
      </c>
    </row>
    <row r="31" spans="1:40" s="4" customFormat="1" ht="15.75" x14ac:dyDescent="0.25">
      <c r="A31" s="9">
        <v>42031</v>
      </c>
      <c r="B31" s="10">
        <v>254353.56</v>
      </c>
      <c r="C31" s="10">
        <v>0</v>
      </c>
      <c r="D31" s="10">
        <v>17812.099999999999</v>
      </c>
      <c r="E31" s="10">
        <v>2351.5</v>
      </c>
      <c r="F31" s="11">
        <f t="shared" si="0"/>
        <v>234189.96</v>
      </c>
      <c r="G31" s="15">
        <f>18266.7+28923+70000+94000+23000</f>
        <v>234189.7</v>
      </c>
      <c r="H31" s="25" t="s">
        <v>9</v>
      </c>
      <c r="I31" s="15">
        <f t="shared" si="1"/>
        <v>-0.2599999999802094</v>
      </c>
      <c r="J31" s="15" t="s">
        <v>113</v>
      </c>
    </row>
    <row r="32" spans="1:40" s="4" customFormat="1" ht="15.75" x14ac:dyDescent="0.25">
      <c r="A32" s="9">
        <v>42032</v>
      </c>
      <c r="B32" s="10">
        <v>278543.45</v>
      </c>
      <c r="C32" s="10">
        <v>0</v>
      </c>
      <c r="D32" s="10">
        <v>67435.5</v>
      </c>
      <c r="E32" s="10">
        <v>11422.94</v>
      </c>
      <c r="F32" s="11">
        <f t="shared" si="0"/>
        <v>199685.01</v>
      </c>
      <c r="G32" s="15">
        <f>14685+35000+50000+100000</f>
        <v>199685</v>
      </c>
      <c r="H32" s="25" t="s">
        <v>9</v>
      </c>
      <c r="I32" s="15">
        <f t="shared" si="1"/>
        <v>-1.0000000009313226E-2</v>
      </c>
      <c r="J32" s="15" t="s">
        <v>113</v>
      </c>
    </row>
    <row r="33" spans="1:11" s="4" customFormat="1" ht="15.75" x14ac:dyDescent="0.25">
      <c r="A33" s="9">
        <v>42033</v>
      </c>
      <c r="B33" s="10">
        <v>304707.38</v>
      </c>
      <c r="C33" s="10">
        <v>0</v>
      </c>
      <c r="D33" s="10">
        <v>6543.62</v>
      </c>
      <c r="E33" s="10">
        <v>2404.23</v>
      </c>
      <c r="F33" s="11">
        <f t="shared" si="0"/>
        <v>295759.53000000003</v>
      </c>
      <c r="G33" s="15">
        <f>2214.92+6000+70000+80000+31844+30000+75700</f>
        <v>295758.92</v>
      </c>
      <c r="H33" s="25" t="s">
        <v>9</v>
      </c>
      <c r="I33" s="15">
        <f t="shared" si="1"/>
        <v>-0.61000000004423782</v>
      </c>
      <c r="J33" s="15" t="s">
        <v>113</v>
      </c>
    </row>
    <row r="34" spans="1:11" s="4" customFormat="1" ht="15.75" x14ac:dyDescent="0.25">
      <c r="A34" s="9">
        <v>42034</v>
      </c>
      <c r="B34" s="10">
        <v>441734.92</v>
      </c>
      <c r="C34" s="10">
        <v>0</v>
      </c>
      <c r="D34" s="10">
        <v>78432.58</v>
      </c>
      <c r="E34" s="10">
        <v>15386.78</v>
      </c>
      <c r="F34" s="11">
        <f t="shared" si="0"/>
        <v>347915.55999999994</v>
      </c>
      <c r="G34" s="15">
        <f>50000+150000+85000+32000+30915</f>
        <v>347915</v>
      </c>
      <c r="H34" s="25" t="s">
        <v>9</v>
      </c>
      <c r="I34" s="15">
        <f t="shared" si="1"/>
        <v>-0.55999999993946403</v>
      </c>
      <c r="J34" s="15" t="s">
        <v>113</v>
      </c>
    </row>
    <row r="35" spans="1:11" s="4" customFormat="1" ht="15.75" x14ac:dyDescent="0.25">
      <c r="A35" s="9">
        <v>42035</v>
      </c>
      <c r="B35" s="10">
        <v>502599.18</v>
      </c>
      <c r="C35" s="10">
        <v>0</v>
      </c>
      <c r="D35" s="10">
        <v>106091.45</v>
      </c>
      <c r="E35" s="10">
        <v>155282.20000000001</v>
      </c>
      <c r="F35" s="11">
        <f t="shared" si="0"/>
        <v>241225.52999999997</v>
      </c>
      <c r="G35" s="15">
        <f>4491.75+140000+20440+31293+45000</f>
        <v>241224.75</v>
      </c>
      <c r="H35" s="25" t="s">
        <v>9</v>
      </c>
      <c r="I35" s="15">
        <f t="shared" si="1"/>
        <v>-0.77999999996973202</v>
      </c>
      <c r="J35" s="15" t="s">
        <v>113</v>
      </c>
      <c r="K35" s="4" t="s">
        <v>125</v>
      </c>
    </row>
    <row r="36" spans="1:11" s="4" customFormat="1" ht="15.75" x14ac:dyDescent="0.25">
      <c r="A36" s="9"/>
      <c r="B36" s="10"/>
      <c r="C36" s="10"/>
      <c r="D36" s="10"/>
      <c r="E36" s="10"/>
      <c r="F36" s="11">
        <f t="shared" si="0"/>
        <v>0</v>
      </c>
      <c r="G36" s="15"/>
      <c r="H36" s="25"/>
      <c r="I36" s="15">
        <f t="shared" si="1"/>
        <v>0</v>
      </c>
      <c r="J36" s="15"/>
    </row>
    <row r="37" spans="1:11" s="4" customFormat="1" ht="15.75" x14ac:dyDescent="0.25">
      <c r="A37" s="9"/>
      <c r="B37" s="10"/>
      <c r="C37" s="10"/>
      <c r="D37" s="10"/>
      <c r="E37" s="10"/>
      <c r="F37" s="11">
        <f t="shared" si="0"/>
        <v>0</v>
      </c>
      <c r="G37" s="15"/>
      <c r="J37" s="15"/>
    </row>
    <row r="38" spans="1:11" s="4" customFormat="1" ht="15.75" x14ac:dyDescent="0.25">
      <c r="A38" s="14"/>
      <c r="B38" s="13"/>
      <c r="C38" s="10"/>
      <c r="D38" s="10"/>
      <c r="E38" s="10"/>
      <c r="F38" s="11">
        <f t="shared" si="0"/>
        <v>0</v>
      </c>
      <c r="G38" s="15"/>
      <c r="J38" s="15"/>
    </row>
    <row r="39" spans="1:11" s="4" customFormat="1" ht="15.75" x14ac:dyDescent="0.25">
      <c r="A39" s="14"/>
      <c r="B39" s="10"/>
      <c r="C39" s="10"/>
      <c r="D39" s="10"/>
      <c r="E39" s="10"/>
      <c r="F39" s="11">
        <f t="shared" si="0"/>
        <v>0</v>
      </c>
      <c r="G39" s="15"/>
      <c r="J39" s="15"/>
    </row>
    <row r="40" spans="1:11" s="4" customFormat="1" ht="15.75" x14ac:dyDescent="0.25">
      <c r="A40" s="14"/>
      <c r="B40" s="10">
        <f>SUM(B5:B39)</f>
        <v>10508965.450000001</v>
      </c>
      <c r="C40" s="10">
        <f>SUM(C5:C39)</f>
        <v>18626.599999999999</v>
      </c>
      <c r="D40" s="10"/>
      <c r="E40" s="10">
        <f>SUM(E5:E39)</f>
        <v>883960.11999999988</v>
      </c>
      <c r="F40" s="11">
        <f t="shared" si="0"/>
        <v>9643631.9300000016</v>
      </c>
      <c r="G40" s="15"/>
      <c r="J40" s="15"/>
    </row>
    <row r="42" spans="1:11" ht="18.75" x14ac:dyDescent="0.3">
      <c r="B42" s="275" t="s">
        <v>59</v>
      </c>
      <c r="C42" s="275"/>
      <c r="D42" s="275"/>
      <c r="E42" s="275"/>
      <c r="F42" s="275"/>
      <c r="G42" s="275"/>
    </row>
    <row r="44" spans="1:11" s="4" customFormat="1" ht="16.5" thickBot="1" x14ac:dyDescent="0.3">
      <c r="A44" s="19" t="s">
        <v>0</v>
      </c>
      <c r="B44" s="20" t="s">
        <v>1</v>
      </c>
      <c r="C44" s="67" t="s">
        <v>58</v>
      </c>
      <c r="D44" s="8" t="s">
        <v>3</v>
      </c>
      <c r="E44" s="21" t="s">
        <v>2</v>
      </c>
      <c r="F44" s="22" t="s">
        <v>4</v>
      </c>
      <c r="G44" s="27" t="s">
        <v>8</v>
      </c>
    </row>
    <row r="45" spans="1:11" s="4" customFormat="1" ht="16.5" thickTop="1" x14ac:dyDescent="0.25">
      <c r="A45" s="9">
        <v>42036</v>
      </c>
      <c r="B45" s="10">
        <v>278949.65999999997</v>
      </c>
      <c r="C45" s="10">
        <v>9677</v>
      </c>
      <c r="D45" s="10">
        <v>11658.69</v>
      </c>
      <c r="E45" s="10">
        <v>920</v>
      </c>
      <c r="F45" s="11">
        <f>B45+C45-D45-E45</f>
        <v>276047.96999999997</v>
      </c>
      <c r="G45" s="15">
        <f>31371+60000+65000+110000+9677</f>
        <v>276048</v>
      </c>
      <c r="H45" s="25" t="s">
        <v>9</v>
      </c>
      <c r="I45" s="15">
        <f>G45-F45</f>
        <v>3.0000000027939677E-2</v>
      </c>
      <c r="J45" s="15" t="s">
        <v>133</v>
      </c>
    </row>
    <row r="46" spans="1:11" s="4" customFormat="1" ht="15.75" x14ac:dyDescent="0.25">
      <c r="A46" s="9">
        <v>42037</v>
      </c>
      <c r="B46" s="10">
        <v>308299.21000000002</v>
      </c>
      <c r="C46" s="10">
        <v>0</v>
      </c>
      <c r="D46" s="10">
        <v>6348.9</v>
      </c>
      <c r="E46" s="10">
        <v>6066.32</v>
      </c>
      <c r="F46" s="11">
        <f t="shared" ref="F46:F80" si="2">B46+C46-D46-E46</f>
        <v>295883.99</v>
      </c>
      <c r="G46" s="15">
        <f>80000+20000+50000+50000+60000+35884</f>
        <v>295884</v>
      </c>
      <c r="H46" s="25" t="s">
        <v>9</v>
      </c>
      <c r="I46" s="15">
        <f t="shared" ref="I46:I76" si="3">G46-F46</f>
        <v>1.0000000009313226E-2</v>
      </c>
      <c r="J46" s="15" t="s">
        <v>133</v>
      </c>
    </row>
    <row r="47" spans="1:11" s="4" customFormat="1" ht="15.75" x14ac:dyDescent="0.25">
      <c r="A47" s="9">
        <v>42038</v>
      </c>
      <c r="B47" s="10">
        <v>234106</v>
      </c>
      <c r="C47" s="10">
        <v>0</v>
      </c>
      <c r="D47" s="10">
        <v>9404.92</v>
      </c>
      <c r="E47" s="10">
        <v>1506.5</v>
      </c>
      <c r="F47" s="11">
        <f t="shared" si="2"/>
        <v>223194.58</v>
      </c>
      <c r="G47" s="15">
        <f>2860+30000+35334.5+50000+105000</f>
        <v>223194.5</v>
      </c>
      <c r="H47" s="25" t="s">
        <v>9</v>
      </c>
      <c r="I47" s="15">
        <f t="shared" si="3"/>
        <v>-7.9999999987194315E-2</v>
      </c>
      <c r="J47" s="15" t="s">
        <v>133</v>
      </c>
    </row>
    <row r="48" spans="1:11" s="4" customFormat="1" ht="15.75" x14ac:dyDescent="0.25">
      <c r="A48" s="9">
        <v>42039</v>
      </c>
      <c r="B48" s="10">
        <v>357500.56</v>
      </c>
      <c r="C48" s="10">
        <v>0</v>
      </c>
      <c r="D48" s="10">
        <v>4149.3</v>
      </c>
      <c r="E48" s="10">
        <v>4318</v>
      </c>
      <c r="F48" s="11">
        <f t="shared" si="2"/>
        <v>349033.26</v>
      </c>
      <c r="G48" s="15">
        <f>13304+20858+40000+45000+45000+60000+60000+14311+35560+15000</f>
        <v>349033</v>
      </c>
      <c r="H48" s="25" t="s">
        <v>9</v>
      </c>
      <c r="I48" s="15">
        <f t="shared" si="3"/>
        <v>-0.26000000000931323</v>
      </c>
      <c r="J48" s="15" t="s">
        <v>133</v>
      </c>
    </row>
    <row r="49" spans="1:14" s="4" customFormat="1" ht="15.75" x14ac:dyDescent="0.25">
      <c r="A49" s="9">
        <v>42040</v>
      </c>
      <c r="B49" s="10">
        <v>287028.09999999998</v>
      </c>
      <c r="C49" s="10">
        <v>0</v>
      </c>
      <c r="D49" s="10">
        <v>24914.65</v>
      </c>
      <c r="E49" s="10">
        <v>2784.95</v>
      </c>
      <c r="F49" s="11">
        <f t="shared" si="2"/>
        <v>259328.49999999997</v>
      </c>
      <c r="G49" s="15">
        <f>37328+65000+70000+15000+72000</f>
        <v>259328</v>
      </c>
      <c r="H49" s="25" t="s">
        <v>9</v>
      </c>
      <c r="I49" s="15">
        <f t="shared" si="3"/>
        <v>-0.49999999997089617</v>
      </c>
      <c r="J49" s="15" t="s">
        <v>133</v>
      </c>
    </row>
    <row r="50" spans="1:14" s="4" customFormat="1" ht="15.75" x14ac:dyDescent="0.25">
      <c r="A50" s="9">
        <v>42041</v>
      </c>
      <c r="B50" s="10">
        <v>449847.81</v>
      </c>
      <c r="C50" s="10">
        <v>0</v>
      </c>
      <c r="D50" s="10">
        <v>53445.52</v>
      </c>
      <c r="E50" s="10">
        <v>23217.35</v>
      </c>
      <c r="F50" s="11">
        <f t="shared" si="2"/>
        <v>373184.94</v>
      </c>
      <c r="G50" s="15">
        <f>28185+70000+45000+100000+130000</f>
        <v>373185</v>
      </c>
      <c r="H50" s="25" t="s">
        <v>9</v>
      </c>
      <c r="I50" s="15">
        <f t="shared" si="3"/>
        <v>5.9999999997671694E-2</v>
      </c>
      <c r="J50" s="15" t="s">
        <v>133</v>
      </c>
    </row>
    <row r="51" spans="1:14" s="4" customFormat="1" ht="15.75" x14ac:dyDescent="0.25">
      <c r="A51" s="9">
        <v>42042</v>
      </c>
      <c r="B51" s="10">
        <v>388040.75</v>
      </c>
      <c r="C51" s="10">
        <v>0</v>
      </c>
      <c r="D51" s="10">
        <v>102460.6</v>
      </c>
      <c r="E51" s="10">
        <v>110708.1</v>
      </c>
      <c r="F51" s="11">
        <f t="shared" si="2"/>
        <v>174872.05000000002</v>
      </c>
      <c r="G51" s="15">
        <f>70000+80000+24871</f>
        <v>174871</v>
      </c>
      <c r="H51" s="25" t="s">
        <v>9</v>
      </c>
      <c r="I51" s="15">
        <f t="shared" si="3"/>
        <v>-1.0500000000174623</v>
      </c>
      <c r="J51" s="15" t="s">
        <v>133</v>
      </c>
      <c r="L51" s="4" t="s">
        <v>134</v>
      </c>
    </row>
    <row r="52" spans="1:14" s="4" customFormat="1" ht="15.75" x14ac:dyDescent="0.25">
      <c r="A52" s="9">
        <v>42043</v>
      </c>
      <c r="B52" s="10">
        <v>273259.08</v>
      </c>
      <c r="C52" s="10">
        <v>0</v>
      </c>
      <c r="D52" s="10">
        <v>35725.93</v>
      </c>
      <c r="E52" s="10">
        <v>920</v>
      </c>
      <c r="F52" s="11">
        <f t="shared" si="2"/>
        <v>236613.15000000002</v>
      </c>
      <c r="G52" s="15">
        <f>27613+64000+65000+80000</f>
        <v>236613</v>
      </c>
      <c r="H52" s="25" t="s">
        <v>9</v>
      </c>
      <c r="I52" s="15">
        <f t="shared" si="3"/>
        <v>-0.15000000002328306</v>
      </c>
      <c r="J52" s="15" t="s">
        <v>133</v>
      </c>
    </row>
    <row r="53" spans="1:14" s="4" customFormat="1" ht="15.75" x14ac:dyDescent="0.25">
      <c r="A53" s="9">
        <v>42044</v>
      </c>
      <c r="B53" s="10">
        <v>261796.58</v>
      </c>
      <c r="C53" s="10">
        <v>0</v>
      </c>
      <c r="D53" s="10">
        <v>10796.22</v>
      </c>
      <c r="E53" s="10">
        <v>3738</v>
      </c>
      <c r="F53" s="11">
        <f t="shared" si="2"/>
        <v>247262.36</v>
      </c>
      <c r="G53" s="15">
        <f>29865+1513.25+30000+50000+63000+23884+49000</f>
        <v>247262.25</v>
      </c>
      <c r="H53" s="25" t="s">
        <v>9</v>
      </c>
      <c r="I53" s="15">
        <f t="shared" si="3"/>
        <v>-0.10999999998603016</v>
      </c>
      <c r="J53" s="15" t="s">
        <v>133</v>
      </c>
    </row>
    <row r="54" spans="1:14" s="4" customFormat="1" ht="15.75" x14ac:dyDescent="0.25">
      <c r="A54" s="9">
        <v>42045</v>
      </c>
      <c r="B54" s="10">
        <v>269412.99</v>
      </c>
      <c r="C54" s="10">
        <v>0</v>
      </c>
      <c r="D54" s="10">
        <v>3017.07</v>
      </c>
      <c r="E54" s="10">
        <v>2538.4499999999998</v>
      </c>
      <c r="F54" s="11">
        <f t="shared" si="2"/>
        <v>263857.46999999997</v>
      </c>
      <c r="G54" s="15">
        <f>20000+75000+23857.5+15000+130000</f>
        <v>263857.5</v>
      </c>
      <c r="H54" s="25" t="s">
        <v>9</v>
      </c>
      <c r="I54" s="15">
        <f t="shared" si="3"/>
        <v>3.0000000027939677E-2</v>
      </c>
      <c r="J54" s="15" t="s">
        <v>133</v>
      </c>
    </row>
    <row r="55" spans="1:14" s="4" customFormat="1" ht="15.75" x14ac:dyDescent="0.25">
      <c r="A55" s="9">
        <v>42046</v>
      </c>
      <c r="B55" s="10">
        <v>248453.17</v>
      </c>
      <c r="C55" s="10">
        <v>0</v>
      </c>
      <c r="D55" s="10">
        <v>9793</v>
      </c>
      <c r="E55" s="10">
        <v>7206.56</v>
      </c>
      <c r="F55" s="11">
        <f t="shared" si="2"/>
        <v>231453.61000000002</v>
      </c>
      <c r="G55" s="15">
        <f>45000+45000+65000+26453+50000</f>
        <v>231453</v>
      </c>
      <c r="H55" s="25" t="s">
        <v>9</v>
      </c>
      <c r="I55" s="15">
        <f t="shared" si="3"/>
        <v>-0.61000000001513399</v>
      </c>
      <c r="J55" s="15" t="s">
        <v>133</v>
      </c>
    </row>
    <row r="56" spans="1:14" s="4" customFormat="1" ht="15.75" x14ac:dyDescent="0.25">
      <c r="A56" s="9">
        <v>42047</v>
      </c>
      <c r="B56" s="10">
        <v>313976.49</v>
      </c>
      <c r="C56" s="10">
        <v>0</v>
      </c>
      <c r="D56" s="10">
        <v>38168.03</v>
      </c>
      <c r="E56" s="10">
        <v>4110</v>
      </c>
      <c r="F56" s="11">
        <f t="shared" si="2"/>
        <v>271698.45999999996</v>
      </c>
      <c r="G56" s="15">
        <f>24698+80000+167800+200</f>
        <v>272698</v>
      </c>
      <c r="H56" s="25" t="s">
        <v>9</v>
      </c>
      <c r="I56" s="15">
        <f t="shared" si="3"/>
        <v>999.54000000003725</v>
      </c>
      <c r="J56" s="15"/>
      <c r="K56" s="60" t="s">
        <v>206</v>
      </c>
      <c r="L56" s="60"/>
    </row>
    <row r="57" spans="1:14" s="4" customFormat="1" ht="15.75" x14ac:dyDescent="0.25">
      <c r="A57" s="9">
        <v>42048</v>
      </c>
      <c r="B57" s="10">
        <v>508715.86</v>
      </c>
      <c r="C57" s="10">
        <v>0</v>
      </c>
      <c r="D57" s="10">
        <v>30574.46</v>
      </c>
      <c r="E57" s="10">
        <v>19390.599999999999</v>
      </c>
      <c r="F57" s="11">
        <f t="shared" si="2"/>
        <v>458750.8</v>
      </c>
      <c r="G57" s="15">
        <f>26700+80000+100000+105000+85000+57000+4620+431</f>
        <v>458751</v>
      </c>
      <c r="H57" s="25" t="s">
        <v>9</v>
      </c>
      <c r="I57" s="15">
        <f t="shared" si="3"/>
        <v>0.20000000001164153</v>
      </c>
      <c r="J57" s="15"/>
    </row>
    <row r="58" spans="1:14" s="4" customFormat="1" ht="15.75" x14ac:dyDescent="0.25">
      <c r="A58" s="9">
        <v>42049</v>
      </c>
      <c r="B58" s="10">
        <v>446416.18</v>
      </c>
      <c r="C58" s="10">
        <v>0</v>
      </c>
      <c r="D58" s="10">
        <v>73481.42</v>
      </c>
      <c r="E58" s="10">
        <v>97663.9</v>
      </c>
      <c r="F58" s="11">
        <f t="shared" si="2"/>
        <v>275270.86</v>
      </c>
      <c r="G58" s="15">
        <f>24250+41000+80000+70000+60000+200+20</f>
        <v>275470</v>
      </c>
      <c r="H58" s="25" t="s">
        <v>9</v>
      </c>
      <c r="I58" s="15">
        <f t="shared" si="3"/>
        <v>199.14000000001397</v>
      </c>
      <c r="J58" s="15"/>
      <c r="K58" s="60" t="s">
        <v>207</v>
      </c>
      <c r="L58" s="60" t="s">
        <v>146</v>
      </c>
      <c r="M58" s="60"/>
      <c r="N58" s="60"/>
    </row>
    <row r="59" spans="1:14" s="4" customFormat="1" ht="15.75" x14ac:dyDescent="0.25">
      <c r="A59" s="9">
        <v>42050</v>
      </c>
      <c r="B59" s="10">
        <v>317695.53999999998</v>
      </c>
      <c r="C59" s="10">
        <v>0</v>
      </c>
      <c r="D59" s="10">
        <v>5223.6899999999996</v>
      </c>
      <c r="E59" s="10">
        <v>1479</v>
      </c>
      <c r="F59" s="11">
        <f t="shared" si="2"/>
        <v>310992.84999999998</v>
      </c>
      <c r="G59" s="15">
        <f>22993+80000+115000+93000</f>
        <v>310993</v>
      </c>
      <c r="H59" s="25" t="s">
        <v>9</v>
      </c>
      <c r="I59" s="15">
        <f t="shared" si="3"/>
        <v>0.15000000002328306</v>
      </c>
      <c r="J59" s="15" t="s">
        <v>133</v>
      </c>
    </row>
    <row r="60" spans="1:14" s="4" customFormat="1" ht="15.75" x14ac:dyDescent="0.25">
      <c r="A60" s="9">
        <v>42051</v>
      </c>
      <c r="B60" s="10">
        <v>270134.8</v>
      </c>
      <c r="C60" s="10">
        <v>0</v>
      </c>
      <c r="D60" s="10">
        <v>9432.59</v>
      </c>
      <c r="E60" s="10">
        <v>5040</v>
      </c>
      <c r="F60" s="11">
        <f t="shared" si="2"/>
        <v>255662.21</v>
      </c>
      <c r="G60" s="15">
        <f>7156.5+22505+80000+80000+66000</f>
        <v>255661.5</v>
      </c>
      <c r="H60" s="25" t="s">
        <v>9</v>
      </c>
      <c r="I60" s="15">
        <f t="shared" si="3"/>
        <v>-0.70999999999185093</v>
      </c>
      <c r="J60" s="15" t="s">
        <v>133</v>
      </c>
    </row>
    <row r="61" spans="1:14" s="4" customFormat="1" ht="15.75" x14ac:dyDescent="0.25">
      <c r="A61" s="9">
        <v>42052</v>
      </c>
      <c r="B61" s="10">
        <v>361739.72</v>
      </c>
      <c r="C61" s="10">
        <v>0</v>
      </c>
      <c r="D61" s="10">
        <v>14448.31</v>
      </c>
      <c r="E61" s="10">
        <v>3074</v>
      </c>
      <c r="F61" s="11">
        <f t="shared" si="2"/>
        <v>344217.41</v>
      </c>
      <c r="G61" s="15">
        <f>80627+68085+22005.5+85000+56000+32500</f>
        <v>344217.5</v>
      </c>
      <c r="H61" s="25" t="s">
        <v>9</v>
      </c>
      <c r="I61" s="15">
        <f t="shared" si="3"/>
        <v>9.0000000025611371E-2</v>
      </c>
      <c r="J61" s="15" t="s">
        <v>133</v>
      </c>
    </row>
    <row r="62" spans="1:14" s="4" customFormat="1" ht="15.75" x14ac:dyDescent="0.25">
      <c r="A62" s="9">
        <v>42053</v>
      </c>
      <c r="B62" s="10">
        <v>306606.21000000002</v>
      </c>
      <c r="C62" s="10">
        <v>0</v>
      </c>
      <c r="D62" s="10">
        <v>8302.4500000000007</v>
      </c>
      <c r="E62" s="10">
        <v>585</v>
      </c>
      <c r="F62" s="11">
        <f t="shared" si="2"/>
        <v>297718.76</v>
      </c>
      <c r="G62" s="15">
        <f>61850+10315+51000+60000+60000+30000+24553</f>
        <v>297718</v>
      </c>
      <c r="H62" s="25" t="s">
        <v>9</v>
      </c>
      <c r="I62" s="15">
        <f t="shared" si="3"/>
        <v>-0.76000000000931323</v>
      </c>
      <c r="J62" s="15" t="s">
        <v>133</v>
      </c>
    </row>
    <row r="63" spans="1:14" s="4" customFormat="1" ht="15.75" x14ac:dyDescent="0.25">
      <c r="A63" s="9">
        <v>42054</v>
      </c>
      <c r="B63" s="10">
        <v>422458.92</v>
      </c>
      <c r="C63" s="10">
        <v>0</v>
      </c>
      <c r="D63" s="10">
        <v>12357.34</v>
      </c>
      <c r="E63" s="10">
        <f>7120+6781</f>
        <v>13901</v>
      </c>
      <c r="F63" s="11">
        <f t="shared" si="2"/>
        <v>396200.57999999996</v>
      </c>
      <c r="G63" s="15">
        <f>608+83185+55000+90000+40000+19396+108000</f>
        <v>396189</v>
      </c>
      <c r="H63" s="25" t="s">
        <v>9</v>
      </c>
      <c r="I63" s="15">
        <f t="shared" si="3"/>
        <v>-11.57999999995809</v>
      </c>
      <c r="J63" s="15" t="s">
        <v>133</v>
      </c>
      <c r="K63" s="4" t="s">
        <v>204</v>
      </c>
    </row>
    <row r="64" spans="1:14" s="4" customFormat="1" ht="15.75" x14ac:dyDescent="0.25">
      <c r="A64" s="9">
        <v>42055</v>
      </c>
      <c r="B64" s="10">
        <v>373710.51</v>
      </c>
      <c r="C64" s="10">
        <v>0</v>
      </c>
      <c r="D64" s="10">
        <v>97691.64</v>
      </c>
      <c r="E64" s="10">
        <v>19561.68</v>
      </c>
      <c r="F64" s="11">
        <f t="shared" si="2"/>
        <v>256457.19</v>
      </c>
      <c r="G64" s="15">
        <f>25457+40000+67000+80000+20000+24000</f>
        <v>256457</v>
      </c>
      <c r="H64" s="25" t="s">
        <v>9</v>
      </c>
      <c r="I64" s="15">
        <f t="shared" si="3"/>
        <v>-0.19000000000232831</v>
      </c>
      <c r="J64" s="15" t="s">
        <v>133</v>
      </c>
    </row>
    <row r="65" spans="1:12" s="4" customFormat="1" ht="15.75" x14ac:dyDescent="0.25">
      <c r="A65" s="9">
        <v>42056</v>
      </c>
      <c r="B65" s="10">
        <v>460821.35</v>
      </c>
      <c r="C65" s="10">
        <v>0</v>
      </c>
      <c r="D65" s="10">
        <v>116740.51</v>
      </c>
      <c r="E65" s="10">
        <f>90787+490</f>
        <v>91277</v>
      </c>
      <c r="F65" s="11">
        <f t="shared" si="2"/>
        <v>252803.83999999997</v>
      </c>
      <c r="G65" s="15">
        <f>6580+70000+78000+24223+74000</f>
        <v>252803</v>
      </c>
      <c r="H65" s="25" t="s">
        <v>9</v>
      </c>
      <c r="I65" s="15">
        <f t="shared" si="3"/>
        <v>-0.83999999996740371</v>
      </c>
      <c r="J65" s="15" t="s">
        <v>133</v>
      </c>
      <c r="K65" s="4" t="s">
        <v>147</v>
      </c>
    </row>
    <row r="66" spans="1:12" s="4" customFormat="1" ht="15.75" x14ac:dyDescent="0.25">
      <c r="A66" s="9">
        <v>42057</v>
      </c>
      <c r="B66" s="10">
        <v>252589.58</v>
      </c>
      <c r="C66" s="10">
        <v>0</v>
      </c>
      <c r="D66" s="10">
        <v>10503.08</v>
      </c>
      <c r="E66" s="10">
        <v>930</v>
      </c>
      <c r="F66" s="11">
        <f t="shared" si="2"/>
        <v>241156.5</v>
      </c>
      <c r="G66" s="15">
        <f>21356.5+60000+70000+90000</f>
        <v>241356.5</v>
      </c>
      <c r="H66" s="25" t="s">
        <v>9</v>
      </c>
      <c r="I66" s="15">
        <f t="shared" si="3"/>
        <v>200</v>
      </c>
      <c r="J66" s="15" t="s">
        <v>133</v>
      </c>
      <c r="K66" s="60" t="s">
        <v>142</v>
      </c>
      <c r="L66" s="60"/>
    </row>
    <row r="67" spans="1:12" s="4" customFormat="1" ht="15.75" x14ac:dyDescent="0.25">
      <c r="A67" s="9">
        <v>42058</v>
      </c>
      <c r="B67" s="10">
        <v>250427.76</v>
      </c>
      <c r="C67" s="10">
        <v>0</v>
      </c>
      <c r="D67" s="10">
        <v>10785.97</v>
      </c>
      <c r="E67" s="10">
        <v>5152.49</v>
      </c>
      <c r="F67" s="11">
        <f t="shared" si="2"/>
        <v>234489.30000000002</v>
      </c>
      <c r="G67" s="15">
        <f>773+50000+50000+65000+46000+22516</f>
        <v>234289</v>
      </c>
      <c r="H67" s="25" t="s">
        <v>9</v>
      </c>
      <c r="I67" s="15">
        <f t="shared" si="3"/>
        <v>-200.30000000001746</v>
      </c>
      <c r="J67" s="15" t="s">
        <v>133</v>
      </c>
      <c r="K67" s="60" t="s">
        <v>144</v>
      </c>
      <c r="L67" s="60"/>
    </row>
    <row r="68" spans="1:12" s="4" customFormat="1" ht="15.75" x14ac:dyDescent="0.25">
      <c r="A68" s="9">
        <v>42059</v>
      </c>
      <c r="B68" s="10">
        <v>198004.06</v>
      </c>
      <c r="C68" s="10">
        <v>0</v>
      </c>
      <c r="D68" s="10">
        <v>2380.8000000000002</v>
      </c>
      <c r="E68" s="10">
        <f>54252.06+5000+18381.16</f>
        <v>77633.22</v>
      </c>
      <c r="F68" s="11">
        <f t="shared" si="2"/>
        <v>117990.04000000001</v>
      </c>
      <c r="G68" s="15">
        <f>22990+95000</f>
        <v>117990</v>
      </c>
      <c r="H68" s="25" t="s">
        <v>9</v>
      </c>
      <c r="I68" s="15">
        <f t="shared" si="3"/>
        <v>-4.0000000008149073E-2</v>
      </c>
      <c r="J68" s="15" t="s">
        <v>133</v>
      </c>
    </row>
    <row r="69" spans="1:12" s="4" customFormat="1" ht="15.75" x14ac:dyDescent="0.25">
      <c r="A69" s="9">
        <v>42060</v>
      </c>
      <c r="B69" s="10">
        <v>327318.39</v>
      </c>
      <c r="C69" s="10">
        <v>0</v>
      </c>
      <c r="D69" s="10">
        <v>18553.96</v>
      </c>
      <c r="E69" s="10">
        <v>2711.91</v>
      </c>
      <c r="F69" s="11">
        <f t="shared" si="2"/>
        <v>306052.52</v>
      </c>
      <c r="G69" s="15">
        <f>40000+50000+98500+8056+2409.5+28087+20000+59000</f>
        <v>306052.5</v>
      </c>
      <c r="H69" s="25" t="s">
        <v>9</v>
      </c>
      <c r="I69" s="15">
        <f t="shared" si="3"/>
        <v>-2.0000000018626451E-2</v>
      </c>
      <c r="J69" s="15" t="s">
        <v>133</v>
      </c>
    </row>
    <row r="70" spans="1:12" s="4" customFormat="1" ht="15.75" x14ac:dyDescent="0.25">
      <c r="A70" s="9">
        <v>42061</v>
      </c>
      <c r="B70" s="10">
        <v>229504.1</v>
      </c>
      <c r="C70" s="10">
        <v>0</v>
      </c>
      <c r="D70" s="10">
        <v>12004.84</v>
      </c>
      <c r="E70" s="10">
        <v>4669.99</v>
      </c>
      <c r="F70" s="11">
        <f t="shared" si="2"/>
        <v>212829.27000000002</v>
      </c>
      <c r="G70" s="15">
        <f>23829+50000+57000+82000</f>
        <v>212829</v>
      </c>
      <c r="H70" s="25" t="s">
        <v>9</v>
      </c>
      <c r="I70" s="15">
        <f t="shared" si="3"/>
        <v>-0.27000000001862645</v>
      </c>
      <c r="J70" s="15" t="s">
        <v>133</v>
      </c>
    </row>
    <row r="71" spans="1:12" s="4" customFormat="1" ht="15.75" x14ac:dyDescent="0.25">
      <c r="A71" s="9">
        <v>42062</v>
      </c>
      <c r="B71" s="10">
        <v>419851.99</v>
      </c>
      <c r="C71" s="10">
        <v>0</v>
      </c>
      <c r="D71" s="10">
        <v>23999.54</v>
      </c>
      <c r="E71" s="10">
        <v>28372</v>
      </c>
      <c r="F71" s="11">
        <f t="shared" si="2"/>
        <v>367480.45</v>
      </c>
      <c r="G71" s="15">
        <f>75000+80000+100000+5060.7+26420+81000</f>
        <v>367480.7</v>
      </c>
      <c r="H71" s="25" t="s">
        <v>9</v>
      </c>
      <c r="I71" s="15">
        <f t="shared" si="3"/>
        <v>0.25</v>
      </c>
      <c r="J71" s="15" t="s">
        <v>133</v>
      </c>
    </row>
    <row r="72" spans="1:12" s="4" customFormat="1" ht="15.75" x14ac:dyDescent="0.25">
      <c r="A72" s="9">
        <v>42063</v>
      </c>
      <c r="B72" s="10">
        <v>453268.8</v>
      </c>
      <c r="C72" s="10">
        <v>0</v>
      </c>
      <c r="D72" s="10">
        <v>89254.67</v>
      </c>
      <c r="E72" s="10">
        <v>102463.66</v>
      </c>
      <c r="F72" s="11">
        <f t="shared" si="2"/>
        <v>261550.47</v>
      </c>
      <c r="G72" s="15">
        <f>40000+40000+25550+75000+81000</f>
        <v>261550</v>
      </c>
      <c r="H72" s="25" t="s">
        <v>9</v>
      </c>
      <c r="I72" s="15">
        <f t="shared" si="3"/>
        <v>-0.47000000000116415</v>
      </c>
      <c r="J72" s="15" t="s">
        <v>133</v>
      </c>
      <c r="K72" s="4" t="s">
        <v>157</v>
      </c>
    </row>
    <row r="73" spans="1:12" s="4" customFormat="1" ht="15.75" x14ac:dyDescent="0.25">
      <c r="A73" s="9"/>
      <c r="B73" s="10"/>
      <c r="C73" s="10"/>
      <c r="D73" s="10"/>
      <c r="E73" s="10"/>
      <c r="F73" s="11">
        <f t="shared" si="2"/>
        <v>0</v>
      </c>
      <c r="G73" s="15"/>
      <c r="H73" s="25"/>
      <c r="I73" s="15">
        <f t="shared" si="3"/>
        <v>0</v>
      </c>
      <c r="J73" s="15"/>
    </row>
    <row r="74" spans="1:12" s="4" customFormat="1" ht="15.75" x14ac:dyDescent="0.25">
      <c r="A74" s="9"/>
      <c r="B74" s="10"/>
      <c r="C74" s="10"/>
      <c r="D74" s="10"/>
      <c r="E74" s="10"/>
      <c r="F74" s="11">
        <f t="shared" si="2"/>
        <v>0</v>
      </c>
      <c r="G74" s="15"/>
      <c r="H74" s="189" t="s">
        <v>9</v>
      </c>
      <c r="I74" s="15">
        <f t="shared" si="3"/>
        <v>0</v>
      </c>
      <c r="J74" s="15"/>
    </row>
    <row r="75" spans="1:12" s="4" customFormat="1" ht="15.75" x14ac:dyDescent="0.25">
      <c r="A75" s="9"/>
      <c r="B75" s="10"/>
      <c r="C75" s="10"/>
      <c r="D75" s="10"/>
      <c r="E75" s="10"/>
      <c r="F75" s="11">
        <f t="shared" si="2"/>
        <v>0</v>
      </c>
      <c r="G75" s="15"/>
      <c r="H75" s="25"/>
      <c r="I75" s="15">
        <f t="shared" si="3"/>
        <v>0</v>
      </c>
      <c r="J75" s="15"/>
    </row>
    <row r="76" spans="1:12" s="4" customFormat="1" ht="15.75" x14ac:dyDescent="0.25">
      <c r="A76" s="9"/>
      <c r="B76" s="10"/>
      <c r="C76" s="10"/>
      <c r="D76" s="10"/>
      <c r="E76" s="10"/>
      <c r="F76" s="11">
        <f t="shared" si="2"/>
        <v>0</v>
      </c>
      <c r="G76" s="15"/>
      <c r="H76" s="25"/>
      <c r="I76" s="15">
        <f t="shared" si="3"/>
        <v>0</v>
      </c>
      <c r="J76" s="15"/>
    </row>
    <row r="77" spans="1:12" s="4" customFormat="1" ht="15.75" x14ac:dyDescent="0.25">
      <c r="A77" s="14"/>
      <c r="B77" s="10"/>
      <c r="C77" s="10"/>
      <c r="D77" s="10"/>
      <c r="E77" s="10"/>
      <c r="F77" s="11">
        <f t="shared" si="2"/>
        <v>0</v>
      </c>
      <c r="G77" s="15"/>
      <c r="J77" s="15"/>
    </row>
    <row r="78" spans="1:12" s="4" customFormat="1" ht="15.75" x14ac:dyDescent="0.25">
      <c r="A78" s="14"/>
      <c r="B78" s="13"/>
      <c r="C78" s="10"/>
      <c r="D78" s="10"/>
      <c r="E78" s="10"/>
      <c r="F78" s="11">
        <f t="shared" si="2"/>
        <v>0</v>
      </c>
      <c r="G78" s="15"/>
      <c r="J78" s="15"/>
    </row>
    <row r="79" spans="1:12" s="4" customFormat="1" ht="15.75" x14ac:dyDescent="0.25">
      <c r="A79" s="14"/>
      <c r="B79" s="10"/>
      <c r="C79" s="10"/>
      <c r="D79" s="10"/>
      <c r="E79" s="10"/>
      <c r="F79" s="11">
        <f t="shared" si="2"/>
        <v>0</v>
      </c>
      <c r="G79" s="15"/>
      <c r="J79" s="15"/>
    </row>
    <row r="80" spans="1:12" s="4" customFormat="1" ht="15.75" x14ac:dyDescent="0.25">
      <c r="A80" s="14"/>
      <c r="B80" s="10">
        <f>SUM(B45:B79)</f>
        <v>9269934.1699999999</v>
      </c>
      <c r="C80" s="10">
        <f>SUM(C45:C79)</f>
        <v>9677</v>
      </c>
      <c r="D80" s="10"/>
      <c r="E80" s="10">
        <f>SUM(E45:E79)</f>
        <v>641939.68000000005</v>
      </c>
      <c r="F80" s="11">
        <f t="shared" si="2"/>
        <v>8637671.4900000002</v>
      </c>
      <c r="G80" s="15"/>
      <c r="J80" s="15"/>
    </row>
    <row r="82" spans="1:11" ht="18.75" x14ac:dyDescent="0.3">
      <c r="B82" s="275" t="s">
        <v>60</v>
      </c>
      <c r="C82" s="275"/>
      <c r="D82" s="275"/>
      <c r="E82" s="275"/>
      <c r="F82" s="275"/>
      <c r="G82" s="275"/>
    </row>
    <row r="84" spans="1:11" s="4" customFormat="1" ht="16.5" thickBot="1" x14ac:dyDescent="0.3">
      <c r="A84" s="19" t="s">
        <v>0</v>
      </c>
      <c r="B84" s="20" t="s">
        <v>1</v>
      </c>
      <c r="C84" s="67" t="s">
        <v>58</v>
      </c>
      <c r="D84" s="8" t="s">
        <v>3</v>
      </c>
      <c r="E84" s="21" t="s">
        <v>2</v>
      </c>
      <c r="F84" s="22" t="s">
        <v>4</v>
      </c>
      <c r="G84" s="27" t="s">
        <v>8</v>
      </c>
    </row>
    <row r="85" spans="1:11" s="4" customFormat="1" ht="16.5" thickTop="1" x14ac:dyDescent="0.25">
      <c r="A85" s="9">
        <v>42064</v>
      </c>
      <c r="B85" s="10">
        <v>243495.22</v>
      </c>
      <c r="C85" s="10">
        <v>0</v>
      </c>
      <c r="D85" s="10">
        <v>25166.25</v>
      </c>
      <c r="E85" s="10">
        <v>2736.33</v>
      </c>
      <c r="F85" s="11">
        <f>B85+C85-D85-E85</f>
        <v>215592.64</v>
      </c>
      <c r="G85" s="15">
        <f>22592+78000+90000+25000</f>
        <v>215592</v>
      </c>
      <c r="H85" s="25" t="s">
        <v>9</v>
      </c>
      <c r="I85" s="15">
        <f>G85-F85</f>
        <v>-0.64000000001396984</v>
      </c>
      <c r="J85" s="15" t="s">
        <v>192</v>
      </c>
    </row>
    <row r="86" spans="1:11" s="4" customFormat="1" ht="15.75" x14ac:dyDescent="0.25">
      <c r="A86" s="9">
        <v>42065</v>
      </c>
      <c r="B86" s="10">
        <v>519075.96</v>
      </c>
      <c r="C86" s="10">
        <v>0</v>
      </c>
      <c r="D86" s="10">
        <v>11789.99</v>
      </c>
      <c r="E86" s="10">
        <v>3226</v>
      </c>
      <c r="F86" s="11">
        <f t="shared" ref="F86:F120" si="4">B86+C86-D86-E86</f>
        <v>504059.97000000003</v>
      </c>
      <c r="G86" s="15">
        <f>22833+20000+110000+45000+87500+4629+203000+11097.88</f>
        <v>504059.88</v>
      </c>
      <c r="H86" s="25" t="s">
        <v>9</v>
      </c>
      <c r="I86" s="15">
        <f t="shared" ref="I86:I116" si="5">G86-F86</f>
        <v>-9.0000000025611371E-2</v>
      </c>
      <c r="J86" s="15" t="s">
        <v>192</v>
      </c>
    </row>
    <row r="87" spans="1:11" s="4" customFormat="1" ht="15.75" x14ac:dyDescent="0.25">
      <c r="A87" s="9">
        <v>42066</v>
      </c>
      <c r="B87" s="10">
        <v>279366.46000000002</v>
      </c>
      <c r="C87" s="10">
        <v>0</v>
      </c>
      <c r="D87" s="10">
        <v>4142.05</v>
      </c>
      <c r="E87" s="10">
        <v>2838.2</v>
      </c>
      <c r="F87" s="11">
        <f t="shared" si="4"/>
        <v>272386.21000000002</v>
      </c>
      <c r="G87" s="15">
        <f>33530+44000+125000+69856.5</f>
        <v>272386.5</v>
      </c>
      <c r="H87" s="25" t="s">
        <v>9</v>
      </c>
      <c r="I87" s="15">
        <f t="shared" si="5"/>
        <v>0.28999999997904524</v>
      </c>
      <c r="J87" s="15" t="s">
        <v>192</v>
      </c>
    </row>
    <row r="88" spans="1:11" s="4" customFormat="1" ht="15.75" x14ac:dyDescent="0.25">
      <c r="A88" s="9">
        <v>42067</v>
      </c>
      <c r="B88" s="10">
        <v>235544.22</v>
      </c>
      <c r="C88" s="10">
        <v>0</v>
      </c>
      <c r="D88" s="10">
        <v>10514.62</v>
      </c>
      <c r="E88" s="10">
        <v>3984.5</v>
      </c>
      <c r="F88" s="11">
        <f t="shared" si="4"/>
        <v>221045.1</v>
      </c>
      <c r="G88" s="15">
        <f>442.5+10000+40000+60000+34000+50000+26602</f>
        <v>221044.5</v>
      </c>
      <c r="H88" s="25" t="s">
        <v>9</v>
      </c>
      <c r="I88" s="15">
        <f t="shared" si="5"/>
        <v>-0.60000000000582077</v>
      </c>
      <c r="J88" s="15" t="s">
        <v>192</v>
      </c>
    </row>
    <row r="89" spans="1:11" s="4" customFormat="1" ht="15.75" x14ac:dyDescent="0.25">
      <c r="A89" s="9">
        <v>42068</v>
      </c>
      <c r="B89" s="10">
        <v>296328.06</v>
      </c>
      <c r="C89" s="10">
        <v>0</v>
      </c>
      <c r="D89" s="10">
        <v>24001.38</v>
      </c>
      <c r="E89" s="10">
        <v>3691.5</v>
      </c>
      <c r="F89" s="11">
        <f t="shared" si="4"/>
        <v>268635.18</v>
      </c>
      <c r="G89" s="15">
        <f>25000+40000+65000+80000+30000+23421+4752.51+461</f>
        <v>268634.51</v>
      </c>
      <c r="H89" s="25" t="s">
        <v>9</v>
      </c>
      <c r="I89" s="15">
        <f t="shared" si="5"/>
        <v>-0.66999999998370185</v>
      </c>
      <c r="J89" s="15" t="s">
        <v>192</v>
      </c>
    </row>
    <row r="90" spans="1:11" s="4" customFormat="1" ht="15.75" x14ac:dyDescent="0.25">
      <c r="A90" s="9">
        <v>42069</v>
      </c>
      <c r="B90" s="10">
        <v>360992.37</v>
      </c>
      <c r="C90" s="10">
        <v>0</v>
      </c>
      <c r="D90" s="10">
        <v>37389.07</v>
      </c>
      <c r="E90" s="10">
        <v>16336.75</v>
      </c>
      <c r="F90" s="11">
        <f t="shared" si="4"/>
        <v>307266.55</v>
      </c>
      <c r="G90" s="15">
        <f>22119+45000+60000+100000+80000+147</f>
        <v>307266</v>
      </c>
      <c r="H90" s="25" t="s">
        <v>9</v>
      </c>
      <c r="I90" s="15">
        <f t="shared" si="5"/>
        <v>-0.54999999998835847</v>
      </c>
      <c r="J90" s="15" t="s">
        <v>192</v>
      </c>
      <c r="K90" s="4" t="s">
        <v>159</v>
      </c>
    </row>
    <row r="91" spans="1:11" s="4" customFormat="1" ht="15.75" x14ac:dyDescent="0.25">
      <c r="A91" s="9">
        <v>42070</v>
      </c>
      <c r="B91" s="10">
        <v>357663.34</v>
      </c>
      <c r="C91" s="10">
        <v>0</v>
      </c>
      <c r="D91" s="10">
        <v>78910.14</v>
      </c>
      <c r="E91" s="10">
        <v>108862.42</v>
      </c>
      <c r="F91" s="11">
        <f t="shared" si="4"/>
        <v>169890.78000000003</v>
      </c>
      <c r="G91" s="15">
        <f>60000+70000+29104+4830+5956.3</f>
        <v>169890.3</v>
      </c>
      <c r="H91" s="25" t="s">
        <v>9</v>
      </c>
      <c r="I91" s="15">
        <f t="shared" si="5"/>
        <v>-0.48000000003958121</v>
      </c>
      <c r="J91" s="15" t="s">
        <v>192</v>
      </c>
      <c r="K91" s="4" t="s">
        <v>161</v>
      </c>
    </row>
    <row r="92" spans="1:11" s="4" customFormat="1" ht="15.75" x14ac:dyDescent="0.25">
      <c r="A92" s="9">
        <v>42071</v>
      </c>
      <c r="B92" s="10">
        <v>376916.22</v>
      </c>
      <c r="C92" s="10">
        <v>0</v>
      </c>
      <c r="D92" s="10">
        <v>22521.17</v>
      </c>
      <c r="E92" s="10">
        <v>5008</v>
      </c>
      <c r="F92" s="11">
        <f t="shared" si="4"/>
        <v>349387.05</v>
      </c>
      <c r="G92" s="15">
        <f>40365+69960+24062+38000+52000+125000</f>
        <v>349387</v>
      </c>
      <c r="H92" s="25" t="s">
        <v>9</v>
      </c>
      <c r="I92" s="15">
        <f t="shared" si="5"/>
        <v>-4.9999999988358468E-2</v>
      </c>
      <c r="J92" s="15" t="s">
        <v>192</v>
      </c>
    </row>
    <row r="93" spans="1:11" s="4" customFormat="1" ht="15.75" x14ac:dyDescent="0.25">
      <c r="A93" s="9">
        <v>42072</v>
      </c>
      <c r="B93" s="10">
        <v>301108.03999999998</v>
      </c>
      <c r="C93" s="10">
        <v>0</v>
      </c>
      <c r="D93" s="10">
        <v>5759.68</v>
      </c>
      <c r="E93" s="10">
        <v>3241</v>
      </c>
      <c r="F93" s="11">
        <f t="shared" si="4"/>
        <v>292107.36</v>
      </c>
      <c r="G93" s="15">
        <f>50541+30000+55000+105000+23000+28566</f>
        <v>292107</v>
      </c>
      <c r="H93" s="25" t="s">
        <v>9</v>
      </c>
      <c r="I93" s="15">
        <f t="shared" si="5"/>
        <v>-0.35999999998603016</v>
      </c>
      <c r="J93" s="15" t="s">
        <v>192</v>
      </c>
    </row>
    <row r="94" spans="1:11" s="4" customFormat="1" ht="15.75" x14ac:dyDescent="0.25">
      <c r="A94" s="9">
        <v>42073</v>
      </c>
      <c r="B94" s="10">
        <v>179785.29</v>
      </c>
      <c r="C94" s="10">
        <v>0</v>
      </c>
      <c r="D94" s="10">
        <v>4379.58</v>
      </c>
      <c r="E94" s="10">
        <v>11822.43</v>
      </c>
      <c r="F94" s="11">
        <f t="shared" si="4"/>
        <v>163583.28000000003</v>
      </c>
      <c r="G94" s="15">
        <f>45000+25583.5+63000+30000</f>
        <v>163583.5</v>
      </c>
      <c r="H94" s="25" t="s">
        <v>9</v>
      </c>
      <c r="I94" s="15">
        <f t="shared" si="5"/>
        <v>0.21999999997206032</v>
      </c>
      <c r="J94" s="15" t="s">
        <v>192</v>
      </c>
    </row>
    <row r="95" spans="1:11" s="4" customFormat="1" ht="15.75" x14ac:dyDescent="0.25">
      <c r="A95" s="9">
        <v>42074</v>
      </c>
      <c r="B95" s="10">
        <v>205508.48000000001</v>
      </c>
      <c r="C95" s="10">
        <v>0</v>
      </c>
      <c r="D95" s="10">
        <v>11355.48</v>
      </c>
      <c r="E95" s="10">
        <v>10303.6</v>
      </c>
      <c r="F95" s="11">
        <f t="shared" si="4"/>
        <v>183849.4</v>
      </c>
      <c r="G95" s="15">
        <f>6580+25000+60000+42000+28770+21500</f>
        <v>183850</v>
      </c>
      <c r="H95" s="25" t="s">
        <v>9</v>
      </c>
      <c r="I95" s="15">
        <f t="shared" si="5"/>
        <v>0.60000000000582077</v>
      </c>
      <c r="J95" s="15" t="s">
        <v>192</v>
      </c>
    </row>
    <row r="96" spans="1:11" s="4" customFormat="1" ht="15.75" x14ac:dyDescent="0.25">
      <c r="A96" s="9">
        <v>42075</v>
      </c>
      <c r="B96" s="10">
        <v>254471.77</v>
      </c>
      <c r="C96" s="10">
        <v>0</v>
      </c>
      <c r="D96" s="10">
        <v>5982</v>
      </c>
      <c r="E96" s="10">
        <v>4278.9250000000002</v>
      </c>
      <c r="F96" s="11">
        <f t="shared" si="4"/>
        <v>244210.845</v>
      </c>
      <c r="G96" s="15">
        <f>23670.08+45000+45000+60000+26540+44000</f>
        <v>244210.08000000002</v>
      </c>
      <c r="H96" s="25" t="s">
        <v>9</v>
      </c>
      <c r="I96" s="15">
        <f t="shared" si="5"/>
        <v>-0.76499999998486601</v>
      </c>
      <c r="J96" s="15" t="s">
        <v>192</v>
      </c>
    </row>
    <row r="97" spans="1:14" s="4" customFormat="1" ht="15.75" x14ac:dyDescent="0.25">
      <c r="A97" s="9">
        <v>42076</v>
      </c>
      <c r="B97" s="10">
        <v>442602.01</v>
      </c>
      <c r="C97" s="10">
        <v>0</v>
      </c>
      <c r="D97" s="10">
        <v>19763.02</v>
      </c>
      <c r="E97" s="10">
        <v>31390.63</v>
      </c>
      <c r="F97" s="11">
        <f t="shared" si="4"/>
        <v>391448.36</v>
      </c>
      <c r="G97" s="15">
        <f>37701+20000+60000+103000+105000+6746.55+59000</f>
        <v>391447.55</v>
      </c>
      <c r="H97" s="25" t="s">
        <v>9</v>
      </c>
      <c r="I97" s="15">
        <f t="shared" si="5"/>
        <v>-0.80999999999767169</v>
      </c>
      <c r="J97" s="15" t="s">
        <v>192</v>
      </c>
    </row>
    <row r="98" spans="1:14" s="4" customFormat="1" ht="15.75" x14ac:dyDescent="0.25">
      <c r="A98" s="9">
        <v>42077</v>
      </c>
      <c r="B98" s="10">
        <v>420051.58</v>
      </c>
      <c r="C98" s="10">
        <v>0</v>
      </c>
      <c r="D98" s="10">
        <v>26068.82</v>
      </c>
      <c r="E98" s="10">
        <v>99117.31</v>
      </c>
      <c r="F98" s="11">
        <f t="shared" si="4"/>
        <v>294865.45</v>
      </c>
      <c r="G98" s="15">
        <f>40000+64000+23000+27865+140000</f>
        <v>294865</v>
      </c>
      <c r="H98" s="25" t="s">
        <v>9</v>
      </c>
      <c r="I98" s="15">
        <f t="shared" si="5"/>
        <v>-0.45000000001164153</v>
      </c>
      <c r="J98" s="15" t="s">
        <v>192</v>
      </c>
      <c r="K98" s="4" t="s">
        <v>166</v>
      </c>
    </row>
    <row r="99" spans="1:14" s="4" customFormat="1" ht="15.75" x14ac:dyDescent="0.25">
      <c r="A99" s="9">
        <v>42078</v>
      </c>
      <c r="B99" s="10">
        <v>205810.56</v>
      </c>
      <c r="C99" s="10">
        <v>0</v>
      </c>
      <c r="D99" s="10">
        <v>4247.4799999999996</v>
      </c>
      <c r="E99" s="10">
        <v>2776.88</v>
      </c>
      <c r="F99" s="11">
        <f t="shared" si="4"/>
        <v>198786.19999999998</v>
      </c>
      <c r="G99" s="15">
        <f>5786+50000+64000+79000</f>
        <v>198786</v>
      </c>
      <c r="H99" s="25" t="s">
        <v>9</v>
      </c>
      <c r="I99" s="15">
        <f t="shared" si="5"/>
        <v>-0.1999999999825377</v>
      </c>
      <c r="J99" s="15" t="s">
        <v>192</v>
      </c>
    </row>
    <row r="100" spans="1:14" s="4" customFormat="1" ht="15.75" x14ac:dyDescent="0.25">
      <c r="A100" s="9">
        <v>42079</v>
      </c>
      <c r="B100" s="10">
        <v>311057.32</v>
      </c>
      <c r="C100" s="10">
        <v>0</v>
      </c>
      <c r="D100" s="10">
        <v>45171.57</v>
      </c>
      <c r="E100" s="10">
        <v>2800</v>
      </c>
      <c r="F100" s="11">
        <f t="shared" si="4"/>
        <v>263085.75</v>
      </c>
      <c r="G100" s="15">
        <f>25565+57500+80000+100000+20</f>
        <v>263085</v>
      </c>
      <c r="H100" s="25" t="s">
        <v>9</v>
      </c>
      <c r="I100" s="15">
        <f t="shared" si="5"/>
        <v>-0.75</v>
      </c>
      <c r="J100" s="15" t="s">
        <v>192</v>
      </c>
    </row>
    <row r="101" spans="1:14" s="4" customFormat="1" ht="15.75" x14ac:dyDescent="0.25">
      <c r="A101" s="9">
        <v>42080</v>
      </c>
      <c r="B101" s="10">
        <v>286940.46999999997</v>
      </c>
      <c r="C101" s="10">
        <v>0</v>
      </c>
      <c r="D101" s="10">
        <v>6578.19</v>
      </c>
      <c r="E101" s="10">
        <v>15190</v>
      </c>
      <c r="F101" s="11">
        <f t="shared" si="4"/>
        <v>265172.27999999997</v>
      </c>
      <c r="G101" s="15">
        <f>15400+23772+75000+60000+50000+41000</f>
        <v>265172</v>
      </c>
      <c r="H101" s="25" t="s">
        <v>9</v>
      </c>
      <c r="I101" s="15">
        <f t="shared" si="5"/>
        <v>-0.27999999996973202</v>
      </c>
      <c r="J101" s="15" t="s">
        <v>192</v>
      </c>
    </row>
    <row r="102" spans="1:14" s="4" customFormat="1" ht="15.75" x14ac:dyDescent="0.25">
      <c r="A102" s="9">
        <v>42081</v>
      </c>
      <c r="B102" s="10">
        <v>294452.64</v>
      </c>
      <c r="C102" s="10">
        <v>0</v>
      </c>
      <c r="D102" s="10">
        <v>84183.95</v>
      </c>
      <c r="E102" s="10">
        <v>94859.66</v>
      </c>
      <c r="F102" s="11">
        <f t="shared" si="4"/>
        <v>115409.03</v>
      </c>
      <c r="G102" s="15">
        <f>25409+60000+30000</f>
        <v>115409</v>
      </c>
      <c r="H102" s="25" t="s">
        <v>9</v>
      </c>
      <c r="I102" s="15">
        <f t="shared" si="5"/>
        <v>-2.9999999998835847E-2</v>
      </c>
      <c r="J102" s="15" t="s">
        <v>192</v>
      </c>
      <c r="L102" s="60" t="s">
        <v>169</v>
      </c>
      <c r="M102" s="60"/>
      <c r="N102" s="60"/>
    </row>
    <row r="103" spans="1:14" s="4" customFormat="1" ht="15.75" x14ac:dyDescent="0.25">
      <c r="A103" s="9">
        <v>42082</v>
      </c>
      <c r="B103" s="10">
        <f>48179.02+175080.32+28455.1</f>
        <v>251714.44</v>
      </c>
      <c r="C103" s="10">
        <v>0</v>
      </c>
      <c r="D103" s="10">
        <v>4575.92</v>
      </c>
      <c r="E103" s="10">
        <v>119404</v>
      </c>
      <c r="F103" s="11">
        <f t="shared" si="4"/>
        <v>127734.51999999999</v>
      </c>
      <c r="G103" s="15">
        <f>34274+65000+28455</f>
        <v>127729</v>
      </c>
      <c r="H103" s="25" t="s">
        <v>9</v>
      </c>
      <c r="I103" s="15">
        <f t="shared" si="5"/>
        <v>-5.5199999999895226</v>
      </c>
      <c r="J103" s="15" t="s">
        <v>192</v>
      </c>
    </row>
    <row r="104" spans="1:14" s="4" customFormat="1" ht="15.75" x14ac:dyDescent="0.25">
      <c r="A104" s="9">
        <v>42083</v>
      </c>
      <c r="B104" s="10">
        <f>36268.16+276688.63+30603.08</f>
        <v>343559.87000000005</v>
      </c>
      <c r="C104" s="10">
        <v>0</v>
      </c>
      <c r="D104" s="10">
        <v>66185.2</v>
      </c>
      <c r="E104" s="10">
        <v>22671</v>
      </c>
      <c r="F104" s="11">
        <f t="shared" si="4"/>
        <v>254703.67000000004</v>
      </c>
      <c r="G104" s="15">
        <f>90000+70000+34100+30000+30603</f>
        <v>254703</v>
      </c>
      <c r="H104" s="25" t="s">
        <v>9</v>
      </c>
      <c r="I104" s="15">
        <f t="shared" si="5"/>
        <v>-0.67000000004190952</v>
      </c>
      <c r="J104" s="15" t="s">
        <v>192</v>
      </c>
    </row>
    <row r="105" spans="1:14" s="4" customFormat="1" ht="15.75" x14ac:dyDescent="0.25">
      <c r="A105" s="9">
        <v>42084</v>
      </c>
      <c r="B105" s="10">
        <v>405278.46</v>
      </c>
      <c r="C105" s="10">
        <v>0</v>
      </c>
      <c r="D105" s="10">
        <v>81252.98</v>
      </c>
      <c r="E105" s="10">
        <v>114840.36</v>
      </c>
      <c r="F105" s="11">
        <f t="shared" si="4"/>
        <v>209185.12000000005</v>
      </c>
      <c r="G105" s="15">
        <f>5412.6+5120+30000+80000+33273.5+55379</f>
        <v>209185.1</v>
      </c>
      <c r="H105" s="25" t="s">
        <v>9</v>
      </c>
      <c r="I105" s="15">
        <f t="shared" si="5"/>
        <v>-2.0000000047730282E-2</v>
      </c>
      <c r="J105" s="15" t="s">
        <v>192</v>
      </c>
      <c r="K105" s="4" t="s">
        <v>171</v>
      </c>
    </row>
    <row r="106" spans="1:14" s="4" customFormat="1" ht="15.75" x14ac:dyDescent="0.25">
      <c r="A106" s="9">
        <v>42085</v>
      </c>
      <c r="B106" s="10">
        <v>236763.89</v>
      </c>
      <c r="C106" s="10">
        <v>0</v>
      </c>
      <c r="D106" s="10">
        <v>7720.28</v>
      </c>
      <c r="E106" s="10">
        <v>1288</v>
      </c>
      <c r="F106" s="11">
        <f t="shared" si="4"/>
        <v>227755.61000000002</v>
      </c>
      <c r="G106" s="15">
        <f>55000+40000+61000+39000+32755</f>
        <v>227755</v>
      </c>
      <c r="H106" s="25" t="s">
        <v>9</v>
      </c>
      <c r="I106" s="15">
        <f t="shared" si="5"/>
        <v>-0.61000000001513399</v>
      </c>
      <c r="J106" s="15" t="s">
        <v>192</v>
      </c>
    </row>
    <row r="107" spans="1:14" s="4" customFormat="1" ht="15.75" x14ac:dyDescent="0.25">
      <c r="A107" s="9">
        <v>42086</v>
      </c>
      <c r="B107" s="10">
        <v>417532.68</v>
      </c>
      <c r="C107" s="10">
        <v>0</v>
      </c>
      <c r="D107" s="10">
        <v>26932.06</v>
      </c>
      <c r="E107" s="10">
        <v>5193.5</v>
      </c>
      <c r="F107" s="11">
        <f t="shared" si="4"/>
        <v>385407.12</v>
      </c>
      <c r="G107" s="15">
        <f>65000+25050+90000+143515+22000+39844</f>
        <v>385409</v>
      </c>
      <c r="H107" s="25" t="s">
        <v>9</v>
      </c>
      <c r="I107" s="15">
        <f t="shared" si="5"/>
        <v>1.8800000000046566</v>
      </c>
      <c r="J107" s="15" t="s">
        <v>192</v>
      </c>
    </row>
    <row r="108" spans="1:14" s="4" customFormat="1" ht="15.75" x14ac:dyDescent="0.25">
      <c r="A108" s="9">
        <v>42087</v>
      </c>
      <c r="B108" s="10">
        <v>218601.2</v>
      </c>
      <c r="C108" s="10">
        <v>0</v>
      </c>
      <c r="D108" s="10">
        <v>11434.5</v>
      </c>
      <c r="E108" s="10">
        <v>11876.7</v>
      </c>
      <c r="F108" s="11">
        <f t="shared" si="4"/>
        <v>195290</v>
      </c>
      <c r="G108" s="15">
        <f>75000+50000+45000+25290</f>
        <v>195290</v>
      </c>
      <c r="H108" s="25" t="s">
        <v>9</v>
      </c>
      <c r="I108" s="15">
        <f t="shared" si="5"/>
        <v>0</v>
      </c>
      <c r="J108" s="15" t="s">
        <v>192</v>
      </c>
    </row>
    <row r="109" spans="1:14" s="4" customFormat="1" ht="15.75" x14ac:dyDescent="0.25">
      <c r="A109" s="9">
        <v>42088</v>
      </c>
      <c r="B109" s="10">
        <v>418525.27</v>
      </c>
      <c r="C109" s="10">
        <v>0</v>
      </c>
      <c r="D109" s="10">
        <v>71656.72</v>
      </c>
      <c r="E109" s="10">
        <v>77513.5</v>
      </c>
      <c r="F109" s="11">
        <f t="shared" si="4"/>
        <v>269355.05000000005</v>
      </c>
      <c r="G109" s="15">
        <f>152581.8+12852.5+38550+23600+13245+28526</f>
        <v>269355.3</v>
      </c>
      <c r="H109" s="25" t="s">
        <v>9</v>
      </c>
      <c r="I109" s="15">
        <f t="shared" si="5"/>
        <v>0.24999999994179234</v>
      </c>
      <c r="J109" s="15" t="s">
        <v>192</v>
      </c>
      <c r="L109" s="4" t="s">
        <v>182</v>
      </c>
    </row>
    <row r="110" spans="1:14" s="4" customFormat="1" ht="15.75" x14ac:dyDescent="0.25">
      <c r="A110" s="9">
        <v>42089</v>
      </c>
      <c r="B110" s="10">
        <v>223550.52</v>
      </c>
      <c r="C110" s="10">
        <v>0</v>
      </c>
      <c r="D110" s="10">
        <v>2396.42</v>
      </c>
      <c r="E110" s="10">
        <v>3727.8</v>
      </c>
      <c r="F110" s="11">
        <f t="shared" si="4"/>
        <v>217426.3</v>
      </c>
      <c r="G110" s="15">
        <f>1306+80000+50000+31500+28663.5+666.5+25290</f>
        <v>217426</v>
      </c>
      <c r="H110" s="25" t="s">
        <v>9</v>
      </c>
      <c r="I110" s="15">
        <f t="shared" si="5"/>
        <v>-0.29999999998835847</v>
      </c>
      <c r="J110" s="15" t="s">
        <v>192</v>
      </c>
    </row>
    <row r="111" spans="1:14" s="4" customFormat="1" ht="15.75" x14ac:dyDescent="0.25">
      <c r="A111" s="9">
        <v>42090</v>
      </c>
      <c r="B111" s="10">
        <v>364839.18</v>
      </c>
      <c r="C111" s="10">
        <v>0</v>
      </c>
      <c r="D111" s="10">
        <v>11099.9</v>
      </c>
      <c r="E111" s="10">
        <v>26419.439999999999</v>
      </c>
      <c r="F111" s="11">
        <f t="shared" si="4"/>
        <v>327319.83999999997</v>
      </c>
      <c r="G111" s="15">
        <f>29220+75000+56000+100000+40000+27099.5</f>
        <v>327319.5</v>
      </c>
      <c r="H111" s="25" t="s">
        <v>9</v>
      </c>
      <c r="I111" s="15">
        <f t="shared" si="5"/>
        <v>-0.33999999996740371</v>
      </c>
      <c r="J111" s="15" t="s">
        <v>192</v>
      </c>
    </row>
    <row r="112" spans="1:14" s="4" customFormat="1" ht="15.75" x14ac:dyDescent="0.25">
      <c r="A112" s="9">
        <v>42091</v>
      </c>
      <c r="B112" s="10">
        <f>309191.02+65936.06</f>
        <v>375127.08</v>
      </c>
      <c r="C112" s="10">
        <v>0</v>
      </c>
      <c r="D112" s="10">
        <v>69198.84</v>
      </c>
      <c r="E112" s="10">
        <v>91398.720000000001</v>
      </c>
      <c r="F112" s="11">
        <f t="shared" si="4"/>
        <v>214529.52</v>
      </c>
      <c r="G112" s="15">
        <f>25000+25000+70000+28593+65936</f>
        <v>214529</v>
      </c>
      <c r="H112" s="25" t="s">
        <v>9</v>
      </c>
      <c r="I112" s="15">
        <f t="shared" si="5"/>
        <v>-0.51999999998952262</v>
      </c>
      <c r="J112" s="15" t="s">
        <v>192</v>
      </c>
      <c r="K112" s="4" t="s">
        <v>211</v>
      </c>
    </row>
    <row r="113" spans="1:12" s="4" customFormat="1" ht="15.75" x14ac:dyDescent="0.25">
      <c r="A113" s="9">
        <v>42092</v>
      </c>
      <c r="B113" s="10">
        <f>63903.65+136206.4</f>
        <v>200110.05</v>
      </c>
      <c r="C113" s="10">
        <v>7279</v>
      </c>
      <c r="D113" s="10">
        <v>18099.36</v>
      </c>
      <c r="E113" s="10">
        <v>522</v>
      </c>
      <c r="F113" s="11">
        <f t="shared" si="4"/>
        <v>188767.69</v>
      </c>
      <c r="G113" s="15">
        <f>67000+85000+7279+29488</f>
        <v>188767</v>
      </c>
      <c r="H113" s="25" t="s">
        <v>9</v>
      </c>
      <c r="I113" s="15">
        <f t="shared" si="5"/>
        <v>-0.69000000000232831</v>
      </c>
      <c r="J113" s="15" t="s">
        <v>192</v>
      </c>
    </row>
    <row r="114" spans="1:12" s="4" customFormat="1" ht="15.75" x14ac:dyDescent="0.25">
      <c r="A114" s="9">
        <v>42093</v>
      </c>
      <c r="B114" s="10">
        <v>266631.38</v>
      </c>
      <c r="C114" s="10">
        <v>0</v>
      </c>
      <c r="D114" s="10">
        <v>22787.32</v>
      </c>
      <c r="E114" s="10">
        <v>1679</v>
      </c>
      <c r="F114" s="11">
        <f t="shared" si="4"/>
        <v>242165.06</v>
      </c>
      <c r="G114" s="15">
        <f>6071.22+65000+60000+34000+26578+50515</f>
        <v>242164.22</v>
      </c>
      <c r="H114" s="25" t="s">
        <v>9</v>
      </c>
      <c r="I114" s="15">
        <f t="shared" si="5"/>
        <v>-0.83999999999650754</v>
      </c>
      <c r="J114" s="15" t="s">
        <v>192</v>
      </c>
      <c r="L114" s="4" t="s">
        <v>185</v>
      </c>
    </row>
    <row r="115" spans="1:12" s="4" customFormat="1" ht="15.75" x14ac:dyDescent="0.25">
      <c r="A115" s="9">
        <v>42094</v>
      </c>
      <c r="B115" s="10">
        <v>210508.67</v>
      </c>
      <c r="C115" s="10">
        <v>0</v>
      </c>
      <c r="D115" s="10">
        <v>39098.18</v>
      </c>
      <c r="E115" s="10">
        <v>13751.11</v>
      </c>
      <c r="F115" s="11">
        <f t="shared" si="4"/>
        <v>157659.38</v>
      </c>
      <c r="G115" s="15">
        <f>960+22999+70000+13700+50000</f>
        <v>157659</v>
      </c>
      <c r="H115" s="25" t="s">
        <v>9</v>
      </c>
      <c r="I115" s="15">
        <f t="shared" si="5"/>
        <v>-0.38000000000465661</v>
      </c>
      <c r="J115" s="15" t="s">
        <v>192</v>
      </c>
    </row>
    <row r="116" spans="1:12" s="4" customFormat="1" ht="15.75" x14ac:dyDescent="0.25">
      <c r="A116" s="9"/>
      <c r="B116" s="10"/>
      <c r="C116" s="10"/>
      <c r="D116" s="10"/>
      <c r="E116" s="10"/>
      <c r="F116" s="11">
        <f t="shared" si="4"/>
        <v>0</v>
      </c>
      <c r="G116" s="15"/>
      <c r="H116" s="25"/>
      <c r="I116" s="15">
        <f t="shared" si="5"/>
        <v>0</v>
      </c>
      <c r="J116" s="15"/>
    </row>
    <row r="117" spans="1:12" s="4" customFormat="1" ht="15.75" x14ac:dyDescent="0.25">
      <c r="A117" s="9"/>
      <c r="B117" s="10"/>
      <c r="C117" s="10"/>
      <c r="D117" s="10"/>
      <c r="E117" s="10"/>
      <c r="F117" s="11">
        <f t="shared" si="4"/>
        <v>0</v>
      </c>
      <c r="G117" s="15"/>
      <c r="H117" s="189" t="s">
        <v>9</v>
      </c>
      <c r="J117" s="15"/>
    </row>
    <row r="118" spans="1:12" s="4" customFormat="1" ht="15.75" x14ac:dyDescent="0.25">
      <c r="A118" s="14"/>
      <c r="B118" s="13"/>
      <c r="C118" s="10"/>
      <c r="D118" s="10"/>
      <c r="E118" s="10"/>
      <c r="F118" s="11">
        <f t="shared" si="4"/>
        <v>0</v>
      </c>
      <c r="G118" s="15"/>
      <c r="J118" s="15"/>
    </row>
    <row r="119" spans="1:12" s="4" customFormat="1" ht="15.75" x14ac:dyDescent="0.25">
      <c r="A119" s="14"/>
      <c r="B119" s="10"/>
      <c r="C119" s="10"/>
      <c r="D119" s="10"/>
      <c r="E119" s="10"/>
      <c r="F119" s="11">
        <f t="shared" si="4"/>
        <v>0</v>
      </c>
      <c r="G119" s="15"/>
      <c r="J119" s="15"/>
    </row>
    <row r="120" spans="1:12" s="4" customFormat="1" ht="15.75" x14ac:dyDescent="0.25">
      <c r="A120" s="14"/>
      <c r="B120" s="10">
        <f>SUM(B85:B119)</f>
        <v>9503912.6999999993</v>
      </c>
      <c r="C120" s="10">
        <f>SUM(C85:C119)</f>
        <v>7279</v>
      </c>
      <c r="D120" s="10"/>
      <c r="E120" s="10">
        <f>SUM(E85:E119)</f>
        <v>912749.2649999999</v>
      </c>
      <c r="F120" s="11">
        <f t="shared" si="4"/>
        <v>8598442.4349999987</v>
      </c>
      <c r="G120" s="15"/>
      <c r="J120" s="15"/>
    </row>
    <row r="122" spans="1:12" ht="18.75" x14ac:dyDescent="0.3">
      <c r="B122" s="275" t="s">
        <v>61</v>
      </c>
      <c r="C122" s="275"/>
      <c r="D122" s="275"/>
      <c r="E122" s="275"/>
      <c r="F122" s="275"/>
      <c r="G122" s="275"/>
    </row>
    <row r="124" spans="1:12" s="4" customFormat="1" ht="16.5" thickBot="1" x14ac:dyDescent="0.3">
      <c r="A124" s="19" t="s">
        <v>0</v>
      </c>
      <c r="B124" s="20" t="s">
        <v>1</v>
      </c>
      <c r="C124" s="67" t="s">
        <v>58</v>
      </c>
      <c r="D124" s="8" t="s">
        <v>3</v>
      </c>
      <c r="E124" s="21" t="s">
        <v>2</v>
      </c>
      <c r="F124" s="22" t="s">
        <v>4</v>
      </c>
      <c r="G124" s="27" t="s">
        <v>8</v>
      </c>
    </row>
    <row r="125" spans="1:12" s="4" customFormat="1" ht="16.5" thickTop="1" x14ac:dyDescent="0.25">
      <c r="A125" s="9">
        <v>42095</v>
      </c>
      <c r="B125" s="10">
        <v>314021.07</v>
      </c>
      <c r="C125" s="10">
        <v>0</v>
      </c>
      <c r="D125" s="10">
        <v>41747.79</v>
      </c>
      <c r="E125" s="10">
        <v>5908.5</v>
      </c>
      <c r="F125" s="11">
        <f>B125+C125-D125-E125</f>
        <v>266364.78000000003</v>
      </c>
      <c r="G125" s="15">
        <f>55000+55000+39000+65000+25086+27278.5</f>
        <v>266364.5</v>
      </c>
      <c r="H125" s="25" t="s">
        <v>9</v>
      </c>
      <c r="I125" s="15">
        <f>G125-F125</f>
        <v>-0.28000000002793968</v>
      </c>
      <c r="J125" s="15"/>
    </row>
    <row r="126" spans="1:12" s="4" customFormat="1" ht="15.75" x14ac:dyDescent="0.25">
      <c r="A126" s="9">
        <v>42096</v>
      </c>
      <c r="B126" s="10">
        <v>368516.6</v>
      </c>
      <c r="C126" s="10">
        <v>0</v>
      </c>
      <c r="D126" s="10">
        <v>53138.38</v>
      </c>
      <c r="E126" s="10">
        <v>20148</v>
      </c>
      <c r="F126" s="11">
        <f t="shared" ref="F126:F160" si="6">B126+C126-D126-E126</f>
        <v>295230.21999999997</v>
      </c>
      <c r="G126" s="15">
        <f>29478+55000+40000+50000+30000+10731.5+5501.54+74490+29</f>
        <v>295230.04000000004</v>
      </c>
      <c r="H126" s="25" t="s">
        <v>9</v>
      </c>
      <c r="I126" s="15">
        <f t="shared" ref="I126:I156" si="7">G126-F126</f>
        <v>-0.17999999993480742</v>
      </c>
      <c r="J126" s="15"/>
    </row>
    <row r="127" spans="1:12" s="4" customFormat="1" ht="15.75" x14ac:dyDescent="0.25">
      <c r="A127" s="9">
        <v>42097</v>
      </c>
      <c r="B127" s="110" t="s">
        <v>190</v>
      </c>
      <c r="C127" s="277" t="s">
        <v>190</v>
      </c>
      <c r="D127" s="277"/>
      <c r="E127" s="278"/>
      <c r="F127" s="66" t="e">
        <f>B127+#REF!-C127-E127</f>
        <v>#VALUE!</v>
      </c>
      <c r="G127" s="30"/>
      <c r="H127" s="113"/>
      <c r="I127" s="30" t="e">
        <f t="shared" si="7"/>
        <v>#VALUE!</v>
      </c>
      <c r="J127" s="30"/>
    </row>
    <row r="128" spans="1:12" s="4" customFormat="1" ht="15.75" x14ac:dyDescent="0.25">
      <c r="A128" s="9">
        <v>42098</v>
      </c>
      <c r="B128" s="10">
        <v>419913.23</v>
      </c>
      <c r="C128" s="10">
        <v>0</v>
      </c>
      <c r="D128" s="10">
        <v>18207.400000000001</v>
      </c>
      <c r="E128" s="10">
        <v>95498.21</v>
      </c>
      <c r="F128" s="11">
        <f t="shared" si="6"/>
        <v>306207.61999999994</v>
      </c>
      <c r="G128" s="15">
        <f>40000+127000+75000+12000+26425+25782</f>
        <v>306207</v>
      </c>
      <c r="H128" s="25" t="s">
        <v>9</v>
      </c>
      <c r="I128" s="15">
        <f t="shared" si="7"/>
        <v>-0.61999999993713573</v>
      </c>
      <c r="J128" s="15"/>
      <c r="K128" s="4" t="s">
        <v>193</v>
      </c>
    </row>
    <row r="129" spans="1:14" s="4" customFormat="1" ht="15.75" x14ac:dyDescent="0.25">
      <c r="A129" s="9">
        <v>42099</v>
      </c>
      <c r="B129" s="10">
        <v>224042.56</v>
      </c>
      <c r="C129" s="10">
        <v>0</v>
      </c>
      <c r="D129" s="10">
        <v>28903.16</v>
      </c>
      <c r="E129" s="10">
        <v>1464.61</v>
      </c>
      <c r="F129" s="11">
        <f t="shared" si="6"/>
        <v>193674.79</v>
      </c>
      <c r="G129" s="15">
        <f>55000+25595+30000+60000+23079</f>
        <v>193674</v>
      </c>
      <c r="H129" s="25" t="s">
        <v>9</v>
      </c>
      <c r="I129" s="15">
        <f t="shared" si="7"/>
        <v>-0.79000000000814907</v>
      </c>
      <c r="J129" s="15"/>
    </row>
    <row r="130" spans="1:14" s="4" customFormat="1" ht="15.75" x14ac:dyDescent="0.25">
      <c r="A130" s="9">
        <v>42100</v>
      </c>
      <c r="B130" s="10">
        <v>237861.15</v>
      </c>
      <c r="C130" s="10">
        <v>0</v>
      </c>
      <c r="D130" s="10">
        <v>36565.47</v>
      </c>
      <c r="E130" s="10">
        <f>3510+6262</f>
        <v>9772</v>
      </c>
      <c r="F130" s="11">
        <f t="shared" si="6"/>
        <v>191523.68</v>
      </c>
      <c r="G130" s="15">
        <f>40000+25000+32033+75000+19573</f>
        <v>191606</v>
      </c>
      <c r="H130" s="25" t="s">
        <v>9</v>
      </c>
      <c r="I130" s="15">
        <f t="shared" si="7"/>
        <v>82.320000000006985</v>
      </c>
      <c r="J130" s="88" t="s">
        <v>208</v>
      </c>
      <c r="K130" s="60"/>
      <c r="L130" s="60"/>
      <c r="M130" s="60"/>
    </row>
    <row r="131" spans="1:14" s="4" customFormat="1" ht="15.75" x14ac:dyDescent="0.25">
      <c r="A131" s="9">
        <v>42101</v>
      </c>
      <c r="B131" s="10">
        <v>273812.02</v>
      </c>
      <c r="C131" s="10">
        <v>0</v>
      </c>
      <c r="D131" s="10">
        <v>63037.33</v>
      </c>
      <c r="E131" s="10">
        <v>3741.13</v>
      </c>
      <c r="F131" s="11">
        <f t="shared" si="6"/>
        <v>207033.56</v>
      </c>
      <c r="G131" s="15">
        <f>30000+20000+26517.5+52210+50000+27306</f>
        <v>206033.5</v>
      </c>
      <c r="H131" s="25" t="s">
        <v>9</v>
      </c>
      <c r="I131" s="15">
        <f t="shared" si="7"/>
        <v>-1000.0599999999977</v>
      </c>
      <c r="J131" s="15"/>
      <c r="K131" s="4" t="s">
        <v>194</v>
      </c>
    </row>
    <row r="132" spans="1:14" s="4" customFormat="1" ht="15.75" x14ac:dyDescent="0.25">
      <c r="A132" s="9">
        <v>42102</v>
      </c>
      <c r="B132" s="10">
        <v>307630.62</v>
      </c>
      <c r="C132" s="10">
        <v>0</v>
      </c>
      <c r="D132" s="10">
        <v>80595.87</v>
      </c>
      <c r="E132" s="10">
        <v>2964.6</v>
      </c>
      <c r="F132" s="11">
        <f t="shared" si="6"/>
        <v>224070.15</v>
      </c>
      <c r="G132" s="15">
        <f>22435+43000+50000+10324.8+78310+20000</f>
        <v>224069.8</v>
      </c>
      <c r="H132" s="25" t="s">
        <v>9</v>
      </c>
      <c r="I132" s="15">
        <f t="shared" si="7"/>
        <v>-0.35000000000582077</v>
      </c>
      <c r="J132" s="15"/>
    </row>
    <row r="133" spans="1:14" s="4" customFormat="1" ht="15.75" x14ac:dyDescent="0.25">
      <c r="A133" s="9">
        <v>42103</v>
      </c>
      <c r="B133" s="10">
        <v>314082.77</v>
      </c>
      <c r="C133" s="10">
        <v>0</v>
      </c>
      <c r="D133" s="10">
        <v>54326.02</v>
      </c>
      <c r="E133" s="10">
        <f>1575.2+2378.5</f>
        <v>3953.7</v>
      </c>
      <c r="F133" s="11">
        <f t="shared" si="6"/>
        <v>255803.05000000002</v>
      </c>
      <c r="G133" s="15">
        <f>4329+35000+27405+85000+48000+20000+36068.5</f>
        <v>255802.5</v>
      </c>
      <c r="H133" s="25" t="s">
        <v>9</v>
      </c>
      <c r="I133" s="15">
        <f t="shared" si="7"/>
        <v>-0.5500000000174623</v>
      </c>
      <c r="J133" s="15"/>
    </row>
    <row r="134" spans="1:14" s="4" customFormat="1" ht="15.75" x14ac:dyDescent="0.25">
      <c r="A134" s="9">
        <v>42104</v>
      </c>
      <c r="B134" s="10">
        <v>450726.05</v>
      </c>
      <c r="C134" s="10">
        <v>0</v>
      </c>
      <c r="D134" s="10">
        <v>27443.87</v>
      </c>
      <c r="E134" s="10">
        <v>23886.01</v>
      </c>
      <c r="F134" s="11">
        <f t="shared" si="6"/>
        <v>399396.17</v>
      </c>
      <c r="G134" s="15">
        <f>120000+30000+90000+48000+27213+28000+1664+29890+24628.5</f>
        <v>399395.5</v>
      </c>
      <c r="H134" s="25" t="s">
        <v>9</v>
      </c>
      <c r="I134" s="15">
        <f t="shared" si="7"/>
        <v>-0.66999999998370185</v>
      </c>
      <c r="J134" s="15"/>
    </row>
    <row r="135" spans="1:14" s="4" customFormat="1" ht="15.75" x14ac:dyDescent="0.25">
      <c r="A135" s="9">
        <v>42105</v>
      </c>
      <c r="B135" s="10">
        <v>394360.67</v>
      </c>
      <c r="C135" s="10">
        <v>0</v>
      </c>
      <c r="D135" s="10">
        <v>70360.479999999996</v>
      </c>
      <c r="E135" s="10">
        <v>95954.5</v>
      </c>
      <c r="F135" s="11">
        <f t="shared" si="6"/>
        <v>228045.69</v>
      </c>
      <c r="G135" s="15">
        <f>26472+70000+23644+28897.5+4421.12+49611+25000</f>
        <v>228045.62</v>
      </c>
      <c r="H135" s="25" t="s">
        <v>9</v>
      </c>
      <c r="I135" s="15">
        <f t="shared" si="7"/>
        <v>-7.0000000006984919E-2</v>
      </c>
      <c r="J135" s="15"/>
      <c r="K135" s="4" t="s">
        <v>218</v>
      </c>
    </row>
    <row r="136" spans="1:14" s="4" customFormat="1" ht="15.75" x14ac:dyDescent="0.25">
      <c r="A136" s="9">
        <v>42106</v>
      </c>
      <c r="B136" s="10">
        <v>236845.5</v>
      </c>
      <c r="C136" s="10">
        <v>0</v>
      </c>
      <c r="D136" s="10">
        <v>4049.6</v>
      </c>
      <c r="E136" s="10">
        <v>2919</v>
      </c>
      <c r="F136" s="11">
        <f t="shared" si="6"/>
        <v>229876.9</v>
      </c>
      <c r="G136" s="15">
        <f>26167+55000+85000+63000+546+165</f>
        <v>229878</v>
      </c>
      <c r="H136" s="25" t="s">
        <v>9</v>
      </c>
      <c r="I136" s="15">
        <f t="shared" si="7"/>
        <v>1.1000000000058208</v>
      </c>
      <c r="J136" s="15"/>
    </row>
    <row r="137" spans="1:14" s="4" customFormat="1" ht="15.75" x14ac:dyDescent="0.25">
      <c r="A137" s="9">
        <v>42107</v>
      </c>
      <c r="B137" s="10">
        <v>244653.79</v>
      </c>
      <c r="C137" s="10">
        <v>0</v>
      </c>
      <c r="D137" s="10">
        <v>45437.120000000003</v>
      </c>
      <c r="E137" s="10">
        <v>4465.6899999999996</v>
      </c>
      <c r="F137" s="11">
        <f t="shared" si="6"/>
        <v>194750.98</v>
      </c>
      <c r="G137" s="15">
        <f>27828+20000+65000+26877+22245+35000</f>
        <v>196950</v>
      </c>
      <c r="H137" s="25" t="s">
        <v>9</v>
      </c>
      <c r="I137" s="15">
        <f t="shared" si="7"/>
        <v>2199.0199999999895</v>
      </c>
      <c r="J137" s="88" t="s">
        <v>215</v>
      </c>
      <c r="K137" s="60"/>
      <c r="L137" s="60"/>
      <c r="M137" s="60"/>
    </row>
    <row r="138" spans="1:14" s="4" customFormat="1" ht="15.75" x14ac:dyDescent="0.25">
      <c r="A138" s="9">
        <v>42108</v>
      </c>
      <c r="B138" s="10">
        <v>225885.75</v>
      </c>
      <c r="C138" s="10">
        <v>0</v>
      </c>
      <c r="D138" s="10">
        <v>17851.11</v>
      </c>
      <c r="E138" s="10">
        <f>32214.3+3009</f>
        <v>35223.300000000003</v>
      </c>
      <c r="F138" s="11">
        <f t="shared" si="6"/>
        <v>172811.34000000003</v>
      </c>
      <c r="G138" s="15">
        <f>50000+51000+24776+35000+9835</f>
        <v>170611</v>
      </c>
      <c r="H138" s="25" t="s">
        <v>9</v>
      </c>
      <c r="I138" s="15">
        <f t="shared" si="7"/>
        <v>-2200.3400000000256</v>
      </c>
      <c r="J138" s="88" t="s">
        <v>216</v>
      </c>
      <c r="K138" s="60"/>
      <c r="L138" s="60"/>
    </row>
    <row r="139" spans="1:14" s="4" customFormat="1" ht="15.75" x14ac:dyDescent="0.25">
      <c r="A139" s="9">
        <v>42109</v>
      </c>
      <c r="B139" s="10">
        <v>240537.49</v>
      </c>
      <c r="C139" s="10">
        <v>0</v>
      </c>
      <c r="D139" s="10">
        <v>48557.46</v>
      </c>
      <c r="E139" s="10">
        <v>2403.34</v>
      </c>
      <c r="F139" s="11">
        <f t="shared" si="6"/>
        <v>189576.69</v>
      </c>
      <c r="G139" s="15">
        <f>60000+12776+75000+41800.5</f>
        <v>189576.5</v>
      </c>
      <c r="H139" s="25" t="s">
        <v>9</v>
      </c>
      <c r="I139" s="15">
        <f t="shared" si="7"/>
        <v>-0.19000000000232831</v>
      </c>
      <c r="J139" s="15"/>
    </row>
    <row r="140" spans="1:14" s="4" customFormat="1" ht="15.75" x14ac:dyDescent="0.25">
      <c r="A140" s="9">
        <v>42110</v>
      </c>
      <c r="B140" s="10">
        <v>320685.07</v>
      </c>
      <c r="C140" s="10">
        <v>0</v>
      </c>
      <c r="D140" s="10">
        <v>31010.38</v>
      </c>
      <c r="E140" s="10">
        <v>7214.7</v>
      </c>
      <c r="F140" s="11">
        <f t="shared" si="6"/>
        <v>282459.99</v>
      </c>
      <c r="G140" s="15">
        <f>17000+105000+40000+23031+27828+20000+49600</f>
        <v>282459</v>
      </c>
      <c r="H140" s="25" t="s">
        <v>9</v>
      </c>
      <c r="I140" s="15">
        <f t="shared" si="7"/>
        <v>-0.98999999999068677</v>
      </c>
      <c r="J140" s="15"/>
    </row>
    <row r="141" spans="1:14" s="4" customFormat="1" ht="15.75" x14ac:dyDescent="0.25">
      <c r="A141" s="9">
        <v>42111</v>
      </c>
      <c r="B141" s="10">
        <v>516463.09</v>
      </c>
      <c r="C141" s="10">
        <v>0</v>
      </c>
      <c r="D141" s="10">
        <v>16908.080000000002</v>
      </c>
      <c r="E141" s="10">
        <v>21088.42</v>
      </c>
      <c r="F141" s="11">
        <f t="shared" si="6"/>
        <v>478466.59</v>
      </c>
      <c r="G141" s="15">
        <f>70000+90000+40000+50000+90000+29153+50000+20060+3960+35293</f>
        <v>478466</v>
      </c>
      <c r="H141" s="25" t="s">
        <v>9</v>
      </c>
      <c r="I141" s="15">
        <f t="shared" si="7"/>
        <v>-0.59000000002561137</v>
      </c>
      <c r="J141" s="15"/>
    </row>
    <row r="142" spans="1:14" s="4" customFormat="1" ht="15.75" x14ac:dyDescent="0.25">
      <c r="A142" s="9">
        <v>42112</v>
      </c>
      <c r="B142" s="10">
        <v>366344.42</v>
      </c>
      <c r="C142" s="10">
        <v>0</v>
      </c>
      <c r="D142" s="10">
        <v>73140.27</v>
      </c>
      <c r="E142" s="10">
        <v>113598.74</v>
      </c>
      <c r="F142" s="11">
        <f t="shared" si="6"/>
        <v>179605.40999999997</v>
      </c>
      <c r="G142" s="15">
        <f>30000+51776.7+64500+31750+1580</f>
        <v>179606.7</v>
      </c>
      <c r="H142" s="25" t="s">
        <v>9</v>
      </c>
      <c r="I142" s="15">
        <f t="shared" si="7"/>
        <v>1.2900000000372529</v>
      </c>
      <c r="J142" s="15"/>
    </row>
    <row r="143" spans="1:14" s="4" customFormat="1" ht="15.75" x14ac:dyDescent="0.25">
      <c r="A143" s="9">
        <v>42113</v>
      </c>
      <c r="B143" s="10">
        <f>237180.15</f>
        <v>237180.15</v>
      </c>
      <c r="C143" s="10">
        <v>0</v>
      </c>
      <c r="D143" s="10">
        <v>47895.64</v>
      </c>
      <c r="E143" s="10">
        <v>1313</v>
      </c>
      <c r="F143" s="11">
        <f t="shared" si="6"/>
        <v>187971.51</v>
      </c>
      <c r="G143" s="15">
        <f>30971+17000+40000+100000</f>
        <v>187971</v>
      </c>
      <c r="H143" s="25" t="s">
        <v>9</v>
      </c>
      <c r="I143" s="15">
        <f t="shared" si="7"/>
        <v>-0.51000000000931323</v>
      </c>
      <c r="J143" s="15"/>
    </row>
    <row r="144" spans="1:14" s="4" customFormat="1" ht="15.75" x14ac:dyDescent="0.25">
      <c r="A144" s="9">
        <v>42114</v>
      </c>
      <c r="B144" s="10">
        <v>311971.59999999998</v>
      </c>
      <c r="C144" s="10">
        <v>0</v>
      </c>
      <c r="D144" s="10">
        <v>10966.62</v>
      </c>
      <c r="E144" s="10">
        <v>7666.8</v>
      </c>
      <c r="F144" s="11">
        <f t="shared" si="6"/>
        <v>293338.18</v>
      </c>
      <c r="G144" s="15">
        <f>576+70000+37000+24456+32755+32500+76105.5+19945</f>
        <v>293337.5</v>
      </c>
      <c r="H144" s="25" t="s">
        <v>9</v>
      </c>
      <c r="I144" s="15">
        <f t="shared" si="7"/>
        <v>-0.67999999999301508</v>
      </c>
      <c r="J144" s="88" t="s">
        <v>217</v>
      </c>
      <c r="K144" s="60"/>
      <c r="L144" s="60"/>
      <c r="M144" s="60"/>
      <c r="N144" s="60"/>
    </row>
    <row r="145" spans="1:15" s="4" customFormat="1" ht="15.75" x14ac:dyDescent="0.25">
      <c r="A145" s="9">
        <v>42115</v>
      </c>
      <c r="B145" s="10">
        <v>218006.08</v>
      </c>
      <c r="C145" s="10">
        <v>0</v>
      </c>
      <c r="D145" s="10">
        <v>46870.22</v>
      </c>
      <c r="E145" s="10">
        <v>16835.2</v>
      </c>
      <c r="F145" s="11">
        <f t="shared" si="6"/>
        <v>154300.65999999997</v>
      </c>
      <c r="G145" s="15">
        <f>20518.5+55000+28782+35000+4894.4+9230.78+875</f>
        <v>154300.68</v>
      </c>
      <c r="H145" s="25" t="s">
        <v>9</v>
      </c>
      <c r="I145" s="15">
        <f t="shared" si="7"/>
        <v>2.0000000018626451E-2</v>
      </c>
      <c r="J145" s="15"/>
    </row>
    <row r="146" spans="1:15" s="4" customFormat="1" ht="15.75" x14ac:dyDescent="0.25">
      <c r="A146" s="9">
        <v>42116</v>
      </c>
      <c r="B146" s="10">
        <v>266829.03999999998</v>
      </c>
      <c r="C146" s="10">
        <v>0</v>
      </c>
      <c r="D146" s="10">
        <v>30463.919999999998</v>
      </c>
      <c r="E146" s="10">
        <v>6940.93</v>
      </c>
      <c r="F146" s="11">
        <f t="shared" si="6"/>
        <v>229424.19</v>
      </c>
      <c r="G146" s="15">
        <f>3146.24+24494+70000+40000+45000+46783.5</f>
        <v>229423.74</v>
      </c>
      <c r="H146" s="25" t="s">
        <v>9</v>
      </c>
      <c r="I146" s="15">
        <f t="shared" si="7"/>
        <v>-0.45000000001164153</v>
      </c>
      <c r="J146" s="15"/>
    </row>
    <row r="147" spans="1:15" s="4" customFormat="1" ht="15.75" x14ac:dyDescent="0.25">
      <c r="A147" s="9">
        <v>42117</v>
      </c>
      <c r="B147" s="10">
        <f>310323.63+673.24</f>
        <v>310996.87</v>
      </c>
      <c r="C147" s="10">
        <v>0</v>
      </c>
      <c r="D147" s="10">
        <v>11974.26</v>
      </c>
      <c r="E147" s="10">
        <v>2416</v>
      </c>
      <c r="F147" s="11">
        <f t="shared" si="6"/>
        <v>296606.61</v>
      </c>
      <c r="G147" s="15">
        <f>4480+680+2160+24496+50000+42000+24496+65000+30000+43810+9484.12</f>
        <v>296606.12</v>
      </c>
      <c r="H147" s="25" t="s">
        <v>9</v>
      </c>
      <c r="I147" s="15">
        <f t="shared" si="7"/>
        <v>-0.48999999999068677</v>
      </c>
      <c r="J147" s="15"/>
    </row>
    <row r="148" spans="1:15" s="4" customFormat="1" ht="15.75" x14ac:dyDescent="0.25">
      <c r="A148" s="9">
        <v>42118</v>
      </c>
      <c r="B148" s="10">
        <v>471401.45</v>
      </c>
      <c r="C148" s="10">
        <v>0</v>
      </c>
      <c r="D148" s="10">
        <v>6121.2</v>
      </c>
      <c r="E148" s="10">
        <v>49829.57</v>
      </c>
      <c r="F148" s="11">
        <f t="shared" si="6"/>
        <v>415450.68</v>
      </c>
      <c r="G148" s="15">
        <f>15000+100000+35000+80000+75000+20000+22305+20901.5+23711+3289.5+19939</f>
        <v>415146</v>
      </c>
      <c r="H148" s="25" t="s">
        <v>9</v>
      </c>
      <c r="I148" s="15">
        <f t="shared" si="7"/>
        <v>-304.67999999999302</v>
      </c>
      <c r="J148" s="88" t="s">
        <v>278</v>
      </c>
      <c r="K148" s="60"/>
      <c r="L148" s="60"/>
      <c r="M148" s="60"/>
      <c r="N148" s="60"/>
      <c r="O148" s="60"/>
    </row>
    <row r="149" spans="1:15" s="4" customFormat="1" ht="15.75" x14ac:dyDescent="0.25">
      <c r="A149" s="9">
        <v>42119</v>
      </c>
      <c r="B149" s="10">
        <f>314761.06+18951.04+28332.53</f>
        <v>362044.63</v>
      </c>
      <c r="C149" s="10">
        <v>0</v>
      </c>
      <c r="D149" s="10">
        <v>102822.36</v>
      </c>
      <c r="E149" s="10">
        <v>62342.73</v>
      </c>
      <c r="F149" s="11">
        <f t="shared" si="6"/>
        <v>196879.54</v>
      </c>
      <c r="G149" s="15">
        <f>680+60000+27867+80000+28332.5</f>
        <v>196879.5</v>
      </c>
      <c r="H149" s="25" t="s">
        <v>9</v>
      </c>
      <c r="I149" s="15">
        <f t="shared" si="7"/>
        <v>-4.0000000008149073E-2</v>
      </c>
      <c r="J149" s="15"/>
    </row>
    <row r="150" spans="1:15" s="4" customFormat="1" ht="15.75" x14ac:dyDescent="0.25">
      <c r="A150" s="9">
        <v>42120</v>
      </c>
      <c r="B150" s="10">
        <v>218415.63</v>
      </c>
      <c r="C150" s="10">
        <v>0</v>
      </c>
      <c r="D150" s="10">
        <v>10325.36</v>
      </c>
      <c r="E150" s="10">
        <v>1267.5</v>
      </c>
      <c r="F150" s="11">
        <f t="shared" si="6"/>
        <v>206822.77000000002</v>
      </c>
      <c r="G150" s="15">
        <f>21813.5+50000+65000+70000</f>
        <v>206813.5</v>
      </c>
      <c r="H150" s="25" t="s">
        <v>9</v>
      </c>
      <c r="I150" s="15">
        <f>F150-G150</f>
        <v>9.2700000000186265</v>
      </c>
      <c r="J150" s="15"/>
    </row>
    <row r="151" spans="1:15" s="4" customFormat="1" ht="15.75" x14ac:dyDescent="0.25">
      <c r="A151" s="9">
        <v>42121</v>
      </c>
      <c r="B151" s="10">
        <v>227872.79</v>
      </c>
      <c r="C151" s="10">
        <v>0</v>
      </c>
      <c r="D151" s="10">
        <v>6109.06</v>
      </c>
      <c r="E151" s="10">
        <v>3510.59</v>
      </c>
      <c r="F151" s="11">
        <f t="shared" si="6"/>
        <v>218253.14</v>
      </c>
      <c r="G151" s="15">
        <f>55000+27000+25130+35000+4195.25+47000+24928</f>
        <v>218253.25</v>
      </c>
      <c r="H151" s="25" t="s">
        <v>9</v>
      </c>
      <c r="I151" s="15">
        <f t="shared" si="7"/>
        <v>0.10999999998603016</v>
      </c>
      <c r="J151" s="15"/>
    </row>
    <row r="152" spans="1:15" s="4" customFormat="1" ht="15.75" x14ac:dyDescent="0.25">
      <c r="A152" s="9">
        <v>42122</v>
      </c>
      <c r="B152" s="10">
        <v>259765.76000000001</v>
      </c>
      <c r="C152" s="10">
        <v>0</v>
      </c>
      <c r="D152" s="10">
        <v>65831.12</v>
      </c>
      <c r="E152" s="10">
        <f>5291.7+1687</f>
        <v>6978.7</v>
      </c>
      <c r="F152" s="11">
        <f t="shared" si="6"/>
        <v>186955.94</v>
      </c>
      <c r="G152" s="15">
        <f>38282+28539.5+20000+35000+32851.5+7285.5+25000</f>
        <v>186958.5</v>
      </c>
      <c r="H152" s="25" t="s">
        <v>9</v>
      </c>
      <c r="I152" s="15">
        <f t="shared" si="7"/>
        <v>2.5599999999976717</v>
      </c>
      <c r="J152" s="15"/>
    </row>
    <row r="153" spans="1:15" s="4" customFormat="1" ht="15.75" x14ac:dyDescent="0.25">
      <c r="A153" s="9">
        <v>42123</v>
      </c>
      <c r="B153" s="10">
        <v>271004.57</v>
      </c>
      <c r="C153" s="10">
        <v>0</v>
      </c>
      <c r="D153" s="10">
        <v>5499.92</v>
      </c>
      <c r="E153" s="10">
        <v>6854.6</v>
      </c>
      <c r="F153" s="11">
        <f t="shared" si="6"/>
        <v>258650.05000000002</v>
      </c>
      <c r="G153" s="15">
        <f>52000+30000+100000+27509+375+720+28000+20046</f>
        <v>258650</v>
      </c>
      <c r="H153" s="25" t="s">
        <v>9</v>
      </c>
      <c r="I153" s="15">
        <f t="shared" si="7"/>
        <v>-5.0000000017462298E-2</v>
      </c>
      <c r="J153" s="15"/>
    </row>
    <row r="154" spans="1:15" s="4" customFormat="1" ht="15.75" x14ac:dyDescent="0.25">
      <c r="A154" s="9">
        <v>42124</v>
      </c>
      <c r="B154" s="10">
        <v>389960.12</v>
      </c>
      <c r="C154" s="10">
        <v>0</v>
      </c>
      <c r="D154" s="10">
        <v>113474.9</v>
      </c>
      <c r="E154" s="10">
        <v>20679.330000000002</v>
      </c>
      <c r="F154" s="11">
        <f t="shared" si="6"/>
        <v>255805.88999999996</v>
      </c>
      <c r="G154" s="15">
        <f>50000+70000+20957+6250+2726+27873.5+50000+28000</f>
        <v>255806.5</v>
      </c>
      <c r="H154" s="25" t="s">
        <v>9</v>
      </c>
      <c r="I154" s="15">
        <f t="shared" si="7"/>
        <v>0.61000000004423782</v>
      </c>
      <c r="J154" s="88" t="s">
        <v>239</v>
      </c>
      <c r="K154" s="60"/>
      <c r="L154" s="60"/>
      <c r="M154" s="60"/>
    </row>
    <row r="155" spans="1:15" s="4" customFormat="1" ht="15.75" x14ac:dyDescent="0.25">
      <c r="A155" s="9"/>
      <c r="B155" s="10"/>
      <c r="C155" s="10"/>
      <c r="D155" s="10"/>
      <c r="E155" s="10"/>
      <c r="F155" s="11">
        <f t="shared" si="6"/>
        <v>0</v>
      </c>
      <c r="G155" s="15"/>
      <c r="H155" s="25"/>
      <c r="I155" s="15">
        <f t="shared" si="7"/>
        <v>0</v>
      </c>
      <c r="J155" s="15"/>
    </row>
    <row r="156" spans="1:15" s="4" customFormat="1" ht="15.75" x14ac:dyDescent="0.25">
      <c r="A156" s="9"/>
      <c r="B156" s="10"/>
      <c r="C156" s="10"/>
      <c r="D156" s="10"/>
      <c r="E156" s="10"/>
      <c r="F156" s="11">
        <f t="shared" si="6"/>
        <v>0</v>
      </c>
      <c r="G156" s="15"/>
      <c r="H156" s="189" t="s">
        <v>9</v>
      </c>
      <c r="I156" s="15">
        <f t="shared" si="7"/>
        <v>0</v>
      </c>
      <c r="J156" s="15"/>
    </row>
    <row r="157" spans="1:15" s="4" customFormat="1" ht="15.75" x14ac:dyDescent="0.25">
      <c r="A157" s="14"/>
      <c r="B157" s="10"/>
      <c r="C157" s="10"/>
      <c r="D157" s="10"/>
      <c r="E157" s="10"/>
      <c r="F157" s="11">
        <f t="shared" si="6"/>
        <v>0</v>
      </c>
      <c r="G157" s="15"/>
      <c r="J157" s="15"/>
    </row>
    <row r="158" spans="1:15" s="4" customFormat="1" ht="15.75" x14ac:dyDescent="0.25">
      <c r="A158" s="14"/>
      <c r="B158" s="13"/>
      <c r="C158" s="10"/>
      <c r="D158" s="10"/>
      <c r="E158" s="10"/>
      <c r="F158" s="11">
        <f t="shared" si="6"/>
        <v>0</v>
      </c>
      <c r="G158" s="15"/>
      <c r="J158" s="15"/>
    </row>
    <row r="159" spans="1:15" s="4" customFormat="1" ht="15.75" x14ac:dyDescent="0.25">
      <c r="A159" s="14"/>
      <c r="B159" s="10"/>
      <c r="C159" s="10"/>
      <c r="D159" s="10"/>
      <c r="E159" s="10"/>
      <c r="F159" s="11">
        <f t="shared" si="6"/>
        <v>0</v>
      </c>
      <c r="G159" s="15"/>
      <c r="J159" s="15"/>
    </row>
    <row r="160" spans="1:15" s="4" customFormat="1" ht="15.75" x14ac:dyDescent="0.25">
      <c r="A160" s="14"/>
      <c r="B160" s="10">
        <f>SUM(B125:B159)</f>
        <v>9001830.5399999991</v>
      </c>
      <c r="C160" s="10">
        <f>SUM(C125:C159)</f>
        <v>0</v>
      </c>
      <c r="D160" s="10"/>
      <c r="E160" s="10">
        <f>SUM(E125:E159)</f>
        <v>636839.39999999979</v>
      </c>
      <c r="F160" s="11">
        <f t="shared" si="6"/>
        <v>8364991.1399999997</v>
      </c>
      <c r="G160" s="15"/>
      <c r="J160" s="15"/>
    </row>
    <row r="162" spans="1:14" ht="18.75" x14ac:dyDescent="0.3">
      <c r="B162" s="275" t="s">
        <v>62</v>
      </c>
      <c r="C162" s="275"/>
      <c r="D162" s="275"/>
      <c r="E162" s="275"/>
      <c r="F162" s="275"/>
      <c r="G162" s="275"/>
    </row>
    <row r="164" spans="1:14" s="4" customFormat="1" ht="16.5" thickBot="1" x14ac:dyDescent="0.3">
      <c r="A164" s="19" t="s">
        <v>0</v>
      </c>
      <c r="B164" s="20" t="s">
        <v>1</v>
      </c>
      <c r="C164" s="67" t="s">
        <v>58</v>
      </c>
      <c r="D164" s="8" t="s">
        <v>3</v>
      </c>
      <c r="E164" s="21" t="s">
        <v>2</v>
      </c>
      <c r="F164" s="22" t="s">
        <v>4</v>
      </c>
      <c r="G164" s="27" t="s">
        <v>8</v>
      </c>
    </row>
    <row r="165" spans="1:14" s="4" customFormat="1" ht="16.5" thickTop="1" x14ac:dyDescent="0.25">
      <c r="A165" s="9">
        <v>42125</v>
      </c>
      <c r="B165" s="10">
        <v>408266.62</v>
      </c>
      <c r="C165" s="10">
        <v>0</v>
      </c>
      <c r="D165" s="10">
        <v>40111.019999999997</v>
      </c>
      <c r="E165" s="10">
        <v>21430.5</v>
      </c>
      <c r="F165" s="11">
        <f>B165+C165-D165-E165</f>
        <v>346725.1</v>
      </c>
      <c r="G165" s="15">
        <f>2243.2+34316+62000+8166.5+110000+130000</f>
        <v>346725.7</v>
      </c>
      <c r="H165" s="25" t="s">
        <v>9</v>
      </c>
      <c r="I165" s="15">
        <f>G165-F165</f>
        <v>0.6000000000349246</v>
      </c>
      <c r="J165" s="15"/>
    </row>
    <row r="166" spans="1:14" s="4" customFormat="1" ht="15.75" x14ac:dyDescent="0.25">
      <c r="A166" s="9">
        <v>42126</v>
      </c>
      <c r="B166" s="10">
        <v>433068.85</v>
      </c>
      <c r="C166" s="10">
        <v>0</v>
      </c>
      <c r="D166" s="10">
        <f>39609.3</f>
        <v>39609.300000000003</v>
      </c>
      <c r="E166" s="10">
        <v>111699.6</v>
      </c>
      <c r="F166" s="11">
        <f t="shared" ref="F166:F200" si="8">B166+C166-D166-E166</f>
        <v>281759.94999999995</v>
      </c>
      <c r="G166" s="15">
        <f>85000+3185.5+72000+80000+16693+24881.5</f>
        <v>281760</v>
      </c>
      <c r="H166" s="25" t="s">
        <v>9</v>
      </c>
      <c r="I166" s="15">
        <f t="shared" ref="I166:I196" si="9">G166-F166</f>
        <v>5.0000000046566129E-2</v>
      </c>
      <c r="J166" s="15"/>
    </row>
    <row r="167" spans="1:14" s="4" customFormat="1" ht="15.75" x14ac:dyDescent="0.25">
      <c r="A167" s="9">
        <v>42127</v>
      </c>
      <c r="B167" s="10">
        <v>228097.2</v>
      </c>
      <c r="C167" s="10">
        <v>0</v>
      </c>
      <c r="D167" s="10">
        <v>0</v>
      </c>
      <c r="E167" s="10">
        <v>4993.72</v>
      </c>
      <c r="F167" s="11">
        <f t="shared" si="8"/>
        <v>223103.48</v>
      </c>
      <c r="G167" s="15">
        <f>95000+25000+24103.5+79000</f>
        <v>223103.5</v>
      </c>
      <c r="H167" s="25" t="s">
        <v>9</v>
      </c>
      <c r="I167" s="15">
        <f t="shared" si="9"/>
        <v>1.9999999989522621E-2</v>
      </c>
      <c r="J167" s="15"/>
    </row>
    <row r="168" spans="1:14" s="4" customFormat="1" ht="15.75" x14ac:dyDescent="0.25">
      <c r="A168" s="9">
        <v>42128</v>
      </c>
      <c r="B168" s="10">
        <v>252500.33</v>
      </c>
      <c r="C168" s="10">
        <v>0</v>
      </c>
      <c r="D168" s="10">
        <v>35073.480000000003</v>
      </c>
      <c r="E168" s="10">
        <v>26647.84</v>
      </c>
      <c r="F168" s="11">
        <f t="shared" si="8"/>
        <v>190779.00999999998</v>
      </c>
      <c r="G168" s="15">
        <f>45000+5720.54+32000+33162+21000+78000</f>
        <v>214882.54</v>
      </c>
      <c r="H168" s="25" t="s">
        <v>9</v>
      </c>
      <c r="I168" s="15">
        <f t="shared" si="9"/>
        <v>24103.530000000028</v>
      </c>
      <c r="J168" s="15" t="s">
        <v>240</v>
      </c>
    </row>
    <row r="169" spans="1:14" s="4" customFormat="1" ht="15.75" x14ac:dyDescent="0.25">
      <c r="A169" s="9">
        <v>42129</v>
      </c>
      <c r="B169" s="10">
        <v>197031.06</v>
      </c>
      <c r="C169" s="10">
        <v>16162</v>
      </c>
      <c r="D169" s="10">
        <v>76505.039999999994</v>
      </c>
      <c r="E169" s="10">
        <v>1108</v>
      </c>
      <c r="F169" s="11">
        <f t="shared" si="8"/>
        <v>135580.02000000002</v>
      </c>
      <c r="G169" s="15">
        <f>408+1671+5842.5+7356+4920+31000+23498+60000+885</f>
        <v>135580.5</v>
      </c>
      <c r="H169" s="25" t="s">
        <v>9</v>
      </c>
      <c r="I169" s="15">
        <f t="shared" si="9"/>
        <v>0.47999999998137355</v>
      </c>
      <c r="J169" s="15"/>
    </row>
    <row r="170" spans="1:14" s="4" customFormat="1" ht="15.75" x14ac:dyDescent="0.25">
      <c r="A170" s="9">
        <v>42130</v>
      </c>
      <c r="B170" s="10">
        <v>514843.72</v>
      </c>
      <c r="C170" s="10">
        <v>0</v>
      </c>
      <c r="D170" s="10">
        <v>67424.98</v>
      </c>
      <c r="E170" s="10">
        <v>3010.1</v>
      </c>
      <c r="F170" s="11">
        <f t="shared" si="8"/>
        <v>444408.64</v>
      </c>
      <c r="G170" s="15">
        <f>41014+30000+120000+1270+48880+24391.5+90000+89000</f>
        <v>444555.5</v>
      </c>
      <c r="H170" s="25" t="s">
        <v>9</v>
      </c>
      <c r="I170" s="15">
        <f t="shared" si="9"/>
        <v>146.85999999998603</v>
      </c>
      <c r="J170" s="55" t="s">
        <v>227</v>
      </c>
      <c r="K170" s="60" t="s">
        <v>244</v>
      </c>
      <c r="L170" s="60"/>
      <c r="M170" s="60"/>
      <c r="N170" s="60"/>
    </row>
    <row r="171" spans="1:14" s="4" customFormat="1" ht="15.75" x14ac:dyDescent="0.25">
      <c r="A171" s="9">
        <v>42131</v>
      </c>
      <c r="B171" s="10">
        <v>291003.88</v>
      </c>
      <c r="C171" s="10">
        <v>0</v>
      </c>
      <c r="D171" s="10">
        <v>10632.25</v>
      </c>
      <c r="E171" s="10">
        <v>8611</v>
      </c>
      <c r="F171" s="11">
        <f t="shared" si="8"/>
        <v>271760.63</v>
      </c>
      <c r="G171" s="15">
        <f>70000+7373.2+7200+80000+26187.43+81000</f>
        <v>271760.63</v>
      </c>
      <c r="H171" s="25" t="s">
        <v>9</v>
      </c>
      <c r="I171" s="15">
        <f t="shared" si="9"/>
        <v>0</v>
      </c>
      <c r="J171" s="15"/>
    </row>
    <row r="172" spans="1:14" s="4" customFormat="1" ht="15.75" x14ac:dyDescent="0.25">
      <c r="A172" s="9">
        <v>42132</v>
      </c>
      <c r="B172" s="10">
        <v>390126.96</v>
      </c>
      <c r="C172" s="10">
        <v>0</v>
      </c>
      <c r="D172" s="10">
        <v>3965.42</v>
      </c>
      <c r="E172" s="10">
        <v>18869.39</v>
      </c>
      <c r="F172" s="11">
        <f t="shared" si="8"/>
        <v>367292.15</v>
      </c>
      <c r="G172" s="15">
        <f>40000+145000+40000+29292+50000+63000</f>
        <v>367292</v>
      </c>
      <c r="H172" s="25" t="s">
        <v>9</v>
      </c>
      <c r="I172" s="15">
        <f t="shared" si="9"/>
        <v>-0.15000000002328306</v>
      </c>
      <c r="J172" s="15" t="s">
        <v>242</v>
      </c>
    </row>
    <row r="173" spans="1:14" s="4" customFormat="1" ht="15.75" x14ac:dyDescent="0.25">
      <c r="A173" s="9">
        <v>42133</v>
      </c>
      <c r="B173" s="10">
        <v>559663.26</v>
      </c>
      <c r="C173" s="10">
        <v>0</v>
      </c>
      <c r="D173" s="10">
        <v>32185.77</v>
      </c>
      <c r="E173" s="10">
        <v>87608.54</v>
      </c>
      <c r="F173" s="11">
        <f t="shared" si="8"/>
        <v>439868.95</v>
      </c>
      <c r="G173" s="15">
        <f>796+90000+20000+125000+76000+98000+30077</f>
        <v>439873</v>
      </c>
      <c r="H173" s="25" t="s">
        <v>9</v>
      </c>
      <c r="I173" s="15">
        <f t="shared" si="9"/>
        <v>4.0499999999883585</v>
      </c>
      <c r="J173" s="15"/>
    </row>
    <row r="174" spans="1:14" s="4" customFormat="1" ht="15.75" x14ac:dyDescent="0.25">
      <c r="A174" s="9">
        <v>42134</v>
      </c>
      <c r="B174" s="10">
        <v>315533.21999999997</v>
      </c>
      <c r="C174" s="10">
        <v>0</v>
      </c>
      <c r="D174" s="10">
        <v>6349.22</v>
      </c>
      <c r="E174" s="10">
        <v>4148</v>
      </c>
      <c r="F174" s="11">
        <f t="shared" si="8"/>
        <v>305036</v>
      </c>
      <c r="G174" s="15">
        <f>104000+32000+76000+66000+27036</f>
        <v>305036</v>
      </c>
      <c r="H174" s="25" t="s">
        <v>9</v>
      </c>
      <c r="I174" s="15">
        <f t="shared" si="9"/>
        <v>0</v>
      </c>
      <c r="J174" s="15"/>
    </row>
    <row r="175" spans="1:14" s="4" customFormat="1" ht="15.75" x14ac:dyDescent="0.25">
      <c r="A175" s="9">
        <v>42135</v>
      </c>
      <c r="B175" s="10">
        <v>213765.43</v>
      </c>
      <c r="C175" s="10">
        <v>0</v>
      </c>
      <c r="D175" s="10">
        <v>16529.439999999999</v>
      </c>
      <c r="E175" s="10">
        <v>2688.59</v>
      </c>
      <c r="F175" s="11">
        <f t="shared" si="8"/>
        <v>194547.4</v>
      </c>
      <c r="G175" s="15">
        <f>7226.61+55000+65000+29321+38000</f>
        <v>194547.61</v>
      </c>
      <c r="H175" s="25" t="s">
        <v>9</v>
      </c>
      <c r="I175" s="15">
        <f t="shared" si="9"/>
        <v>0.20999999999185093</v>
      </c>
      <c r="J175" s="15"/>
    </row>
    <row r="176" spans="1:14" s="4" customFormat="1" ht="15.75" x14ac:dyDescent="0.25">
      <c r="A176" s="9">
        <v>42136</v>
      </c>
      <c r="B176" s="10">
        <v>337134.46</v>
      </c>
      <c r="C176" s="10">
        <v>1845.5</v>
      </c>
      <c r="D176" s="10">
        <v>4926.5600000000004</v>
      </c>
      <c r="E176" s="10">
        <v>2172</v>
      </c>
      <c r="F176" s="11">
        <f t="shared" si="8"/>
        <v>331881.40000000002</v>
      </c>
      <c r="G176" s="15">
        <f>100000+25006.5+21957+28783.5+24028.5+495.5+16712.34+1845.5+29054+43000+41000</f>
        <v>331882.83999999997</v>
      </c>
      <c r="H176" s="25" t="s">
        <v>9</v>
      </c>
      <c r="I176" s="15">
        <f t="shared" si="9"/>
        <v>1.4399999999441206</v>
      </c>
      <c r="J176" s="15"/>
    </row>
    <row r="177" spans="1:15" s="4" customFormat="1" ht="15.75" x14ac:dyDescent="0.25">
      <c r="A177" s="9">
        <v>42137</v>
      </c>
      <c r="B177" s="10">
        <v>341997.16</v>
      </c>
      <c r="C177" s="10">
        <v>0</v>
      </c>
      <c r="D177" s="10">
        <v>79562.11</v>
      </c>
      <c r="E177" s="10">
        <v>4643.8999999999996</v>
      </c>
      <c r="F177" s="11">
        <f t="shared" si="8"/>
        <v>257791.15</v>
      </c>
      <c r="G177" s="15">
        <f>768+5340+57000+55000+12995.5+29687.5+97000</f>
        <v>257791</v>
      </c>
      <c r="H177" s="25" t="s">
        <v>9</v>
      </c>
      <c r="I177" s="15">
        <f t="shared" si="9"/>
        <v>-0.14999999999417923</v>
      </c>
      <c r="J177" s="15" t="s">
        <v>305</v>
      </c>
    </row>
    <row r="178" spans="1:15" s="4" customFormat="1" ht="15.75" x14ac:dyDescent="0.25">
      <c r="A178" s="9">
        <v>42138</v>
      </c>
      <c r="B178" s="10">
        <v>363361.85</v>
      </c>
      <c r="C178" s="10">
        <v>0</v>
      </c>
      <c r="D178" s="10">
        <v>37420.86</v>
      </c>
      <c r="E178" s="10">
        <v>8759.2000000000007</v>
      </c>
      <c r="F178" s="11">
        <f t="shared" si="8"/>
        <v>317181.78999999998</v>
      </c>
      <c r="G178" s="15">
        <f>3656.72+28525+100000+75000+25000+25000+60000</f>
        <v>317181.71999999997</v>
      </c>
      <c r="H178" s="25" t="s">
        <v>9</v>
      </c>
      <c r="I178" s="15">
        <f t="shared" si="9"/>
        <v>-7.0000000006984919E-2</v>
      </c>
      <c r="J178" s="15"/>
    </row>
    <row r="179" spans="1:15" s="4" customFormat="1" ht="15.75" x14ac:dyDescent="0.25">
      <c r="A179" s="9">
        <v>42139</v>
      </c>
      <c r="B179" s="10">
        <v>548537.92000000004</v>
      </c>
      <c r="C179" s="10">
        <v>0</v>
      </c>
      <c r="D179" s="10">
        <v>50872.480000000003</v>
      </c>
      <c r="E179" s="10">
        <v>21885.93</v>
      </c>
      <c r="F179" s="11">
        <f t="shared" si="8"/>
        <v>475779.51000000007</v>
      </c>
      <c r="G179" s="15">
        <f>50000+40000+105000+15583.5+3416.5+15000+9243.8+59000+35000+32536+111000</f>
        <v>475779.8</v>
      </c>
      <c r="H179" s="25" t="s">
        <v>9</v>
      </c>
      <c r="I179" s="15">
        <f t="shared" si="9"/>
        <v>0.28999999992083758</v>
      </c>
      <c r="J179" s="15"/>
    </row>
    <row r="180" spans="1:15" s="4" customFormat="1" ht="15.75" x14ac:dyDescent="0.25">
      <c r="A180" s="9">
        <v>42140</v>
      </c>
      <c r="B180" s="10">
        <v>394783.26</v>
      </c>
      <c r="C180" s="10">
        <v>0</v>
      </c>
      <c r="D180" s="10">
        <v>78149.259999999995</v>
      </c>
      <c r="E180" s="10">
        <v>95012.83</v>
      </c>
      <c r="F180" s="11">
        <f t="shared" si="8"/>
        <v>221621.16999999998</v>
      </c>
      <c r="G180" s="15">
        <f>30621+91000+100000</f>
        <v>221621</v>
      </c>
      <c r="H180" s="25" t="s">
        <v>9</v>
      </c>
      <c r="I180" s="15">
        <f t="shared" si="9"/>
        <v>-0.16999999998370185</v>
      </c>
      <c r="J180" s="15"/>
    </row>
    <row r="181" spans="1:15" s="4" customFormat="1" ht="15.75" x14ac:dyDescent="0.25">
      <c r="A181" s="9">
        <v>42141</v>
      </c>
      <c r="B181" s="10">
        <v>249806.74</v>
      </c>
      <c r="C181" s="10">
        <v>0</v>
      </c>
      <c r="D181" s="10">
        <v>5421.36</v>
      </c>
      <c r="E181" s="10">
        <v>630</v>
      </c>
      <c r="F181" s="11">
        <f t="shared" si="8"/>
        <v>243755.38</v>
      </c>
      <c r="G181" s="15">
        <f>945+65000+75000+77000+25810.5</f>
        <v>243755.5</v>
      </c>
      <c r="H181" s="25" t="s">
        <v>9</v>
      </c>
      <c r="I181" s="15">
        <f t="shared" si="9"/>
        <v>0.11999999999534339</v>
      </c>
      <c r="J181" s="15"/>
    </row>
    <row r="182" spans="1:15" s="4" customFormat="1" ht="15.75" x14ac:dyDescent="0.25">
      <c r="A182" s="9">
        <v>42142</v>
      </c>
      <c r="B182" s="10">
        <v>310601.96000000002</v>
      </c>
      <c r="C182" s="10">
        <v>0</v>
      </c>
      <c r="D182" s="10">
        <v>9926.86</v>
      </c>
      <c r="E182" s="10">
        <v>10107</v>
      </c>
      <c r="F182" s="11">
        <f t="shared" si="8"/>
        <v>290568.10000000003</v>
      </c>
      <c r="G182" s="15">
        <f>30000+90000+7626.06+57000+28942+77000</f>
        <v>290568.06</v>
      </c>
      <c r="H182" s="25" t="s">
        <v>9</v>
      </c>
      <c r="I182" s="15">
        <f t="shared" si="9"/>
        <v>-4.0000000037252903E-2</v>
      </c>
      <c r="J182" s="15"/>
    </row>
    <row r="183" spans="1:15" s="4" customFormat="1" ht="15.75" x14ac:dyDescent="0.25">
      <c r="A183" s="9">
        <v>42143</v>
      </c>
      <c r="B183" s="10">
        <v>281126.74</v>
      </c>
      <c r="C183" s="10">
        <v>0</v>
      </c>
      <c r="D183" s="10">
        <v>9125.31</v>
      </c>
      <c r="E183" s="10">
        <v>1632.6</v>
      </c>
      <c r="F183" s="11">
        <f t="shared" si="8"/>
        <v>270368.83</v>
      </c>
      <c r="G183" s="15">
        <f>65000+60000+42500+71100+519+31250</f>
        <v>270369</v>
      </c>
      <c r="H183" s="25" t="s">
        <v>9</v>
      </c>
      <c r="I183" s="15">
        <f t="shared" si="9"/>
        <v>0.16999999998370185</v>
      </c>
    </row>
    <row r="184" spans="1:15" s="4" customFormat="1" ht="15.75" x14ac:dyDescent="0.25">
      <c r="A184" s="9">
        <v>42144</v>
      </c>
      <c r="B184" s="10">
        <v>309345.42</v>
      </c>
      <c r="C184" s="10">
        <v>1883.5</v>
      </c>
      <c r="D184" s="10">
        <v>5884.34</v>
      </c>
      <c r="E184" s="10">
        <v>2040</v>
      </c>
      <c r="F184" s="11">
        <f t="shared" si="8"/>
        <v>303304.57999999996</v>
      </c>
      <c r="G184" s="15">
        <f>1883.5+1522.12+65000+15502+31387+130000+58000</f>
        <v>303294.62</v>
      </c>
      <c r="H184" s="25" t="s">
        <v>9</v>
      </c>
      <c r="I184" s="15">
        <f t="shared" si="9"/>
        <v>-9.9599999999627471</v>
      </c>
      <c r="J184" s="15" t="s">
        <v>304</v>
      </c>
      <c r="K184" s="4" t="s">
        <v>258</v>
      </c>
    </row>
    <row r="185" spans="1:15" s="4" customFormat="1" ht="15.75" x14ac:dyDescent="0.25">
      <c r="A185" s="9">
        <v>42145</v>
      </c>
      <c r="B185" s="10">
        <v>396299.48</v>
      </c>
      <c r="C185" s="10">
        <v>0</v>
      </c>
      <c r="D185" s="10">
        <v>48547.29</v>
      </c>
      <c r="E185" s="10">
        <v>4072.8</v>
      </c>
      <c r="F185" s="11">
        <f t="shared" si="8"/>
        <v>343679.39</v>
      </c>
      <c r="G185" s="15">
        <f>70000+40000+28693+16120+3680+40186.5+60000+85000</f>
        <v>343679.5</v>
      </c>
      <c r="H185" s="25" t="s">
        <v>9</v>
      </c>
      <c r="I185" s="15">
        <f t="shared" si="9"/>
        <v>0.10999999998603016</v>
      </c>
      <c r="J185" s="15"/>
    </row>
    <row r="186" spans="1:15" s="4" customFormat="1" ht="15.75" x14ac:dyDescent="0.25">
      <c r="A186" s="9">
        <v>42146</v>
      </c>
      <c r="B186" s="10">
        <v>453690.07</v>
      </c>
      <c r="C186" s="10">
        <v>0</v>
      </c>
      <c r="D186" s="10">
        <v>32185.759999999998</v>
      </c>
      <c r="E186" s="10">
        <v>21458</v>
      </c>
      <c r="F186" s="11">
        <f t="shared" si="8"/>
        <v>400046.31</v>
      </c>
      <c r="G186" s="15">
        <f>1314.56+162000+40000+60000+65000+30000+20000+21732</f>
        <v>400046.56</v>
      </c>
      <c r="H186" s="25" t="s">
        <v>9</v>
      </c>
      <c r="I186" s="15">
        <f t="shared" si="9"/>
        <v>0.25</v>
      </c>
      <c r="J186" s="15"/>
    </row>
    <row r="187" spans="1:15" s="4" customFormat="1" ht="15.75" x14ac:dyDescent="0.25">
      <c r="A187" s="9">
        <v>42147</v>
      </c>
      <c r="B187" s="10">
        <v>409720.14</v>
      </c>
      <c r="C187" s="10">
        <v>0</v>
      </c>
      <c r="D187" s="10">
        <v>74184.259999999995</v>
      </c>
      <c r="E187" s="10">
        <v>97299.32</v>
      </c>
      <c r="F187" s="11">
        <f t="shared" si="8"/>
        <v>238236.56</v>
      </c>
      <c r="G187" s="15">
        <f>204.8+588+55000+70000+30444+82000</f>
        <v>238236.79999999999</v>
      </c>
      <c r="H187" s="25" t="s">
        <v>9</v>
      </c>
      <c r="I187" s="15">
        <f t="shared" si="9"/>
        <v>0.23999999999068677</v>
      </c>
      <c r="J187" s="15"/>
    </row>
    <row r="188" spans="1:15" s="4" customFormat="1" ht="15.75" x14ac:dyDescent="0.25">
      <c r="A188" s="9">
        <v>42148</v>
      </c>
      <c r="B188" s="10">
        <v>275587.23</v>
      </c>
      <c r="C188" s="10">
        <v>0</v>
      </c>
      <c r="D188" s="10">
        <v>4431.18</v>
      </c>
      <c r="E188" s="10">
        <v>399</v>
      </c>
      <c r="F188" s="11">
        <f t="shared" si="8"/>
        <v>270757.05</v>
      </c>
      <c r="G188" s="15">
        <f>33757+18000+55000+74000+90000</f>
        <v>270757</v>
      </c>
      <c r="H188" s="25" t="s">
        <v>9</v>
      </c>
      <c r="I188" s="15">
        <f t="shared" si="9"/>
        <v>-4.9999999988358468E-2</v>
      </c>
      <c r="J188" s="15"/>
    </row>
    <row r="189" spans="1:15" s="4" customFormat="1" ht="15.75" x14ac:dyDescent="0.25">
      <c r="A189" s="9">
        <v>42149</v>
      </c>
      <c r="B189" s="10">
        <v>216801.1</v>
      </c>
      <c r="C189" s="10">
        <v>0</v>
      </c>
      <c r="D189" s="10">
        <v>6020.22</v>
      </c>
      <c r="E189" s="10">
        <v>9275</v>
      </c>
      <c r="F189" s="11">
        <f t="shared" si="8"/>
        <v>201505.88</v>
      </c>
      <c r="G189" s="15">
        <f>20000+90000+57000+34505.5</f>
        <v>201505.5</v>
      </c>
      <c r="H189" s="25" t="s">
        <v>9</v>
      </c>
      <c r="I189" s="15">
        <f t="shared" si="9"/>
        <v>-0.38000000000465661</v>
      </c>
      <c r="J189" s="15"/>
    </row>
    <row r="190" spans="1:15" s="4" customFormat="1" ht="15.75" x14ac:dyDescent="0.25">
      <c r="A190" s="9">
        <v>42150</v>
      </c>
      <c r="B190" s="10">
        <v>193849.74</v>
      </c>
      <c r="C190" s="10">
        <v>1494.5</v>
      </c>
      <c r="D190" s="10">
        <v>56198.57</v>
      </c>
      <c r="E190" s="10">
        <v>1550</v>
      </c>
      <c r="F190" s="11">
        <f t="shared" si="8"/>
        <v>137595.66999999998</v>
      </c>
      <c r="G190" s="15">
        <f>1494.5+15000+63000+35014+20000+3086.88+40</f>
        <v>137635.38</v>
      </c>
      <c r="H190" s="25" t="s">
        <v>9</v>
      </c>
      <c r="I190" s="15">
        <f t="shared" si="9"/>
        <v>39.710000000020955</v>
      </c>
      <c r="J190" s="15"/>
      <c r="K190" s="60" t="s">
        <v>281</v>
      </c>
      <c r="L190" s="60"/>
      <c r="M190" s="60"/>
      <c r="N190" s="60"/>
      <c r="O190" s="60"/>
    </row>
    <row r="191" spans="1:15" s="4" customFormat="1" ht="15.75" x14ac:dyDescent="0.25">
      <c r="A191" s="9">
        <v>42151</v>
      </c>
      <c r="B191" s="10">
        <v>274874.92</v>
      </c>
      <c r="C191" s="10">
        <v>0</v>
      </c>
      <c r="D191" s="10">
        <v>14614.6</v>
      </c>
      <c r="E191" s="10">
        <v>62885.56</v>
      </c>
      <c r="F191" s="11">
        <f t="shared" si="8"/>
        <v>197374.75999999998</v>
      </c>
      <c r="G191" s="15">
        <f>7106+40268.5+125000+25000</f>
        <v>197374.5</v>
      </c>
      <c r="H191" s="25" t="s">
        <v>9</v>
      </c>
      <c r="I191" s="15">
        <f t="shared" si="9"/>
        <v>-0.2599999999802094</v>
      </c>
      <c r="J191" s="15"/>
      <c r="K191" s="4" t="s">
        <v>259</v>
      </c>
    </row>
    <row r="192" spans="1:15" s="4" customFormat="1" ht="15.75" x14ac:dyDescent="0.25">
      <c r="A192" s="9">
        <v>42152</v>
      </c>
      <c r="B192" s="10">
        <v>318464.98</v>
      </c>
      <c r="C192" s="10">
        <v>0</v>
      </c>
      <c r="D192" s="10">
        <v>16759.78</v>
      </c>
      <c r="E192" s="10">
        <v>14337</v>
      </c>
      <c r="F192" s="11">
        <f t="shared" si="8"/>
        <v>287368.19999999995</v>
      </c>
      <c r="G192" s="15">
        <f>10956.4+5366+85000+55000+70000+33046+28000</f>
        <v>287368.40000000002</v>
      </c>
      <c r="H192" s="25" t="s">
        <v>9</v>
      </c>
      <c r="I192" s="15">
        <f t="shared" si="9"/>
        <v>0.20000000006984919</v>
      </c>
      <c r="J192" s="15"/>
    </row>
    <row r="193" spans="1:11" s="4" customFormat="1" ht="15.75" x14ac:dyDescent="0.25">
      <c r="A193" s="9">
        <v>42153</v>
      </c>
      <c r="B193" s="10">
        <v>501557.18</v>
      </c>
      <c r="C193" s="10">
        <v>0</v>
      </c>
      <c r="D193" s="10">
        <v>6514.94</v>
      </c>
      <c r="E193" s="10">
        <v>18287</v>
      </c>
      <c r="F193" s="11">
        <f t="shared" si="8"/>
        <v>476755.24</v>
      </c>
      <c r="G193" s="15">
        <f>1960+384+600+20000+80000+85000+70000+105000+75000+38811.5</f>
        <v>476755.5</v>
      </c>
      <c r="H193" s="25" t="s">
        <v>9</v>
      </c>
      <c r="I193" s="15">
        <f t="shared" si="9"/>
        <v>0.26000000000931323</v>
      </c>
      <c r="J193" s="15" t="s">
        <v>260</v>
      </c>
    </row>
    <row r="194" spans="1:11" s="4" customFormat="1" ht="15.75" x14ac:dyDescent="0.25">
      <c r="A194" s="9">
        <v>42154</v>
      </c>
      <c r="B194" s="10">
        <v>402571.04</v>
      </c>
      <c r="C194" s="10">
        <v>0</v>
      </c>
      <c r="D194" s="10">
        <v>37755.1</v>
      </c>
      <c r="E194" s="10">
        <v>98655.1</v>
      </c>
      <c r="F194" s="11">
        <f t="shared" si="8"/>
        <v>266160.83999999997</v>
      </c>
      <c r="G194" s="15">
        <f>55000+35000+42000+97000+37161</f>
        <v>266161</v>
      </c>
      <c r="H194" s="25" t="s">
        <v>9</v>
      </c>
      <c r="I194" s="15">
        <f t="shared" si="9"/>
        <v>0.16000000003259629</v>
      </c>
      <c r="J194" s="15"/>
    </row>
    <row r="195" spans="1:11" s="4" customFormat="1" ht="15.75" x14ac:dyDescent="0.25">
      <c r="A195" s="9">
        <v>42155</v>
      </c>
      <c r="B195" s="10">
        <v>308957.57</v>
      </c>
      <c r="C195" s="10">
        <v>0</v>
      </c>
      <c r="D195" s="10">
        <v>10825.42</v>
      </c>
      <c r="E195" s="10">
        <v>1036.5</v>
      </c>
      <c r="F195" s="11">
        <f t="shared" si="8"/>
        <v>297095.65000000002</v>
      </c>
      <c r="G195" s="15">
        <f>33595.5+125000+45000+73500+20000</f>
        <v>297095.5</v>
      </c>
      <c r="H195" s="25" t="s">
        <v>9</v>
      </c>
      <c r="I195" s="15">
        <f t="shared" si="9"/>
        <v>-0.15000000002328306</v>
      </c>
      <c r="J195" s="15"/>
    </row>
    <row r="196" spans="1:11" s="4" customFormat="1" ht="15.75" x14ac:dyDescent="0.25">
      <c r="A196" s="9"/>
      <c r="B196" s="10"/>
      <c r="C196" s="10"/>
      <c r="D196" s="10"/>
      <c r="E196" s="10"/>
      <c r="F196" s="11">
        <f t="shared" si="8"/>
        <v>0</v>
      </c>
      <c r="G196" s="15"/>
      <c r="H196" s="25"/>
      <c r="I196" s="15">
        <f t="shared" si="9"/>
        <v>0</v>
      </c>
      <c r="J196" s="15"/>
    </row>
    <row r="197" spans="1:11" s="4" customFormat="1" ht="15.75" x14ac:dyDescent="0.25">
      <c r="A197" s="14"/>
      <c r="B197" s="10"/>
      <c r="C197" s="10"/>
      <c r="D197" s="10"/>
      <c r="E197" s="10"/>
      <c r="F197" s="11">
        <f t="shared" si="8"/>
        <v>0</v>
      </c>
      <c r="G197" s="15"/>
      <c r="H197" s="189" t="s">
        <v>9</v>
      </c>
      <c r="J197" s="15"/>
    </row>
    <row r="198" spans="1:11" s="4" customFormat="1" ht="15.75" x14ac:dyDescent="0.25">
      <c r="A198" s="14"/>
      <c r="B198" s="13"/>
      <c r="C198" s="10"/>
      <c r="D198" s="10"/>
      <c r="E198" s="10"/>
      <c r="F198" s="11">
        <f t="shared" si="8"/>
        <v>0</v>
      </c>
      <c r="G198" s="15"/>
      <c r="J198" s="15"/>
    </row>
    <row r="199" spans="1:11" s="4" customFormat="1" ht="15.75" x14ac:dyDescent="0.25">
      <c r="A199" s="14"/>
      <c r="B199" s="10"/>
      <c r="C199" s="10"/>
      <c r="D199" s="10"/>
      <c r="E199" s="10"/>
      <c r="F199" s="11">
        <f t="shared" si="8"/>
        <v>0</v>
      </c>
      <c r="G199" s="15"/>
      <c r="J199" s="15"/>
    </row>
    <row r="200" spans="1:11" s="4" customFormat="1" ht="15.75" x14ac:dyDescent="0.25">
      <c r="A200" s="14"/>
      <c r="B200" s="10">
        <f>SUM(B165:B199)</f>
        <v>10692969.489999998</v>
      </c>
      <c r="C200" s="10">
        <f>SUM(C165:C199)</f>
        <v>21385.5</v>
      </c>
      <c r="D200" s="10"/>
      <c r="E200" s="10">
        <f>SUM(E165:E199)</f>
        <v>766954.02000000014</v>
      </c>
      <c r="F200" s="11">
        <f t="shared" si="8"/>
        <v>9947400.9699999988</v>
      </c>
      <c r="G200" s="15"/>
      <c r="J200" s="15"/>
    </row>
    <row r="202" spans="1:11" ht="18.75" x14ac:dyDescent="0.3">
      <c r="B202" s="275" t="s">
        <v>221</v>
      </c>
      <c r="C202" s="275"/>
      <c r="D202" s="275"/>
      <c r="E202" s="275"/>
      <c r="F202" s="275"/>
      <c r="G202" s="275"/>
    </row>
    <row r="204" spans="1:11" ht="16.5" thickBot="1" x14ac:dyDescent="0.3">
      <c r="A204" s="19" t="s">
        <v>0</v>
      </c>
      <c r="B204" s="20" t="s">
        <v>1</v>
      </c>
      <c r="C204" s="67" t="s">
        <v>58</v>
      </c>
      <c r="D204" s="8" t="s">
        <v>3</v>
      </c>
      <c r="E204" s="21" t="s">
        <v>2</v>
      </c>
      <c r="F204" s="22" t="s">
        <v>4</v>
      </c>
      <c r="G204" s="27" t="s">
        <v>8</v>
      </c>
      <c r="H204" s="4"/>
      <c r="I204" s="4"/>
    </row>
    <row r="205" spans="1:11" ht="16.5" thickTop="1" x14ac:dyDescent="0.25">
      <c r="A205" s="9">
        <v>42156</v>
      </c>
      <c r="B205" s="10">
        <v>224762.47</v>
      </c>
      <c r="C205" s="10">
        <v>0</v>
      </c>
      <c r="D205" s="10">
        <v>19101.82</v>
      </c>
      <c r="E205" s="10">
        <v>2301</v>
      </c>
      <c r="F205" s="11">
        <f>B205+C205-D205-E205</f>
        <v>203359.65</v>
      </c>
      <c r="G205" s="15">
        <f>4558+30000+54000+80000+34801.5</f>
        <v>203359.5</v>
      </c>
      <c r="H205" s="25" t="s">
        <v>9</v>
      </c>
      <c r="I205" s="15">
        <f>G205-F205</f>
        <v>-0.14999999999417923</v>
      </c>
      <c r="K205" s="4"/>
    </row>
    <row r="206" spans="1:11" ht="15.75" x14ac:dyDescent="0.25">
      <c r="A206" s="9">
        <v>42157</v>
      </c>
      <c r="B206" s="10">
        <v>241007.3</v>
      </c>
      <c r="C206" s="10">
        <v>1241</v>
      </c>
      <c r="D206" s="10">
        <v>17623.259999999998</v>
      </c>
      <c r="E206" s="10">
        <v>8395.15</v>
      </c>
      <c r="F206" s="11">
        <f t="shared" ref="F206:F240" si="10">B206+C206-D206-E206</f>
        <v>216229.88999999998</v>
      </c>
      <c r="G206" s="15">
        <f>1241+70000+55000+8233.6+4787.56+9090.12+39000+28877.5</f>
        <v>216229.78</v>
      </c>
      <c r="H206" s="25" t="s">
        <v>9</v>
      </c>
      <c r="I206" s="15">
        <f t="shared" ref="I206:I236" si="11">G206-F206</f>
        <v>-0.10999999998603016</v>
      </c>
    </row>
    <row r="207" spans="1:11" ht="15.75" x14ac:dyDescent="0.25">
      <c r="A207" s="9">
        <v>42158</v>
      </c>
      <c r="B207" s="10">
        <v>286371.44</v>
      </c>
      <c r="C207" s="10">
        <v>0</v>
      </c>
      <c r="D207" s="10">
        <v>10347.33</v>
      </c>
      <c r="E207" s="10">
        <v>7563.2</v>
      </c>
      <c r="F207" s="11">
        <f t="shared" si="10"/>
        <v>268460.90999999997</v>
      </c>
      <c r="G207" s="15">
        <f>520+6320+75000+69500+90000+27123</f>
        <v>268463</v>
      </c>
      <c r="H207" s="25" t="s">
        <v>9</v>
      </c>
      <c r="I207" s="15">
        <f t="shared" si="11"/>
        <v>2.0900000000256114</v>
      </c>
      <c r="K207" s="4"/>
    </row>
    <row r="208" spans="1:11" ht="15.75" x14ac:dyDescent="0.25">
      <c r="A208" s="9">
        <v>42159</v>
      </c>
      <c r="B208" s="10">
        <v>432113.59</v>
      </c>
      <c r="C208" s="10">
        <v>0</v>
      </c>
      <c r="D208" s="10">
        <v>8351.32</v>
      </c>
      <c r="E208" s="10">
        <v>2576</v>
      </c>
      <c r="F208" s="11">
        <f t="shared" si="10"/>
        <v>421186.27</v>
      </c>
      <c r="G208" s="15">
        <f>105000+35343.5+95000+62000+17350+396+22383+18324+17515+19555+20645.28+716+5038.68+1920</f>
        <v>421186.46</v>
      </c>
      <c r="H208" s="25" t="s">
        <v>9</v>
      </c>
      <c r="I208" s="15">
        <f t="shared" si="11"/>
        <v>0.19000000000232831</v>
      </c>
      <c r="K208" s="4"/>
    </row>
    <row r="209" spans="1:16" ht="15.75" x14ac:dyDescent="0.25">
      <c r="A209" s="9">
        <v>42160</v>
      </c>
      <c r="B209" s="10">
        <v>450732.98</v>
      </c>
      <c r="C209" s="10">
        <v>0</v>
      </c>
      <c r="D209" s="10">
        <v>8412.2800000000007</v>
      </c>
      <c r="E209" s="10">
        <v>19562</v>
      </c>
      <c r="F209" s="11">
        <f t="shared" si="10"/>
        <v>422758.69999999995</v>
      </c>
      <c r="G209" s="15">
        <f>65000+95000+80000+70500+38373.5+45000+27606+1279.34</f>
        <v>422758.84</v>
      </c>
      <c r="H209" s="25" t="s">
        <v>9</v>
      </c>
      <c r="I209" s="15">
        <f t="shared" si="11"/>
        <v>0.1400000000721775</v>
      </c>
      <c r="K209" s="4"/>
    </row>
    <row r="210" spans="1:16" ht="15.75" x14ac:dyDescent="0.25">
      <c r="A210" s="9">
        <v>42161</v>
      </c>
      <c r="B210" s="10">
        <v>440646.5</v>
      </c>
      <c r="C210" s="10">
        <v>0</v>
      </c>
      <c r="D210" s="10">
        <v>20792.88</v>
      </c>
      <c r="E210" s="10">
        <v>92366.64</v>
      </c>
      <c r="F210" s="11">
        <f t="shared" si="10"/>
        <v>327486.98</v>
      </c>
      <c r="G210" s="15">
        <f>75500+36359.5+10000+55000+65000+80000+5627.48</f>
        <v>327486.98</v>
      </c>
      <c r="H210" s="25" t="s">
        <v>9</v>
      </c>
      <c r="I210" s="15">
        <f t="shared" si="11"/>
        <v>0</v>
      </c>
      <c r="K210" s="4"/>
    </row>
    <row r="211" spans="1:16" ht="15.75" x14ac:dyDescent="0.25">
      <c r="A211" s="9">
        <v>42162</v>
      </c>
      <c r="B211" s="10">
        <v>353712.8</v>
      </c>
      <c r="C211" s="10">
        <v>0</v>
      </c>
      <c r="D211" s="10">
        <v>8959.66</v>
      </c>
      <c r="E211" s="10">
        <v>1450</v>
      </c>
      <c r="F211" s="11">
        <f t="shared" si="10"/>
        <v>343303.14</v>
      </c>
      <c r="G211" s="15">
        <f>50500+34698+98000+60000+54854.5+5974.5+14438.5+24838.5</f>
        <v>343304</v>
      </c>
      <c r="H211" s="25" t="s">
        <v>9</v>
      </c>
      <c r="I211" s="15">
        <f t="shared" si="11"/>
        <v>0.85999999998603016</v>
      </c>
      <c r="K211" s="4"/>
    </row>
    <row r="212" spans="1:16" ht="15.75" x14ac:dyDescent="0.25">
      <c r="A212" s="9">
        <v>42163</v>
      </c>
      <c r="B212" s="10">
        <v>268428.13</v>
      </c>
      <c r="C212" s="10">
        <v>0</v>
      </c>
      <c r="D212" s="10">
        <v>25562.12</v>
      </c>
      <c r="E212" s="10">
        <v>5342.36</v>
      </c>
      <c r="F212" s="11">
        <f t="shared" si="10"/>
        <v>237523.65000000002</v>
      </c>
      <c r="G212" s="15">
        <f>55000+20000+72000+35523.5+55000</f>
        <v>237523.5</v>
      </c>
      <c r="H212" s="25" t="s">
        <v>9</v>
      </c>
      <c r="I212" s="15">
        <f t="shared" si="11"/>
        <v>-0.15000000002328306</v>
      </c>
      <c r="K212" s="4"/>
    </row>
    <row r="213" spans="1:16" ht="15.75" x14ac:dyDescent="0.25">
      <c r="A213" s="9">
        <v>42164</v>
      </c>
      <c r="B213" s="10">
        <v>243068.44</v>
      </c>
      <c r="C213" s="10">
        <v>1862</v>
      </c>
      <c r="D213" s="10">
        <v>2895.47</v>
      </c>
      <c r="E213" s="10">
        <v>84720</v>
      </c>
      <c r="F213" s="11">
        <f t="shared" si="10"/>
        <v>157314.97</v>
      </c>
      <c r="G213" s="15">
        <f>42000+62000+31609+19844+1862</f>
        <v>157315</v>
      </c>
      <c r="H213" s="25" t="s">
        <v>9</v>
      </c>
      <c r="I213" s="15">
        <f t="shared" si="11"/>
        <v>2.9999999998835847E-2</v>
      </c>
      <c r="J213" t="s">
        <v>303</v>
      </c>
      <c r="K213" s="60" t="s">
        <v>283</v>
      </c>
      <c r="L213" s="60"/>
      <c r="M213" s="60"/>
      <c r="N213" s="60"/>
      <c r="O213" s="60"/>
    </row>
    <row r="214" spans="1:16" ht="15.75" x14ac:dyDescent="0.25">
      <c r="A214" s="9">
        <v>42165</v>
      </c>
      <c r="B214" s="10">
        <v>278662.28999999998</v>
      </c>
      <c r="C214" s="10">
        <v>0</v>
      </c>
      <c r="D214" s="10">
        <v>3696.14</v>
      </c>
      <c r="E214" s="10">
        <v>91910.35</v>
      </c>
      <c r="F214" s="11">
        <f t="shared" si="10"/>
        <v>183055.79999999996</v>
      </c>
      <c r="G214" s="15">
        <f>65000+80000+38056</f>
        <v>183056</v>
      </c>
      <c r="H214" s="25" t="s">
        <v>9</v>
      </c>
      <c r="I214" s="15">
        <f t="shared" si="11"/>
        <v>0.20000000004074536</v>
      </c>
      <c r="J214" t="s">
        <v>282</v>
      </c>
      <c r="K214" s="60" t="s">
        <v>284</v>
      </c>
      <c r="L214" s="60"/>
      <c r="M214" s="60"/>
      <c r="N214" s="60"/>
      <c r="O214" s="60"/>
      <c r="P214" s="60"/>
    </row>
    <row r="215" spans="1:16" ht="15.75" x14ac:dyDescent="0.25">
      <c r="A215" s="9">
        <v>42166</v>
      </c>
      <c r="B215" s="10">
        <v>345708.96</v>
      </c>
      <c r="C215" s="10">
        <v>0</v>
      </c>
      <c r="D215" s="10">
        <v>6415.4</v>
      </c>
      <c r="E215" s="10">
        <v>12707.43</v>
      </c>
      <c r="F215" s="11">
        <f t="shared" si="10"/>
        <v>326586.13</v>
      </c>
      <c r="G215" s="15">
        <f>340+1036+5140+95000+113500+80000+31570</f>
        <v>326586</v>
      </c>
      <c r="H215" s="25" t="s">
        <v>9</v>
      </c>
      <c r="I215" s="15">
        <f t="shared" si="11"/>
        <v>-0.13000000000465661</v>
      </c>
      <c r="K215" s="4"/>
    </row>
    <row r="216" spans="1:16" ht="15.75" x14ac:dyDescent="0.25">
      <c r="A216" s="9">
        <v>42167</v>
      </c>
      <c r="B216" s="10">
        <v>412754.16</v>
      </c>
      <c r="C216" s="10">
        <v>0</v>
      </c>
      <c r="D216" s="10">
        <v>8728.52</v>
      </c>
      <c r="E216" s="10">
        <v>22868.5</v>
      </c>
      <c r="F216" s="11">
        <f t="shared" si="10"/>
        <v>381157.13999999996</v>
      </c>
      <c r="G216" s="15">
        <f>100000+40000+72000+126000+41366.5+1791</f>
        <v>381157.5</v>
      </c>
      <c r="H216" s="25" t="s">
        <v>9</v>
      </c>
      <c r="I216" s="15">
        <f t="shared" si="11"/>
        <v>0.36000000004423782</v>
      </c>
      <c r="K216" s="60" t="s">
        <v>286</v>
      </c>
      <c r="L216" s="60"/>
    </row>
    <row r="217" spans="1:16" ht="15.75" x14ac:dyDescent="0.25">
      <c r="A217" s="9">
        <v>42168</v>
      </c>
      <c r="B217" s="10">
        <v>415312.11</v>
      </c>
      <c r="C217" s="10">
        <v>0</v>
      </c>
      <c r="D217" s="10">
        <v>24680.78</v>
      </c>
      <c r="E217" s="10">
        <v>99245.15</v>
      </c>
      <c r="F217" s="11">
        <f t="shared" si="10"/>
        <v>291386.17999999993</v>
      </c>
      <c r="G217" s="15">
        <f>6541.1+16754.88+35000+50000+45090+65000+73000</f>
        <v>291385.98</v>
      </c>
      <c r="H217" s="25" t="s">
        <v>9</v>
      </c>
      <c r="I217" s="15">
        <f t="shared" si="11"/>
        <v>-0.19999999995343387</v>
      </c>
      <c r="K217" s="4"/>
    </row>
    <row r="218" spans="1:16" ht="15.75" x14ac:dyDescent="0.25">
      <c r="A218" s="9">
        <v>42169</v>
      </c>
      <c r="B218" s="10">
        <v>247564.58</v>
      </c>
      <c r="C218" s="10">
        <v>0</v>
      </c>
      <c r="D218" s="10">
        <v>9031.06</v>
      </c>
      <c r="E218" s="10">
        <v>2597.5</v>
      </c>
      <c r="F218" s="11">
        <f t="shared" si="10"/>
        <v>235936.02</v>
      </c>
      <c r="G218" s="15">
        <f>80000+45000+40936+70000</f>
        <v>235936</v>
      </c>
      <c r="H218" s="25" t="s">
        <v>9</v>
      </c>
      <c r="I218" s="15">
        <f t="shared" si="11"/>
        <v>-1.9999999989522621E-2</v>
      </c>
      <c r="K218" s="4"/>
    </row>
    <row r="219" spans="1:16" ht="15.75" x14ac:dyDescent="0.25">
      <c r="A219" s="9">
        <v>42170</v>
      </c>
      <c r="B219" s="10">
        <v>248787.52</v>
      </c>
      <c r="C219" s="10">
        <v>0</v>
      </c>
      <c r="D219" s="10">
        <v>19839.02</v>
      </c>
      <c r="E219" s="10">
        <v>1721</v>
      </c>
      <c r="F219" s="11">
        <f t="shared" si="10"/>
        <v>227227.5</v>
      </c>
      <c r="G219" s="15">
        <f>33000+50000+55000+13000+30178+31960+14089.5</f>
        <v>227227.5</v>
      </c>
      <c r="H219" s="25" t="s">
        <v>9</v>
      </c>
      <c r="I219" s="15">
        <f t="shared" si="11"/>
        <v>0</v>
      </c>
      <c r="K219" s="4"/>
    </row>
    <row r="220" spans="1:16" ht="15.75" x14ac:dyDescent="0.25">
      <c r="A220" s="9">
        <v>42171</v>
      </c>
      <c r="B220" s="10">
        <v>269795.8</v>
      </c>
      <c r="C220" s="10">
        <v>1732</v>
      </c>
      <c r="D220" s="10">
        <v>4941.22</v>
      </c>
      <c r="E220" s="10">
        <v>1230.73</v>
      </c>
      <c r="F220" s="11">
        <f t="shared" si="10"/>
        <v>265355.85000000003</v>
      </c>
      <c r="G220" s="15">
        <f>1732.5+110000+90000+35500+28124</f>
        <v>265356.5</v>
      </c>
      <c r="H220" s="25" t="s">
        <v>9</v>
      </c>
      <c r="I220" s="15">
        <f t="shared" si="11"/>
        <v>0.6499999999650754</v>
      </c>
      <c r="J220" t="s">
        <v>302</v>
      </c>
      <c r="K220" s="4"/>
    </row>
    <row r="221" spans="1:16" ht="15.75" x14ac:dyDescent="0.25">
      <c r="A221" s="9">
        <v>42172</v>
      </c>
      <c r="B221" s="10">
        <v>245871.03</v>
      </c>
      <c r="C221" s="10">
        <v>0</v>
      </c>
      <c r="D221" s="10">
        <v>16636.259999999998</v>
      </c>
      <c r="E221" s="10">
        <v>12836</v>
      </c>
      <c r="F221" s="11">
        <f t="shared" si="10"/>
        <v>216398.77</v>
      </c>
      <c r="G221" s="15">
        <f>31399+15000+60000+110000</f>
        <v>216399</v>
      </c>
      <c r="H221" s="25" t="s">
        <v>9</v>
      </c>
      <c r="I221" s="15">
        <f t="shared" si="11"/>
        <v>0.23000000001047738</v>
      </c>
      <c r="K221" s="4"/>
    </row>
    <row r="222" spans="1:16" ht="15.75" x14ac:dyDescent="0.25">
      <c r="A222" s="9">
        <v>42173</v>
      </c>
      <c r="B222" s="10">
        <v>372330.66</v>
      </c>
      <c r="C222" s="10">
        <v>0</v>
      </c>
      <c r="D222" s="10">
        <v>5600.6</v>
      </c>
      <c r="E222" s="10">
        <v>3288.9</v>
      </c>
      <c r="F222" s="11">
        <f t="shared" si="10"/>
        <v>363441.16</v>
      </c>
      <c r="G222" s="15">
        <f>80000+65000+80000+35000+28000+12000+30771.5+8177.22+11020.44+980+1120+2562.28+8810</f>
        <v>363441.44</v>
      </c>
      <c r="H222" s="25" t="s">
        <v>9</v>
      </c>
      <c r="I222" s="15">
        <f t="shared" si="11"/>
        <v>0.28000000002793968</v>
      </c>
      <c r="J222" t="s">
        <v>287</v>
      </c>
      <c r="K222" s="4"/>
    </row>
    <row r="223" spans="1:16" ht="15.75" x14ac:dyDescent="0.25">
      <c r="A223" s="9">
        <v>42174</v>
      </c>
      <c r="B223" s="10">
        <f>466930.76</f>
        <v>466930.76</v>
      </c>
      <c r="C223" s="10">
        <v>0</v>
      </c>
      <c r="D223" s="10">
        <v>14394.51</v>
      </c>
      <c r="E223" s="10">
        <f>20309.59+2400</f>
        <v>22709.59</v>
      </c>
      <c r="F223" s="11">
        <f t="shared" si="10"/>
        <v>429826.66</v>
      </c>
      <c r="G223" s="15">
        <f>105000+50000+25000+45000+70000+101000+32654.5+1172</f>
        <v>429826.5</v>
      </c>
      <c r="H223" s="25" t="s">
        <v>9</v>
      </c>
      <c r="I223" s="15">
        <f t="shared" si="11"/>
        <v>-0.15999999997438863</v>
      </c>
      <c r="K223" s="4"/>
    </row>
    <row r="224" spans="1:16" ht="15.75" x14ac:dyDescent="0.25">
      <c r="A224" s="9">
        <v>42175</v>
      </c>
      <c r="B224" s="10">
        <v>392530.79</v>
      </c>
      <c r="C224" s="10">
        <v>0</v>
      </c>
      <c r="D224" s="10">
        <v>13356.1</v>
      </c>
      <c r="E224" s="10">
        <v>104814.45</v>
      </c>
      <c r="F224" s="11">
        <f t="shared" si="10"/>
        <v>274360.24</v>
      </c>
      <c r="G224" s="15">
        <f>156+272+11225.92+75000+20000+39706.5+51000+77000</f>
        <v>274360.42</v>
      </c>
      <c r="H224" s="25" t="s">
        <v>9</v>
      </c>
      <c r="I224" s="15">
        <f t="shared" si="11"/>
        <v>0.17999999999301508</v>
      </c>
      <c r="K224" s="4"/>
    </row>
    <row r="225" spans="1:16" ht="15.75" x14ac:dyDescent="0.25">
      <c r="A225" s="9">
        <v>42176</v>
      </c>
      <c r="B225" s="10">
        <v>340112.01</v>
      </c>
      <c r="C225" s="10">
        <v>0</v>
      </c>
      <c r="D225" s="10">
        <v>4936.1000000000004</v>
      </c>
      <c r="E225" s="10">
        <v>1640</v>
      </c>
      <c r="F225" s="11">
        <f t="shared" si="10"/>
        <v>333535.91000000003</v>
      </c>
      <c r="G225" s="15">
        <f>41536+145000+40000+50000+57000</f>
        <v>333536</v>
      </c>
      <c r="H225" s="25" t="s">
        <v>9</v>
      </c>
      <c r="I225" s="15">
        <f t="shared" si="11"/>
        <v>8.999999996740371E-2</v>
      </c>
      <c r="K225" s="4"/>
    </row>
    <row r="226" spans="1:16" ht="15.75" x14ac:dyDescent="0.25">
      <c r="A226" s="9">
        <v>42177</v>
      </c>
      <c r="B226" s="10">
        <v>308209.84999999998</v>
      </c>
      <c r="C226" s="10">
        <v>0</v>
      </c>
      <c r="D226" s="10">
        <v>148609.78</v>
      </c>
      <c r="E226" s="10">
        <v>715</v>
      </c>
      <c r="F226" s="11">
        <f t="shared" si="10"/>
        <v>158885.06999999998</v>
      </c>
      <c r="G226" s="15">
        <f>26600+15654+37956+34675+44000</f>
        <v>158885</v>
      </c>
      <c r="H226" s="25" t="s">
        <v>9</v>
      </c>
      <c r="I226" s="15">
        <f t="shared" si="11"/>
        <v>-6.9999999977881089E-2</v>
      </c>
      <c r="J226" t="s">
        <v>290</v>
      </c>
      <c r="K226" s="4"/>
    </row>
    <row r="227" spans="1:16" ht="15.75" x14ac:dyDescent="0.25">
      <c r="A227" s="9">
        <v>42178</v>
      </c>
      <c r="B227" s="10">
        <v>283038.71999999997</v>
      </c>
      <c r="C227" s="10">
        <v>3813.5</v>
      </c>
      <c r="D227" s="10">
        <v>25114.639999999999</v>
      </c>
      <c r="E227" s="10">
        <v>2629</v>
      </c>
      <c r="F227" s="11">
        <f t="shared" si="10"/>
        <v>259108.57999999996</v>
      </c>
      <c r="G227" s="15">
        <f>5348+3813.5+95000+85000+31947+38000</f>
        <v>259108.5</v>
      </c>
      <c r="H227" s="25" t="s">
        <v>9</v>
      </c>
      <c r="I227" s="15">
        <f t="shared" si="11"/>
        <v>-7.9999999958090484E-2</v>
      </c>
      <c r="J227" t="s">
        <v>301</v>
      </c>
      <c r="K227" s="60" t="s">
        <v>306</v>
      </c>
      <c r="L227" s="60"/>
      <c r="M227" s="60"/>
      <c r="N227" s="60"/>
      <c r="O227" s="60"/>
      <c r="P227" s="60"/>
    </row>
    <row r="228" spans="1:16" ht="15.75" x14ac:dyDescent="0.25">
      <c r="A228" s="9">
        <v>42179</v>
      </c>
      <c r="B228" s="10">
        <v>264689.51</v>
      </c>
      <c r="C228" s="10">
        <v>0</v>
      </c>
      <c r="D228" s="10">
        <v>68590.320000000007</v>
      </c>
      <c r="E228" s="10">
        <v>9464</v>
      </c>
      <c r="F228" s="11">
        <f t="shared" si="10"/>
        <v>186635.19</v>
      </c>
      <c r="G228" s="15">
        <f>680+940+35015+40000+40000+70000</f>
        <v>186635</v>
      </c>
      <c r="H228" s="25" t="s">
        <v>9</v>
      </c>
      <c r="I228" s="15">
        <f t="shared" si="11"/>
        <v>-0.19000000000232831</v>
      </c>
      <c r="J228" t="s">
        <v>293</v>
      </c>
      <c r="K228" s="4"/>
    </row>
    <row r="229" spans="1:16" ht="15.75" x14ac:dyDescent="0.25">
      <c r="A229" s="9">
        <v>42180</v>
      </c>
      <c r="B229" s="10">
        <v>331988.01</v>
      </c>
      <c r="C229" s="10">
        <v>0</v>
      </c>
      <c r="D229" s="10">
        <v>14818.48</v>
      </c>
      <c r="E229" s="10">
        <f>1726+2000+5253.11</f>
        <v>8979.11</v>
      </c>
      <c r="F229" s="11">
        <f t="shared" si="10"/>
        <v>308190.42000000004</v>
      </c>
      <c r="G229" s="15">
        <f>5226+1824.32+19220.26+6549.66+32370.5+105000+95000+38000+5000</f>
        <v>308190.74</v>
      </c>
      <c r="H229" s="25" t="s">
        <v>9</v>
      </c>
      <c r="I229" s="15">
        <f t="shared" si="11"/>
        <v>0.31999999994877726</v>
      </c>
      <c r="K229" s="4"/>
    </row>
    <row r="230" spans="1:16" ht="15.75" x14ac:dyDescent="0.25">
      <c r="A230" s="9">
        <v>42181</v>
      </c>
      <c r="B230" s="10">
        <v>533116.41</v>
      </c>
      <c r="C230" s="10">
        <v>0</v>
      </c>
      <c r="D230" s="10">
        <v>81823.58</v>
      </c>
      <c r="E230" s="10">
        <v>28343</v>
      </c>
      <c r="F230" s="11">
        <f t="shared" si="10"/>
        <v>422949.83</v>
      </c>
      <c r="G230" s="15">
        <f>85000+50000+36584+16407.86+36958.5+25000+90000+83000</f>
        <v>422950.36</v>
      </c>
      <c r="H230" s="25" t="s">
        <v>9</v>
      </c>
      <c r="I230" s="15">
        <f t="shared" si="11"/>
        <v>0.52999999996973202</v>
      </c>
      <c r="J230" t="s">
        <v>300</v>
      </c>
      <c r="K230" s="4"/>
    </row>
    <row r="231" spans="1:16" ht="15.75" x14ac:dyDescent="0.25">
      <c r="A231" s="9">
        <v>42182</v>
      </c>
      <c r="B231" s="10">
        <v>429094.9</v>
      </c>
      <c r="C231" s="10">
        <v>0</v>
      </c>
      <c r="D231" s="10">
        <v>19901.759999999998</v>
      </c>
      <c r="E231" s="10">
        <v>103509.5</v>
      </c>
      <c r="F231" s="11">
        <f t="shared" si="10"/>
        <v>305683.64</v>
      </c>
      <c r="G231" s="15">
        <f>90000+30000+33709.5+60000+85000+6974.06</f>
        <v>305683.56</v>
      </c>
      <c r="H231" s="25" t="s">
        <v>9</v>
      </c>
      <c r="I231" s="15">
        <f t="shared" si="11"/>
        <v>-8.0000000016298145E-2</v>
      </c>
      <c r="J231" t="s">
        <v>299</v>
      </c>
      <c r="K231" s="4"/>
    </row>
    <row r="232" spans="1:16" ht="15.75" x14ac:dyDescent="0.25">
      <c r="A232" s="9">
        <v>42183</v>
      </c>
      <c r="B232" s="10">
        <v>253709.46</v>
      </c>
      <c r="C232" s="10">
        <v>0</v>
      </c>
      <c r="D232" s="10">
        <v>7508.18</v>
      </c>
      <c r="E232" s="10">
        <v>130</v>
      </c>
      <c r="F232" s="11">
        <f t="shared" si="10"/>
        <v>246071.28</v>
      </c>
      <c r="G232" s="15">
        <f>79000+60000+70000+37071.5</f>
        <v>246071.5</v>
      </c>
      <c r="H232" s="25" t="s">
        <v>9</v>
      </c>
      <c r="I232" s="15">
        <f t="shared" si="11"/>
        <v>0.22000000000116415</v>
      </c>
      <c r="J232" t="s">
        <v>298</v>
      </c>
      <c r="K232" s="4"/>
    </row>
    <row r="233" spans="1:16" ht="15.75" x14ac:dyDescent="0.25">
      <c r="A233" s="9">
        <v>42184</v>
      </c>
      <c r="B233" s="10">
        <v>243997.02</v>
      </c>
      <c r="C233" s="10">
        <v>892</v>
      </c>
      <c r="D233" s="10">
        <v>7717.54</v>
      </c>
      <c r="E233" s="10">
        <v>2524.33</v>
      </c>
      <c r="F233" s="11">
        <f t="shared" si="10"/>
        <v>234647.15</v>
      </c>
      <c r="G233" s="15">
        <f>85000+87440+26315+35000+892</f>
        <v>234647</v>
      </c>
      <c r="H233" s="25" t="s">
        <v>9</v>
      </c>
      <c r="I233" s="15">
        <f t="shared" si="11"/>
        <v>-0.14999999999417923</v>
      </c>
      <c r="J233" t="s">
        <v>297</v>
      </c>
      <c r="K233" s="4"/>
    </row>
    <row r="234" spans="1:16" ht="15.75" x14ac:dyDescent="0.25">
      <c r="A234" s="9">
        <v>42185</v>
      </c>
      <c r="B234" s="10">
        <v>212030.57</v>
      </c>
      <c r="C234" s="10">
        <v>0</v>
      </c>
      <c r="D234" s="10">
        <v>6242.22</v>
      </c>
      <c r="E234" s="10">
        <f>5231+6500</f>
        <v>11731</v>
      </c>
      <c r="F234" s="11">
        <f t="shared" si="10"/>
        <v>194057.35</v>
      </c>
      <c r="G234" s="15">
        <f>34057.5+85000+75000</f>
        <v>194057.5</v>
      </c>
      <c r="H234" s="25" t="s">
        <v>9</v>
      </c>
      <c r="I234" s="15">
        <f t="shared" si="11"/>
        <v>0.14999999999417923</v>
      </c>
      <c r="J234" t="s">
        <v>296</v>
      </c>
      <c r="K234" s="60" t="s">
        <v>307</v>
      </c>
      <c r="L234" s="60"/>
    </row>
    <row r="235" spans="1:16" ht="15.75" x14ac:dyDescent="0.25">
      <c r="A235" s="9"/>
      <c r="B235" s="10"/>
      <c r="C235" s="10"/>
      <c r="D235" s="10"/>
      <c r="E235" s="10"/>
      <c r="F235" s="11">
        <f t="shared" si="10"/>
        <v>0</v>
      </c>
      <c r="G235" s="15"/>
      <c r="H235" s="25"/>
      <c r="I235" s="15">
        <f t="shared" si="11"/>
        <v>0</v>
      </c>
    </row>
    <row r="236" spans="1:16" ht="15.75" x14ac:dyDescent="0.25">
      <c r="A236" s="9"/>
      <c r="B236" s="10"/>
      <c r="C236" s="10"/>
      <c r="D236" s="10"/>
      <c r="E236" s="10"/>
      <c r="F236" s="11">
        <f t="shared" si="10"/>
        <v>0</v>
      </c>
      <c r="G236" s="15"/>
      <c r="H236" s="189" t="s">
        <v>9</v>
      </c>
      <c r="I236" s="15">
        <f t="shared" si="11"/>
        <v>0</v>
      </c>
    </row>
    <row r="237" spans="1:16" ht="15.75" x14ac:dyDescent="0.25">
      <c r="A237" s="9"/>
      <c r="B237" s="10"/>
      <c r="C237" s="10"/>
      <c r="D237" s="10"/>
      <c r="E237" s="10"/>
      <c r="F237" s="11">
        <f t="shared" si="10"/>
        <v>0</v>
      </c>
      <c r="G237" s="15"/>
      <c r="H237" s="4"/>
      <c r="I237" s="4"/>
    </row>
    <row r="238" spans="1:16" ht="15.75" x14ac:dyDescent="0.25">
      <c r="A238" s="14"/>
      <c r="B238" s="13"/>
      <c r="C238" s="10"/>
      <c r="D238" s="10"/>
      <c r="E238" s="10"/>
      <c r="F238" s="11">
        <f t="shared" si="10"/>
        <v>0</v>
      </c>
      <c r="G238" s="15"/>
      <c r="H238" s="4"/>
      <c r="I238" s="4"/>
    </row>
    <row r="239" spans="1:16" ht="15.75" x14ac:dyDescent="0.25">
      <c r="A239" s="14"/>
      <c r="B239" s="10"/>
      <c r="C239" s="10"/>
      <c r="D239" s="10"/>
      <c r="E239" s="10"/>
      <c r="F239" s="11">
        <f t="shared" si="10"/>
        <v>0</v>
      </c>
      <c r="G239" s="15"/>
      <c r="H239" s="4"/>
      <c r="I239" s="4"/>
    </row>
    <row r="240" spans="1:16" ht="15.75" x14ac:dyDescent="0.25">
      <c r="A240" s="14"/>
      <c r="B240" s="10">
        <f>SUM(B205:B239)</f>
        <v>9837078.7699999996</v>
      </c>
      <c r="C240" s="10">
        <f>SUM(C205:C239)</f>
        <v>9540.5</v>
      </c>
      <c r="D240" s="10"/>
      <c r="E240" s="10">
        <f>SUM(E205:E239)</f>
        <v>769870.8899999999</v>
      </c>
      <c r="F240" s="11">
        <f t="shared" si="10"/>
        <v>9076748.379999999</v>
      </c>
      <c r="G240" s="15"/>
      <c r="H240" s="4"/>
      <c r="I240" s="4"/>
    </row>
    <row r="242" spans="1:14" ht="18.75" x14ac:dyDescent="0.3">
      <c r="B242" s="275" t="s">
        <v>222</v>
      </c>
      <c r="C242" s="275"/>
      <c r="D242" s="275"/>
      <c r="E242" s="275"/>
      <c r="F242" s="275"/>
      <c r="G242" s="275"/>
    </row>
    <row r="244" spans="1:14" ht="16.5" thickBot="1" x14ac:dyDescent="0.3">
      <c r="A244" s="19" t="s">
        <v>0</v>
      </c>
      <c r="B244" s="20" t="s">
        <v>1</v>
      </c>
      <c r="C244" s="67" t="s">
        <v>58</v>
      </c>
      <c r="D244" s="8" t="s">
        <v>3</v>
      </c>
      <c r="E244" s="21" t="s">
        <v>2</v>
      </c>
      <c r="F244" s="22" t="s">
        <v>4</v>
      </c>
      <c r="G244" s="27" t="s">
        <v>8</v>
      </c>
      <c r="H244" s="4"/>
      <c r="I244" s="4"/>
    </row>
    <row r="245" spans="1:14" ht="16.5" thickTop="1" x14ac:dyDescent="0.25">
      <c r="A245" s="9">
        <v>42186</v>
      </c>
      <c r="B245" s="10">
        <v>399744.53</v>
      </c>
      <c r="C245" s="10">
        <v>0</v>
      </c>
      <c r="D245" s="10">
        <v>11707.88</v>
      </c>
      <c r="E245" s="10">
        <v>3469</v>
      </c>
      <c r="F245" s="11">
        <f>B245+C245-D245-E245</f>
        <v>384567.65</v>
      </c>
      <c r="G245" s="15">
        <f>90000+101000+29155.5+48000+7200+8897.32+5335.6+38965+27301.2+28714</f>
        <v>384568.62</v>
      </c>
      <c r="H245" s="25" t="s">
        <v>9</v>
      </c>
      <c r="I245" s="15">
        <f>G245-F245</f>
        <v>0.96999999997206032</v>
      </c>
      <c r="J245" t="s">
        <v>312</v>
      </c>
      <c r="K245" s="4"/>
    </row>
    <row r="246" spans="1:14" ht="15.75" x14ac:dyDescent="0.25">
      <c r="A246" s="9">
        <v>42187</v>
      </c>
      <c r="B246" s="10">
        <v>383783.44</v>
      </c>
      <c r="C246" s="10">
        <v>0</v>
      </c>
      <c r="D246" s="10">
        <v>6672.9</v>
      </c>
      <c r="E246" s="10">
        <v>1940</v>
      </c>
      <c r="F246" s="11">
        <f t="shared" ref="F246:F280" si="12">B246+C246-D246-E246</f>
        <v>375170.54</v>
      </c>
      <c r="G246" s="15">
        <f>80000+150000+103000+30849+920+3410+6991.36</f>
        <v>375170.36</v>
      </c>
      <c r="H246" s="25" t="s">
        <v>9</v>
      </c>
      <c r="I246" s="15">
        <f t="shared" ref="I246:I276" si="13">G246-F246</f>
        <v>-0.17999999999301508</v>
      </c>
      <c r="J246" t="s">
        <v>313</v>
      </c>
      <c r="K246" s="4"/>
    </row>
    <row r="247" spans="1:14" ht="15.75" x14ac:dyDescent="0.25">
      <c r="A247" s="9">
        <v>42188</v>
      </c>
      <c r="B247" s="10">
        <v>439204.75</v>
      </c>
      <c r="C247" s="10">
        <v>0</v>
      </c>
      <c r="D247" s="10">
        <v>18005.64</v>
      </c>
      <c r="E247" s="10">
        <v>17647.07</v>
      </c>
      <c r="F247" s="11">
        <f t="shared" si="12"/>
        <v>403552.04</v>
      </c>
      <c r="G247" s="15">
        <f>35552+55000+88000+100000+125000</f>
        <v>403552</v>
      </c>
      <c r="H247" s="25" t="s">
        <v>9</v>
      </c>
      <c r="I247" s="15">
        <f t="shared" si="13"/>
        <v>-3.9999999979045242E-2</v>
      </c>
      <c r="J247" t="s">
        <v>314</v>
      </c>
      <c r="K247" s="4"/>
      <c r="L247" s="4"/>
      <c r="M247" s="4"/>
    </row>
    <row r="248" spans="1:14" ht="15.75" x14ac:dyDescent="0.25">
      <c r="A248" s="9">
        <v>42189</v>
      </c>
      <c r="B248" s="10">
        <v>392311.76</v>
      </c>
      <c r="C248" s="10">
        <v>0</v>
      </c>
      <c r="D248" s="10">
        <v>16606.66</v>
      </c>
      <c r="E248" s="10">
        <v>103318.73</v>
      </c>
      <c r="F248" s="11">
        <f t="shared" si="12"/>
        <v>272386.37000000005</v>
      </c>
      <c r="G248" s="15">
        <f>37386.5+95000+85000+55000</f>
        <v>272386.5</v>
      </c>
      <c r="H248" s="25" t="s">
        <v>9</v>
      </c>
      <c r="I248" s="15">
        <f t="shared" si="13"/>
        <v>0.12999999994644895</v>
      </c>
      <c r="J248" t="s">
        <v>311</v>
      </c>
      <c r="K248" s="4"/>
      <c r="L248" s="123" t="s">
        <v>308</v>
      </c>
    </row>
    <row r="249" spans="1:14" ht="15.75" x14ac:dyDescent="0.25">
      <c r="A249" s="9">
        <v>42190</v>
      </c>
      <c r="B249" s="10">
        <v>287538.28999999998</v>
      </c>
      <c r="C249" s="10">
        <v>0</v>
      </c>
      <c r="D249" s="10">
        <v>4932.12</v>
      </c>
      <c r="E249" s="10">
        <v>1630</v>
      </c>
      <c r="F249" s="11">
        <f t="shared" si="12"/>
        <v>280976.17</v>
      </c>
      <c r="G249" s="15">
        <f>100000+150000+30976</f>
        <v>280976</v>
      </c>
      <c r="H249" s="25" t="s">
        <v>9</v>
      </c>
      <c r="I249" s="15">
        <f t="shared" si="13"/>
        <v>-0.16999999998370185</v>
      </c>
      <c r="J249" t="s">
        <v>309</v>
      </c>
      <c r="K249" s="4"/>
    </row>
    <row r="250" spans="1:14" ht="15.75" x14ac:dyDescent="0.25">
      <c r="A250" s="9">
        <v>42191</v>
      </c>
      <c r="B250" s="10">
        <v>229901.49</v>
      </c>
      <c r="C250" s="10">
        <v>0</v>
      </c>
      <c r="D250" s="10">
        <v>29439.88</v>
      </c>
      <c r="E250" s="10">
        <v>2833.5</v>
      </c>
      <c r="F250" s="11">
        <f t="shared" si="12"/>
        <v>197628.11</v>
      </c>
      <c r="G250" s="15">
        <f>40000+32628+40000+70000+15000</f>
        <v>197628</v>
      </c>
      <c r="H250" s="25" t="s">
        <v>9</v>
      </c>
      <c r="I250" s="15">
        <f t="shared" si="13"/>
        <v>-0.10999999998603016</v>
      </c>
      <c r="J250" t="s">
        <v>310</v>
      </c>
      <c r="K250" s="4"/>
    </row>
    <row r="251" spans="1:14" ht="15.75" x14ac:dyDescent="0.25">
      <c r="A251" s="9">
        <v>42192</v>
      </c>
      <c r="B251" s="10">
        <v>239932.06</v>
      </c>
      <c r="C251" s="10">
        <v>0</v>
      </c>
      <c r="D251" s="10">
        <v>25771.5</v>
      </c>
      <c r="E251" s="10">
        <v>2312</v>
      </c>
      <c r="F251" s="11">
        <f t="shared" si="12"/>
        <v>211848.56</v>
      </c>
      <c r="G251" s="15">
        <f>80000+65000+33000+30713+3135.66</f>
        <v>211848.66</v>
      </c>
      <c r="H251" s="25" t="s">
        <v>9</v>
      </c>
      <c r="I251" s="15">
        <f t="shared" si="13"/>
        <v>0.10000000000582077</v>
      </c>
      <c r="J251" t="s">
        <v>325</v>
      </c>
      <c r="K251" s="4"/>
    </row>
    <row r="252" spans="1:14" ht="15.75" x14ac:dyDescent="0.25">
      <c r="A252" s="9">
        <v>42193</v>
      </c>
      <c r="B252" s="10">
        <v>401215.82</v>
      </c>
      <c r="C252" s="10">
        <v>0</v>
      </c>
      <c r="D252" s="10">
        <v>33291.160000000003</v>
      </c>
      <c r="E252" s="10">
        <f>59300.56+6000</f>
        <v>65300.56</v>
      </c>
      <c r="F252" s="11">
        <f t="shared" si="12"/>
        <v>302624.10000000003</v>
      </c>
      <c r="G252" s="15">
        <f>50000+29169+54286+140000</f>
        <v>273455</v>
      </c>
      <c r="H252" s="25" t="s">
        <v>9</v>
      </c>
      <c r="I252" s="15">
        <f t="shared" si="13"/>
        <v>-29169.100000000035</v>
      </c>
      <c r="J252" t="s">
        <v>322</v>
      </c>
      <c r="K252" s="60" t="s">
        <v>328</v>
      </c>
      <c r="L252" s="60"/>
    </row>
    <row r="253" spans="1:14" ht="15.75" x14ac:dyDescent="0.25">
      <c r="A253" s="9">
        <v>42194</v>
      </c>
      <c r="B253" s="10">
        <v>465954.19</v>
      </c>
      <c r="C253" s="10">
        <v>0</v>
      </c>
      <c r="D253" s="10">
        <v>22741.62</v>
      </c>
      <c r="E253" s="10">
        <v>2478</v>
      </c>
      <c r="F253" s="11">
        <f t="shared" si="12"/>
        <v>440734.57</v>
      </c>
      <c r="G253" s="15">
        <f>50000+180000+75000+54000+31530+44705+5500</f>
        <v>440735</v>
      </c>
      <c r="H253" s="25" t="s">
        <v>9</v>
      </c>
      <c r="I253" s="15">
        <f t="shared" si="13"/>
        <v>0.42999999999301508</v>
      </c>
      <c r="J253" t="s">
        <v>321</v>
      </c>
      <c r="K253" s="4"/>
    </row>
    <row r="254" spans="1:14" ht="15.75" x14ac:dyDescent="0.25">
      <c r="A254" s="9">
        <v>42195</v>
      </c>
      <c r="B254" s="10">
        <v>495861.78</v>
      </c>
      <c r="C254" s="10">
        <v>0</v>
      </c>
      <c r="D254" s="10">
        <v>10510.76</v>
      </c>
      <c r="E254" s="10">
        <v>20817.830000000002</v>
      </c>
      <c r="F254" s="11">
        <f t="shared" si="12"/>
        <v>464533.19</v>
      </c>
      <c r="G254" s="15">
        <f>100000+37971+125000+65000+45000+90000+700+862</f>
        <v>464533</v>
      </c>
      <c r="H254" s="25" t="s">
        <v>9</v>
      </c>
      <c r="I254" s="15">
        <f t="shared" si="13"/>
        <v>-0.19000000000232831</v>
      </c>
      <c r="J254" t="s">
        <v>326</v>
      </c>
      <c r="K254" s="60" t="s">
        <v>329</v>
      </c>
      <c r="L254" s="60"/>
      <c r="M254" s="60"/>
      <c r="N254" s="60"/>
    </row>
    <row r="255" spans="1:14" ht="15.75" x14ac:dyDescent="0.25">
      <c r="A255" s="9">
        <v>42196</v>
      </c>
      <c r="B255" s="10">
        <v>489956.73</v>
      </c>
      <c r="C255" s="10">
        <v>0</v>
      </c>
      <c r="D255" s="10">
        <v>24010.639999999999</v>
      </c>
      <c r="E255" s="10">
        <v>86542.28</v>
      </c>
      <c r="F255" s="11">
        <f t="shared" si="12"/>
        <v>379403.80999999994</v>
      </c>
      <c r="G255" s="15">
        <f>33404+105000+125000+116000</f>
        <v>379404</v>
      </c>
      <c r="H255" s="25" t="s">
        <v>9</v>
      </c>
      <c r="I255" s="15">
        <f t="shared" si="13"/>
        <v>0.19000000006053597</v>
      </c>
      <c r="J255" t="s">
        <v>327</v>
      </c>
      <c r="K255" s="4"/>
      <c r="L255" s="60" t="s">
        <v>331</v>
      </c>
      <c r="M255" s="60"/>
    </row>
    <row r="256" spans="1:14" ht="15.75" x14ac:dyDescent="0.25">
      <c r="A256" s="9">
        <v>42197</v>
      </c>
      <c r="B256" s="10">
        <v>328191.39</v>
      </c>
      <c r="C256" s="10">
        <v>0</v>
      </c>
      <c r="D256" s="10">
        <v>3959.36</v>
      </c>
      <c r="E256" s="10">
        <v>2690</v>
      </c>
      <c r="F256" s="11">
        <f t="shared" si="12"/>
        <v>321542.03000000003</v>
      </c>
      <c r="G256" s="15">
        <f>95000+77000+32542+117000</f>
        <v>321542</v>
      </c>
      <c r="H256" s="25" t="s">
        <v>9</v>
      </c>
      <c r="I256" s="15">
        <f t="shared" si="13"/>
        <v>-3.0000000027939677E-2</v>
      </c>
      <c r="J256" t="s">
        <v>330</v>
      </c>
      <c r="K256" s="4"/>
    </row>
    <row r="257" spans="1:13" ht="15.75" x14ac:dyDescent="0.25">
      <c r="A257" s="9">
        <v>42198</v>
      </c>
      <c r="B257" s="10">
        <v>291947.58</v>
      </c>
      <c r="C257" s="10">
        <v>0</v>
      </c>
      <c r="D257" s="10">
        <v>48662.63</v>
      </c>
      <c r="E257" s="10">
        <v>3005.4</v>
      </c>
      <c r="F257" s="11">
        <f t="shared" si="12"/>
        <v>240279.55000000002</v>
      </c>
      <c r="G257" s="15">
        <f>25000+100000+45000+34000+36279.5</f>
        <v>240279.5</v>
      </c>
      <c r="H257" s="25" t="s">
        <v>9</v>
      </c>
      <c r="I257" s="15">
        <f t="shared" si="13"/>
        <v>-5.0000000017462298E-2</v>
      </c>
      <c r="J257" t="s">
        <v>332</v>
      </c>
      <c r="K257" s="4"/>
    </row>
    <row r="258" spans="1:13" ht="15.75" x14ac:dyDescent="0.25">
      <c r="A258" s="9">
        <v>42199</v>
      </c>
      <c r="B258" s="10">
        <v>246052.45</v>
      </c>
      <c r="C258" s="10">
        <v>0</v>
      </c>
      <c r="D258" s="10">
        <v>20659.18</v>
      </c>
      <c r="E258" s="10">
        <v>1450</v>
      </c>
      <c r="F258" s="11">
        <f t="shared" si="12"/>
        <v>223943.27000000002</v>
      </c>
      <c r="G258" s="15">
        <f>80000+60000+31443.5+52500</f>
        <v>223943.5</v>
      </c>
      <c r="H258" s="25" t="s">
        <v>9</v>
      </c>
      <c r="I258" s="15">
        <f t="shared" si="13"/>
        <v>0.22999999998137355</v>
      </c>
      <c r="J258" t="s">
        <v>333</v>
      </c>
      <c r="K258" s="4"/>
    </row>
    <row r="259" spans="1:13" ht="15.75" x14ac:dyDescent="0.25">
      <c r="A259" s="9">
        <v>42200</v>
      </c>
      <c r="B259" s="10">
        <v>517175.13</v>
      </c>
      <c r="C259" s="10">
        <v>0</v>
      </c>
      <c r="D259" s="10">
        <v>7926.36</v>
      </c>
      <c r="E259" s="10">
        <v>2817.6</v>
      </c>
      <c r="F259" s="11">
        <f t="shared" si="12"/>
        <v>506431.17000000004</v>
      </c>
      <c r="G259" s="15">
        <f>45000+155000+69580+83624+13330.64+24518.56+36377.5+79000</f>
        <v>506430.7</v>
      </c>
      <c r="H259" s="25" t="s">
        <v>9</v>
      </c>
      <c r="I259" s="15">
        <f t="shared" si="13"/>
        <v>-0.47000000003026798</v>
      </c>
      <c r="J259" t="s">
        <v>403</v>
      </c>
      <c r="K259" s="4"/>
    </row>
    <row r="260" spans="1:13" ht="15.75" x14ac:dyDescent="0.25">
      <c r="A260" s="9">
        <v>42201</v>
      </c>
      <c r="B260" s="10">
        <f>370848.38</f>
        <v>370848.38</v>
      </c>
      <c r="C260" s="10">
        <v>0</v>
      </c>
      <c r="D260" s="10">
        <v>24710.18</v>
      </c>
      <c r="E260" s="10">
        <v>5808.31</v>
      </c>
      <c r="F260" s="11">
        <f t="shared" si="12"/>
        <v>340329.89</v>
      </c>
      <c r="G260" s="15">
        <f>30330+55000+110000+125000+20000</f>
        <v>340330</v>
      </c>
      <c r="H260" s="25" t="s">
        <v>9</v>
      </c>
      <c r="I260" s="15">
        <f t="shared" si="13"/>
        <v>0.10999999998603016</v>
      </c>
      <c r="J260" t="s">
        <v>404</v>
      </c>
    </row>
    <row r="261" spans="1:13" ht="15.75" x14ac:dyDescent="0.25">
      <c r="A261" s="9">
        <v>42202</v>
      </c>
      <c r="B261" s="10">
        <v>459219.13</v>
      </c>
      <c r="C261" s="10">
        <v>0</v>
      </c>
      <c r="D261" s="10">
        <v>34751.300000000003</v>
      </c>
      <c r="E261" s="10">
        <v>21666</v>
      </c>
      <c r="F261" s="11">
        <f t="shared" si="12"/>
        <v>402801.83</v>
      </c>
      <c r="G261" s="15">
        <f>132000+145000+60000+46372+15279.16+4150.8</f>
        <v>402801.95999999996</v>
      </c>
      <c r="H261" s="25" t="s">
        <v>9</v>
      </c>
      <c r="I261" s="15">
        <f t="shared" si="13"/>
        <v>0.12999999994644895</v>
      </c>
      <c r="J261" t="s">
        <v>383</v>
      </c>
      <c r="L261" s="60" t="s">
        <v>341</v>
      </c>
    </row>
    <row r="262" spans="1:13" ht="15.75" x14ac:dyDescent="0.25">
      <c r="A262" s="9">
        <v>42203</v>
      </c>
      <c r="B262" s="10">
        <v>450871.79</v>
      </c>
      <c r="C262" s="10">
        <v>0</v>
      </c>
      <c r="D262" s="10">
        <v>19381.439999999999</v>
      </c>
      <c r="E262" s="10">
        <v>88599.29</v>
      </c>
      <c r="F262" s="11">
        <f t="shared" si="12"/>
        <v>342891.06</v>
      </c>
      <c r="G262" s="15">
        <f>75000+105000+42462.5+84000+5536.44+3244.5+22494.74+704+4450</f>
        <v>342892.18</v>
      </c>
      <c r="H262" s="25" t="s">
        <v>9</v>
      </c>
      <c r="I262" s="15">
        <f t="shared" si="13"/>
        <v>1.1199999999953434</v>
      </c>
      <c r="J262" t="s">
        <v>343</v>
      </c>
      <c r="L262" s="51" t="s">
        <v>342</v>
      </c>
    </row>
    <row r="263" spans="1:13" ht="15.75" x14ac:dyDescent="0.25">
      <c r="A263" s="9">
        <v>42204</v>
      </c>
      <c r="B263" s="10">
        <v>257066.58</v>
      </c>
      <c r="C263" s="10">
        <v>0</v>
      </c>
      <c r="D263" s="10">
        <v>15021.78</v>
      </c>
      <c r="E263" s="10">
        <v>1219</v>
      </c>
      <c r="F263" s="11">
        <f t="shared" si="12"/>
        <v>240825.8</v>
      </c>
      <c r="G263" s="15">
        <f>95000+62000+41826+42000</f>
        <v>240826</v>
      </c>
      <c r="H263" s="25" t="s">
        <v>9</v>
      </c>
      <c r="I263" s="15">
        <f t="shared" si="13"/>
        <v>0.20000000001164153</v>
      </c>
    </row>
    <row r="264" spans="1:13" ht="15.75" x14ac:dyDescent="0.25">
      <c r="A264" s="9">
        <v>42205</v>
      </c>
      <c r="B264" s="10">
        <v>287369.27</v>
      </c>
      <c r="C264" s="10">
        <v>0</v>
      </c>
      <c r="D264" s="10">
        <v>9482.92</v>
      </c>
      <c r="E264" s="10">
        <f>5379+300+200</f>
        <v>5879</v>
      </c>
      <c r="F264" s="11">
        <f t="shared" si="12"/>
        <v>272007.35000000003</v>
      </c>
      <c r="G264" s="15">
        <f>80000+100000+31007.5+61000</f>
        <v>272007.5</v>
      </c>
      <c r="H264" s="25" t="s">
        <v>9</v>
      </c>
      <c r="I264" s="15">
        <f t="shared" si="13"/>
        <v>0.1499999999650754</v>
      </c>
      <c r="J264" t="s">
        <v>384</v>
      </c>
      <c r="K264" s="4"/>
    </row>
    <row r="265" spans="1:13" ht="15.75" x14ac:dyDescent="0.25">
      <c r="A265" s="9">
        <v>42206</v>
      </c>
      <c r="B265" s="10">
        <v>256663.92</v>
      </c>
      <c r="C265" s="10">
        <v>0</v>
      </c>
      <c r="D265" s="10">
        <v>70979.14</v>
      </c>
      <c r="E265" s="10">
        <v>6869.95</v>
      </c>
      <c r="F265" s="11">
        <f t="shared" si="12"/>
        <v>178814.83000000002</v>
      </c>
      <c r="G265" s="15">
        <f>34639.83+75000+66500+2675</f>
        <v>178814.83000000002</v>
      </c>
      <c r="H265" s="25" t="s">
        <v>9</v>
      </c>
      <c r="I265" s="15">
        <f t="shared" si="13"/>
        <v>0</v>
      </c>
      <c r="J265" t="s">
        <v>386</v>
      </c>
      <c r="K265" s="4"/>
      <c r="L265" s="51" t="s">
        <v>385</v>
      </c>
      <c r="M265" s="51"/>
    </row>
    <row r="266" spans="1:13" ht="15.75" x14ac:dyDescent="0.25">
      <c r="A266" s="9">
        <v>42207</v>
      </c>
      <c r="B266" s="10">
        <v>260379.73</v>
      </c>
      <c r="C266" s="10">
        <v>0</v>
      </c>
      <c r="D266" s="10">
        <v>29576.92</v>
      </c>
      <c r="E266" s="10">
        <v>2758</v>
      </c>
      <c r="F266" s="11">
        <f t="shared" si="12"/>
        <v>228044.81</v>
      </c>
      <c r="G266" s="15">
        <f>100000+35725+27000+65000+320</f>
        <v>228045</v>
      </c>
      <c r="H266" s="25" t="s">
        <v>9</v>
      </c>
      <c r="I266" s="15">
        <f t="shared" si="13"/>
        <v>0.19000000000232831</v>
      </c>
      <c r="J266" t="s">
        <v>396</v>
      </c>
    </row>
    <row r="267" spans="1:13" ht="15.75" x14ac:dyDescent="0.25">
      <c r="A267" s="9">
        <v>42208</v>
      </c>
      <c r="B267" s="10">
        <v>515143.34</v>
      </c>
      <c r="C267" s="10">
        <v>0</v>
      </c>
      <c r="D267" s="10">
        <v>11701.48</v>
      </c>
      <c r="E267" s="10">
        <v>2268.6799999999998</v>
      </c>
      <c r="F267" s="11">
        <f t="shared" si="12"/>
        <v>501173.18000000005</v>
      </c>
      <c r="G267" s="15">
        <f>23500+30606.5+73759+45270.5+40000+95000+100000+31000+3787.2+7263.8+20883.48+30102.5</f>
        <v>501172.98</v>
      </c>
      <c r="H267" s="25" t="s">
        <v>9</v>
      </c>
      <c r="I267" s="15">
        <f t="shared" si="13"/>
        <v>-0.20000000006984919</v>
      </c>
      <c r="J267" t="s">
        <v>387</v>
      </c>
      <c r="K267" s="152"/>
    </row>
    <row r="268" spans="1:13" ht="15.75" x14ac:dyDescent="0.25">
      <c r="A268" s="9">
        <v>42209</v>
      </c>
      <c r="B268" s="10">
        <v>532029.62</v>
      </c>
      <c r="C268" s="10">
        <v>0</v>
      </c>
      <c r="D268" s="10">
        <v>49842.79</v>
      </c>
      <c r="E268" s="10">
        <v>25347</v>
      </c>
      <c r="F268" s="11">
        <f t="shared" si="12"/>
        <v>456839.83</v>
      </c>
      <c r="G268" s="15">
        <f>55000+90000+80000+24000+113000+35120+8980+740+50000</f>
        <v>456840</v>
      </c>
      <c r="H268" s="25" t="s">
        <v>9</v>
      </c>
      <c r="I268" s="15">
        <f t="shared" si="13"/>
        <v>0.16999999998370185</v>
      </c>
      <c r="J268" t="s">
        <v>388</v>
      </c>
      <c r="K268" s="4"/>
    </row>
    <row r="269" spans="1:13" ht="15.75" x14ac:dyDescent="0.25">
      <c r="A269" s="9">
        <v>42210</v>
      </c>
      <c r="B269" s="10">
        <v>448967.91</v>
      </c>
      <c r="C269" s="10">
        <v>0</v>
      </c>
      <c r="D269" s="10">
        <v>17195.48</v>
      </c>
      <c r="E269" s="10">
        <v>85994.41</v>
      </c>
      <c r="F269" s="11">
        <f t="shared" si="12"/>
        <v>345778.02</v>
      </c>
      <c r="G269" s="15">
        <f>40000+140000+38642.5+113000+12380.82+1754.8</f>
        <v>345778.12</v>
      </c>
      <c r="H269" s="25" t="s">
        <v>9</v>
      </c>
      <c r="I269" s="15">
        <f t="shared" si="13"/>
        <v>9.9999999976716936E-2</v>
      </c>
      <c r="J269" t="s">
        <v>390</v>
      </c>
      <c r="L269" s="51" t="s">
        <v>389</v>
      </c>
      <c r="M269" s="51"/>
    </row>
    <row r="270" spans="1:13" ht="15.75" x14ac:dyDescent="0.25">
      <c r="A270" s="9">
        <v>42211</v>
      </c>
      <c r="B270" s="10">
        <v>309922.18</v>
      </c>
      <c r="C270" s="10">
        <v>0</v>
      </c>
      <c r="D270" s="10">
        <v>2991.52</v>
      </c>
      <c r="E270" s="10">
        <v>3350</v>
      </c>
      <c r="F270" s="11">
        <f t="shared" si="12"/>
        <v>303580.65999999997</v>
      </c>
      <c r="G270" s="15">
        <f>85000+50000+64500+40500+63548.5+32</f>
        <v>303580.5</v>
      </c>
      <c r="H270" s="25" t="s">
        <v>9</v>
      </c>
      <c r="I270" s="15">
        <f t="shared" si="13"/>
        <v>-0.15999999997438863</v>
      </c>
    </row>
    <row r="271" spans="1:13" ht="15.75" x14ac:dyDescent="0.25">
      <c r="A271" s="9">
        <v>42212</v>
      </c>
      <c r="B271" s="10">
        <v>247393.77</v>
      </c>
      <c r="C271" s="10">
        <v>0</v>
      </c>
      <c r="D271" s="10">
        <v>7043.45</v>
      </c>
      <c r="E271" s="10">
        <v>2606</v>
      </c>
      <c r="F271" s="11">
        <f t="shared" si="12"/>
        <v>237744.31999999998</v>
      </c>
      <c r="G271" s="15">
        <f>70000+32744.5+55000+80000</f>
        <v>237744.5</v>
      </c>
      <c r="H271" s="25" t="s">
        <v>9</v>
      </c>
      <c r="I271" s="15">
        <f t="shared" si="13"/>
        <v>0.18000000002211891</v>
      </c>
      <c r="J271" t="s">
        <v>397</v>
      </c>
    </row>
    <row r="272" spans="1:13" ht="15.75" x14ac:dyDescent="0.25">
      <c r="A272" s="9">
        <v>42213</v>
      </c>
      <c r="B272" s="10">
        <v>223337.32</v>
      </c>
      <c r="C272" s="10">
        <v>0</v>
      </c>
      <c r="D272" s="10">
        <v>29194.18</v>
      </c>
      <c r="E272" s="10">
        <v>5124.29</v>
      </c>
      <c r="F272" s="11">
        <f t="shared" si="12"/>
        <v>189018.85</v>
      </c>
      <c r="G272" s="15">
        <f>80000+37259+71760</f>
        <v>189019</v>
      </c>
      <c r="H272" s="25" t="s">
        <v>9</v>
      </c>
      <c r="I272" s="15">
        <f t="shared" si="13"/>
        <v>0.14999999999417923</v>
      </c>
      <c r="J272" t="s">
        <v>399</v>
      </c>
    </row>
    <row r="273" spans="1:13" ht="15.75" x14ac:dyDescent="0.25">
      <c r="A273" s="9">
        <v>42214</v>
      </c>
      <c r="B273" s="10">
        <v>240640.37</v>
      </c>
      <c r="C273" s="10">
        <v>0</v>
      </c>
      <c r="D273" s="10">
        <v>34897.040000000001</v>
      </c>
      <c r="E273" s="10">
        <v>7769.6</v>
      </c>
      <c r="F273" s="11">
        <f t="shared" si="12"/>
        <v>197973.72999999998</v>
      </c>
      <c r="G273" s="15">
        <f>50000+95000+40450+663.9+2830.52+9029.26</f>
        <v>197973.68</v>
      </c>
      <c r="H273" s="25" t="s">
        <v>9</v>
      </c>
      <c r="I273" s="15">
        <f t="shared" si="13"/>
        <v>-4.9999999988358468E-2</v>
      </c>
      <c r="L273" s="51" t="s">
        <v>400</v>
      </c>
      <c r="M273" s="51"/>
    </row>
    <row r="274" spans="1:13" ht="15.75" x14ac:dyDescent="0.25">
      <c r="A274" s="9">
        <v>42215</v>
      </c>
      <c r="B274" s="10">
        <v>304322.87</v>
      </c>
      <c r="C274" s="10">
        <v>0</v>
      </c>
      <c r="D274" s="10">
        <v>13637.22</v>
      </c>
      <c r="E274" s="10">
        <v>5266.04</v>
      </c>
      <c r="F274" s="11">
        <f t="shared" si="12"/>
        <v>285419.61000000004</v>
      </c>
      <c r="G274" s="15">
        <f>60000+130000+59000+36419.5</f>
        <v>285419.5</v>
      </c>
      <c r="H274" s="155" t="s">
        <v>9</v>
      </c>
      <c r="I274" s="15">
        <f t="shared" si="13"/>
        <v>-0.11000000004423782</v>
      </c>
      <c r="J274" t="s">
        <v>402</v>
      </c>
      <c r="K274" s="4"/>
      <c r="L274" s="51" t="s">
        <v>401</v>
      </c>
      <c r="M274" s="51"/>
    </row>
    <row r="275" spans="1:13" ht="15.75" x14ac:dyDescent="0.25">
      <c r="A275" s="9">
        <v>42216</v>
      </c>
      <c r="B275" s="10">
        <v>505334.89</v>
      </c>
      <c r="C275" s="10">
        <v>0</v>
      </c>
      <c r="D275" s="10">
        <v>8052.19</v>
      </c>
      <c r="E275" s="10">
        <v>23273.84</v>
      </c>
      <c r="F275" s="11">
        <f t="shared" si="12"/>
        <v>474008.86</v>
      </c>
      <c r="G275" s="15">
        <f>185000+80000+70000+108000+30340.5+670</f>
        <v>474010.5</v>
      </c>
      <c r="H275" s="25" t="s">
        <v>9</v>
      </c>
      <c r="I275" s="15">
        <f t="shared" si="13"/>
        <v>1.6400000000139698</v>
      </c>
      <c r="J275" t="s">
        <v>504</v>
      </c>
    </row>
    <row r="276" spans="1:13" ht="15.75" x14ac:dyDescent="0.25">
      <c r="A276" s="9"/>
      <c r="B276" s="10"/>
      <c r="C276" s="10"/>
      <c r="D276" s="10"/>
      <c r="E276" s="10"/>
      <c r="F276" s="11">
        <f t="shared" si="12"/>
        <v>0</v>
      </c>
      <c r="G276" s="15"/>
      <c r="H276" s="25"/>
      <c r="I276" s="15">
        <f t="shared" si="13"/>
        <v>0</v>
      </c>
    </row>
    <row r="277" spans="1:13" ht="15.75" x14ac:dyDescent="0.25">
      <c r="A277" s="9"/>
      <c r="B277" s="10"/>
      <c r="C277" s="10"/>
      <c r="D277" s="10"/>
      <c r="E277" s="10"/>
      <c r="F277" s="11">
        <f t="shared" si="12"/>
        <v>0</v>
      </c>
      <c r="G277" s="15"/>
      <c r="H277" s="189" t="s">
        <v>9</v>
      </c>
      <c r="I277" s="4"/>
    </row>
    <row r="278" spans="1:13" ht="15.75" x14ac:dyDescent="0.25">
      <c r="A278" s="9"/>
      <c r="B278" s="13"/>
      <c r="C278" s="10"/>
      <c r="D278" s="10"/>
      <c r="E278" s="10"/>
      <c r="F278" s="11">
        <f t="shared" si="12"/>
        <v>0</v>
      </c>
      <c r="G278" s="15"/>
      <c r="H278" s="4"/>
      <c r="I278" s="4"/>
    </row>
    <row r="279" spans="1:13" ht="15.75" x14ac:dyDescent="0.25">
      <c r="A279" s="14"/>
      <c r="B279" s="10"/>
      <c r="C279" s="10"/>
      <c r="D279" s="10"/>
      <c r="E279" s="10"/>
      <c r="F279" s="11">
        <f t="shared" si="12"/>
        <v>0</v>
      </c>
      <c r="G279" s="15"/>
      <c r="H279" s="4"/>
      <c r="I279" s="4"/>
    </row>
    <row r="280" spans="1:13" ht="15.75" x14ac:dyDescent="0.25">
      <c r="A280" s="14"/>
      <c r="B280" s="10">
        <f>SUM(B245:B279)</f>
        <v>11278282.459999997</v>
      </c>
      <c r="C280" s="10">
        <f>SUM(C245:C279)</f>
        <v>0</v>
      </c>
      <c r="D280" s="10"/>
      <c r="E280" s="10">
        <f>SUM(E245:E279)</f>
        <v>612051.38</v>
      </c>
      <c r="F280" s="11">
        <f t="shared" si="12"/>
        <v>10666231.079999996</v>
      </c>
      <c r="G280" s="15"/>
      <c r="H280" s="4"/>
      <c r="I280" s="4"/>
    </row>
    <row r="282" spans="1:13" ht="18.75" x14ac:dyDescent="0.3">
      <c r="B282" s="275" t="s">
        <v>223</v>
      </c>
      <c r="C282" s="275"/>
      <c r="D282" s="275"/>
      <c r="E282" s="275"/>
      <c r="F282" s="275"/>
      <c r="G282" s="275"/>
    </row>
    <row r="284" spans="1:13" ht="16.5" thickBot="1" x14ac:dyDescent="0.3">
      <c r="A284" s="19" t="s">
        <v>0</v>
      </c>
      <c r="B284" s="20" t="s">
        <v>1</v>
      </c>
      <c r="C284" s="67" t="s">
        <v>58</v>
      </c>
      <c r="D284" s="8" t="s">
        <v>3</v>
      </c>
      <c r="E284" s="21" t="s">
        <v>2</v>
      </c>
      <c r="F284" s="22" t="s">
        <v>4</v>
      </c>
      <c r="G284" s="27" t="s">
        <v>8</v>
      </c>
      <c r="H284" s="4"/>
      <c r="I284" s="4"/>
    </row>
    <row r="285" spans="1:13" ht="16.5" thickTop="1" x14ac:dyDescent="0.25">
      <c r="A285" s="9">
        <v>42217</v>
      </c>
      <c r="B285" s="10">
        <v>450600.86</v>
      </c>
      <c r="C285" s="10">
        <v>0</v>
      </c>
      <c r="D285" s="10">
        <v>25535.14</v>
      </c>
      <c r="E285" s="10">
        <v>94236.45</v>
      </c>
      <c r="F285" s="11">
        <f>B285+C285-D285-E285</f>
        <v>330829.26999999996</v>
      </c>
      <c r="G285" s="15">
        <f>135000+80000+43104+65000+7725.57</f>
        <v>330829.57</v>
      </c>
      <c r="H285" s="25" t="s">
        <v>9</v>
      </c>
      <c r="I285" s="15">
        <f>G285-F285</f>
        <v>0.30000000004656613</v>
      </c>
      <c r="J285" t="s">
        <v>538</v>
      </c>
      <c r="L285" s="51" t="s">
        <v>405</v>
      </c>
      <c r="M285" s="51"/>
    </row>
    <row r="286" spans="1:13" ht="15.75" x14ac:dyDescent="0.25">
      <c r="A286" s="9">
        <v>42218</v>
      </c>
      <c r="B286" s="10">
        <v>280335.96000000002</v>
      </c>
      <c r="C286" s="10">
        <v>0</v>
      </c>
      <c r="D286" s="10">
        <v>4741.0200000000004</v>
      </c>
      <c r="E286" s="10">
        <v>8157.36</v>
      </c>
      <c r="F286" s="11">
        <f t="shared" ref="F286:F320" si="14">B286+C286-D286-E286</f>
        <v>267437.58</v>
      </c>
      <c r="G286" s="15">
        <f>105000+40000+90000+32437.5</f>
        <v>267437.5</v>
      </c>
      <c r="H286" s="25" t="s">
        <v>9</v>
      </c>
      <c r="I286" s="15">
        <f t="shared" ref="I286:I316" si="15">G286-F286</f>
        <v>-8.0000000016298145E-2</v>
      </c>
      <c r="J286" t="s">
        <v>414</v>
      </c>
    </row>
    <row r="287" spans="1:13" ht="15.75" x14ac:dyDescent="0.25">
      <c r="A287" s="9">
        <v>42219</v>
      </c>
      <c r="B287" s="10">
        <v>356992.72</v>
      </c>
      <c r="C287" s="10">
        <v>0</v>
      </c>
      <c r="D287" s="10">
        <v>7207.25</v>
      </c>
      <c r="E287" s="10">
        <v>4742.08</v>
      </c>
      <c r="F287" s="11">
        <f t="shared" si="14"/>
        <v>345043.38999999996</v>
      </c>
      <c r="G287" s="15">
        <f>65000+85000+34000+15218.5+10000+43968+62470.5+29386</f>
        <v>345043</v>
      </c>
      <c r="H287" s="25" t="s">
        <v>9</v>
      </c>
      <c r="I287" s="15">
        <f t="shared" si="15"/>
        <v>-0.38999999995576218</v>
      </c>
      <c r="J287" t="s">
        <v>539</v>
      </c>
    </row>
    <row r="288" spans="1:13" ht="15.75" x14ac:dyDescent="0.25">
      <c r="A288" s="9">
        <v>42220</v>
      </c>
      <c r="B288" s="10">
        <v>256872.99</v>
      </c>
      <c r="C288" s="10">
        <v>0</v>
      </c>
      <c r="D288" s="10">
        <v>2887.26</v>
      </c>
      <c r="E288" s="10">
        <v>69052</v>
      </c>
      <c r="F288" s="11">
        <f t="shared" si="14"/>
        <v>184933.72999999998</v>
      </c>
      <c r="G288" s="15">
        <f>50000+50000+57000+27934+1385.5</f>
        <v>186319.5</v>
      </c>
      <c r="H288" s="25" t="s">
        <v>9</v>
      </c>
      <c r="I288" s="15">
        <f t="shared" si="15"/>
        <v>1385.7700000000186</v>
      </c>
      <c r="J288" t="s">
        <v>415</v>
      </c>
      <c r="K288" s="51" t="s">
        <v>466</v>
      </c>
      <c r="L288" s="51" t="s">
        <v>406</v>
      </c>
      <c r="M288" s="51"/>
    </row>
    <row r="289" spans="1:14" ht="15.75" x14ac:dyDescent="0.25">
      <c r="A289" s="9">
        <v>42221</v>
      </c>
      <c r="B289" s="10">
        <v>266453.7</v>
      </c>
      <c r="C289" s="10">
        <v>0</v>
      </c>
      <c r="D289" s="10">
        <v>31885.1</v>
      </c>
      <c r="E289" s="10">
        <v>3512.68</v>
      </c>
      <c r="F289" s="11">
        <f t="shared" si="14"/>
        <v>231055.92</v>
      </c>
      <c r="G289" s="15">
        <f>65000+33056+75000+58000</f>
        <v>231056</v>
      </c>
      <c r="H289" s="25" t="s">
        <v>9</v>
      </c>
      <c r="I289" s="15">
        <f t="shared" si="15"/>
        <v>7.9999999987194315E-2</v>
      </c>
      <c r="J289" t="s">
        <v>416</v>
      </c>
      <c r="K289" s="4"/>
    </row>
    <row r="290" spans="1:14" ht="15.75" x14ac:dyDescent="0.25">
      <c r="A290" s="9">
        <v>42222</v>
      </c>
      <c r="B290" s="10">
        <v>298290.78999999998</v>
      </c>
      <c r="C290" s="10">
        <v>0</v>
      </c>
      <c r="D290" s="10">
        <v>23112.02</v>
      </c>
      <c r="E290" s="10">
        <v>1725</v>
      </c>
      <c r="F290" s="11">
        <f t="shared" si="14"/>
        <v>273453.76999999996</v>
      </c>
      <c r="G290" s="15">
        <f>80000+20000+105000+26000+40916+109+1440</f>
        <v>273465</v>
      </c>
      <c r="H290" s="25" t="s">
        <v>9</v>
      </c>
      <c r="I290" s="15">
        <f t="shared" si="15"/>
        <v>11.230000000039581</v>
      </c>
      <c r="J290" t="s">
        <v>417</v>
      </c>
      <c r="K290" s="4"/>
    </row>
    <row r="291" spans="1:14" ht="15.75" x14ac:dyDescent="0.25">
      <c r="A291" s="9">
        <v>42223</v>
      </c>
      <c r="B291" s="10">
        <v>429739.83</v>
      </c>
      <c r="C291" s="10">
        <v>0</v>
      </c>
      <c r="D291" s="10">
        <v>16300.75</v>
      </c>
      <c r="E291" s="10">
        <v>26059.7</v>
      </c>
      <c r="F291" s="11">
        <f t="shared" si="14"/>
        <v>387379.38</v>
      </c>
      <c r="G291" s="15">
        <f>75000+60000+105000+91000+33685+350+12629.48+516+268+230+8701.24</f>
        <v>387379.72</v>
      </c>
      <c r="H291" s="25" t="s">
        <v>9</v>
      </c>
      <c r="I291" s="15">
        <f t="shared" si="15"/>
        <v>0.33999999996740371</v>
      </c>
      <c r="J291" t="s">
        <v>420</v>
      </c>
      <c r="K291" s="4"/>
    </row>
    <row r="292" spans="1:14" ht="15.75" x14ac:dyDescent="0.25">
      <c r="A292" s="9">
        <v>42224</v>
      </c>
      <c r="B292" s="10">
        <v>437247.69</v>
      </c>
      <c r="C292" s="10">
        <v>0</v>
      </c>
      <c r="D292" s="10">
        <v>14933.24</v>
      </c>
      <c r="E292" s="10">
        <v>101904.03</v>
      </c>
      <c r="F292" s="11">
        <f t="shared" si="14"/>
        <v>320410.42000000004</v>
      </c>
      <c r="G292" s="15">
        <f>40410.5+70000+90000+120000</f>
        <v>320410.5</v>
      </c>
      <c r="H292" s="25" t="s">
        <v>9</v>
      </c>
      <c r="I292" s="15">
        <f t="shared" si="15"/>
        <v>7.9999999958090484E-2</v>
      </c>
      <c r="J292" t="s">
        <v>419</v>
      </c>
      <c r="L292" s="60" t="s">
        <v>418</v>
      </c>
      <c r="M292" s="60"/>
    </row>
    <row r="293" spans="1:14" ht="15.75" x14ac:dyDescent="0.25">
      <c r="A293" s="9">
        <v>42225</v>
      </c>
      <c r="B293" s="10">
        <v>231837.6</v>
      </c>
      <c r="C293" s="10">
        <v>0</v>
      </c>
      <c r="D293" s="10">
        <v>4085.26</v>
      </c>
      <c r="E293" s="10">
        <v>4269</v>
      </c>
      <c r="F293" s="11">
        <f t="shared" si="14"/>
        <v>223483.34</v>
      </c>
      <c r="G293" s="15">
        <f>32483.5+18000+68000+105000</f>
        <v>223483.5</v>
      </c>
      <c r="H293" s="25" t="s">
        <v>9</v>
      </c>
      <c r="I293" s="15">
        <f t="shared" si="15"/>
        <v>0.16000000000349246</v>
      </c>
      <c r="J293" t="s">
        <v>422</v>
      </c>
      <c r="L293" s="60" t="s">
        <v>421</v>
      </c>
      <c r="M293" s="60"/>
    </row>
    <row r="294" spans="1:14" ht="15.75" x14ac:dyDescent="0.25">
      <c r="A294" s="9">
        <v>42226</v>
      </c>
      <c r="B294" s="10">
        <v>395581.18</v>
      </c>
      <c r="C294" s="10">
        <v>0</v>
      </c>
      <c r="D294" s="10">
        <v>4320.3999999999996</v>
      </c>
      <c r="E294" s="10">
        <v>2446</v>
      </c>
      <c r="F294" s="11">
        <f t="shared" si="14"/>
        <v>388814.77999999997</v>
      </c>
      <c r="G294" s="15">
        <f>10989+35138+102681+57609+60000+80000+23000+33092</f>
        <v>402509</v>
      </c>
      <c r="H294" s="25" t="s">
        <v>9</v>
      </c>
      <c r="I294" s="15">
        <f t="shared" si="15"/>
        <v>13694.22000000003</v>
      </c>
      <c r="J294" t="s">
        <v>423</v>
      </c>
      <c r="K294" s="60" t="s">
        <v>424</v>
      </c>
      <c r="L294" s="60"/>
      <c r="M294" s="60"/>
      <c r="N294" s="60"/>
    </row>
    <row r="295" spans="1:14" ht="15.75" x14ac:dyDescent="0.25">
      <c r="A295" s="9">
        <v>42227</v>
      </c>
      <c r="B295" s="10">
        <v>252228.99</v>
      </c>
      <c r="C295" s="10">
        <v>0</v>
      </c>
      <c r="D295" s="10">
        <v>5459.6</v>
      </c>
      <c r="E295" s="10">
        <v>3641</v>
      </c>
      <c r="F295" s="11">
        <f t="shared" si="14"/>
        <v>243128.38999999998</v>
      </c>
      <c r="G295" s="15">
        <f>75000+50000+81000+3385.38+5161.3+14887</f>
        <v>229433.68</v>
      </c>
      <c r="H295" s="25" t="s">
        <v>9</v>
      </c>
      <c r="I295" s="15">
        <f t="shared" si="15"/>
        <v>-13694.709999999992</v>
      </c>
      <c r="J295" t="s">
        <v>425</v>
      </c>
      <c r="K295" s="60" t="s">
        <v>426</v>
      </c>
      <c r="L295" s="60"/>
      <c r="M295" s="60"/>
      <c r="N295" s="60"/>
    </row>
    <row r="296" spans="1:14" ht="15.75" x14ac:dyDescent="0.25">
      <c r="A296" s="9">
        <v>42228</v>
      </c>
      <c r="B296" s="10">
        <v>247765.09</v>
      </c>
      <c r="C296" s="10">
        <v>0</v>
      </c>
      <c r="D296" s="10">
        <v>3059.24</v>
      </c>
      <c r="E296" s="10">
        <v>3591</v>
      </c>
      <c r="F296" s="11">
        <f t="shared" si="14"/>
        <v>241114.85</v>
      </c>
      <c r="G296" s="15">
        <f>110000+39270+70000+5530+7622.04+8693.04</f>
        <v>241115.08000000002</v>
      </c>
      <c r="H296" s="25" t="s">
        <v>9</v>
      </c>
      <c r="I296" s="15">
        <f t="shared" si="15"/>
        <v>0.23000000001047738</v>
      </c>
      <c r="J296" t="s">
        <v>540</v>
      </c>
      <c r="K296" s="4"/>
    </row>
    <row r="297" spans="1:14" ht="15.75" x14ac:dyDescent="0.25">
      <c r="A297" s="9">
        <v>42229</v>
      </c>
      <c r="B297" s="10">
        <v>318570.15999999997</v>
      </c>
      <c r="C297" s="10">
        <v>0</v>
      </c>
      <c r="D297" s="10">
        <v>15554.16</v>
      </c>
      <c r="E297" s="10">
        <v>3830</v>
      </c>
      <c r="F297" s="11">
        <f t="shared" si="14"/>
        <v>299186</v>
      </c>
      <c r="G297" s="15">
        <f>105000+90000+33686+70500</f>
        <v>299186</v>
      </c>
      <c r="H297" s="25" t="s">
        <v>9</v>
      </c>
      <c r="I297" s="15">
        <f t="shared" si="15"/>
        <v>0</v>
      </c>
      <c r="J297" t="s">
        <v>437</v>
      </c>
      <c r="K297" s="4"/>
    </row>
    <row r="298" spans="1:14" ht="15.75" x14ac:dyDescent="0.25">
      <c r="A298" s="9">
        <v>42230</v>
      </c>
      <c r="B298" s="10">
        <v>469723.35</v>
      </c>
      <c r="C298" s="10">
        <v>0</v>
      </c>
      <c r="D298" s="10">
        <v>16319.56</v>
      </c>
      <c r="E298" s="10">
        <v>20947.509999999998</v>
      </c>
      <c r="F298" s="11">
        <f t="shared" si="14"/>
        <v>432456.27999999997</v>
      </c>
      <c r="G298" s="15">
        <f>100000+145000+33524.5+60000+88000+134+1024+4773.7</f>
        <v>432456.2</v>
      </c>
      <c r="H298" s="25" t="s">
        <v>9</v>
      </c>
      <c r="I298" s="15">
        <f t="shared" si="15"/>
        <v>-7.9999999958090484E-2</v>
      </c>
      <c r="J298" t="s">
        <v>440</v>
      </c>
      <c r="K298" s="4"/>
    </row>
    <row r="299" spans="1:14" ht="15.75" x14ac:dyDescent="0.25">
      <c r="A299" s="9">
        <v>42231</v>
      </c>
      <c r="B299" s="10">
        <v>445760.34</v>
      </c>
      <c r="C299" s="10">
        <v>0</v>
      </c>
      <c r="D299" s="10">
        <v>30527.4</v>
      </c>
      <c r="E299" s="10">
        <v>98202.61</v>
      </c>
      <c r="F299" s="11">
        <f t="shared" si="14"/>
        <v>317030.33</v>
      </c>
      <c r="G299" s="15">
        <f>90000+90000+35429+90000+11601.36</f>
        <v>317030.36</v>
      </c>
      <c r="H299" s="25" t="s">
        <v>9</v>
      </c>
      <c r="I299" s="15">
        <f t="shared" si="15"/>
        <v>2.9999999969732016E-2</v>
      </c>
      <c r="J299" t="s">
        <v>439</v>
      </c>
      <c r="K299" s="4"/>
      <c r="L299" s="60" t="s">
        <v>438</v>
      </c>
      <c r="M299" s="60"/>
    </row>
    <row r="300" spans="1:14" ht="15.75" x14ac:dyDescent="0.25">
      <c r="A300" s="9">
        <v>42232</v>
      </c>
      <c r="B300" s="10">
        <v>239543.38</v>
      </c>
      <c r="C300" s="10">
        <v>0</v>
      </c>
      <c r="D300" s="10">
        <v>4904.92</v>
      </c>
      <c r="E300" s="10">
        <v>4775</v>
      </c>
      <c r="F300" s="11">
        <f t="shared" si="14"/>
        <v>229863.46</v>
      </c>
      <c r="G300" s="15">
        <f>80000+45000+67000+37863.5</f>
        <v>229863.5</v>
      </c>
      <c r="H300" s="25" t="s">
        <v>9</v>
      </c>
      <c r="I300" s="15">
        <f t="shared" si="15"/>
        <v>4.0000000008149073E-2</v>
      </c>
      <c r="J300" t="s">
        <v>441</v>
      </c>
      <c r="K300" s="4"/>
    </row>
    <row r="301" spans="1:14" ht="15.75" x14ac:dyDescent="0.25">
      <c r="A301" s="9">
        <v>42233</v>
      </c>
      <c r="B301" s="10">
        <v>415457.89</v>
      </c>
      <c r="C301" s="10">
        <v>0</v>
      </c>
      <c r="D301" s="10">
        <v>6017.16</v>
      </c>
      <c r="E301" s="10">
        <f>4393+397.57</f>
        <v>4790.57</v>
      </c>
      <c r="F301" s="11">
        <f t="shared" si="14"/>
        <v>404650.16000000003</v>
      </c>
      <c r="G301" s="15">
        <f>75000+125000+17000+35661.5+30225+23480+16000+52700+1583+28000</f>
        <v>404649.5</v>
      </c>
      <c r="H301" s="25" t="s">
        <v>9</v>
      </c>
      <c r="I301" s="15">
        <f t="shared" si="15"/>
        <v>-0.66000000003259629</v>
      </c>
      <c r="K301" s="4"/>
    </row>
    <row r="302" spans="1:14" ht="15.75" x14ac:dyDescent="0.25">
      <c r="A302" s="9">
        <v>42234</v>
      </c>
      <c r="B302" s="10">
        <v>298058.7</v>
      </c>
      <c r="C302" s="10">
        <v>0</v>
      </c>
      <c r="D302" s="10">
        <v>22798.98</v>
      </c>
      <c r="E302" s="10">
        <v>3176.58</v>
      </c>
      <c r="F302" s="11">
        <f t="shared" si="14"/>
        <v>272083.14</v>
      </c>
      <c r="G302" s="15">
        <f>62000+45000+80000+36264.5+32748+320+15750.8</f>
        <v>272083.3</v>
      </c>
      <c r="H302" s="25" t="s">
        <v>9</v>
      </c>
      <c r="I302" s="15">
        <f t="shared" si="15"/>
        <v>0.15999999997438863</v>
      </c>
      <c r="J302" t="s">
        <v>442</v>
      </c>
      <c r="K302" s="4"/>
    </row>
    <row r="303" spans="1:14" ht="15.75" x14ac:dyDescent="0.25">
      <c r="A303" s="9">
        <v>42235</v>
      </c>
      <c r="B303" s="10">
        <v>258282.93</v>
      </c>
      <c r="C303" s="10">
        <v>0</v>
      </c>
      <c r="D303" s="10">
        <v>2421.84</v>
      </c>
      <c r="E303" s="10">
        <v>4461.8</v>
      </c>
      <c r="F303" s="11">
        <f t="shared" si="14"/>
        <v>251399.29</v>
      </c>
      <c r="G303" s="15">
        <f>25000+36400+90000+100000</f>
        <v>251400</v>
      </c>
      <c r="H303" s="25" t="s">
        <v>9</v>
      </c>
      <c r="I303" s="15">
        <f t="shared" si="15"/>
        <v>0.70999999999185093</v>
      </c>
      <c r="J303" t="s">
        <v>541</v>
      </c>
      <c r="K303" s="4"/>
    </row>
    <row r="304" spans="1:14" ht="15.75" x14ac:dyDescent="0.25">
      <c r="A304" s="9">
        <v>42236</v>
      </c>
      <c r="B304" s="10">
        <v>299955.77</v>
      </c>
      <c r="C304" s="10">
        <v>0</v>
      </c>
      <c r="D304" s="10">
        <v>4233.78</v>
      </c>
      <c r="E304" s="10">
        <v>3632</v>
      </c>
      <c r="F304" s="11">
        <f t="shared" si="14"/>
        <v>292089.99</v>
      </c>
      <c r="G304" s="15">
        <f>145000+83000+40267.5+850+4514.8+3900+14557.52</f>
        <v>292089.82</v>
      </c>
      <c r="H304" s="25" t="s">
        <v>9</v>
      </c>
      <c r="I304" s="15">
        <f t="shared" si="15"/>
        <v>-0.16999999998370185</v>
      </c>
      <c r="J304" t="s">
        <v>444</v>
      </c>
      <c r="K304" s="4"/>
      <c r="L304" s="60" t="s">
        <v>443</v>
      </c>
      <c r="M304" s="60"/>
      <c r="N304" s="60"/>
    </row>
    <row r="305" spans="1:13" ht="15.75" x14ac:dyDescent="0.25">
      <c r="A305" s="9">
        <v>42237</v>
      </c>
      <c r="B305" s="10">
        <f>289830.01+111366.25+1564.7</f>
        <v>402760.96000000002</v>
      </c>
      <c r="C305" s="10">
        <v>0</v>
      </c>
      <c r="D305" s="10">
        <v>7369.32</v>
      </c>
      <c r="E305" s="10">
        <v>21436.880000000001</v>
      </c>
      <c r="F305" s="11">
        <f t="shared" si="14"/>
        <v>373954.76</v>
      </c>
      <c r="G305" s="15">
        <f>75000+90000+120000+51000+37821+134</f>
        <v>373955</v>
      </c>
      <c r="H305" s="25" t="s">
        <v>9</v>
      </c>
      <c r="I305" s="15">
        <f t="shared" si="15"/>
        <v>0.23999999999068677</v>
      </c>
      <c r="J305" t="s">
        <v>460</v>
      </c>
      <c r="K305" s="4"/>
    </row>
    <row r="306" spans="1:13" ht="15.75" x14ac:dyDescent="0.25">
      <c r="A306" s="9">
        <v>42238</v>
      </c>
      <c r="B306" s="10">
        <v>413196.96</v>
      </c>
      <c r="C306" s="10">
        <v>0</v>
      </c>
      <c r="D306" s="10">
        <v>23113.99</v>
      </c>
      <c r="E306" s="10">
        <v>99975.76</v>
      </c>
      <c r="F306" s="11">
        <f t="shared" si="14"/>
        <v>290107.21000000002</v>
      </c>
      <c r="G306" s="15">
        <f>55000+40107+60000+130000+5000</f>
        <v>290107</v>
      </c>
      <c r="H306" s="25" t="s">
        <v>9</v>
      </c>
      <c r="I306" s="15">
        <f t="shared" si="15"/>
        <v>-0.21000000002095476</v>
      </c>
      <c r="J306" t="s">
        <v>462</v>
      </c>
      <c r="L306" s="60" t="s">
        <v>461</v>
      </c>
      <c r="M306" s="60"/>
    </row>
    <row r="307" spans="1:13" ht="15.75" x14ac:dyDescent="0.25">
      <c r="A307" s="9">
        <v>42239</v>
      </c>
      <c r="B307" s="10">
        <v>257152.3</v>
      </c>
      <c r="C307" s="10">
        <v>0</v>
      </c>
      <c r="D307" s="10">
        <v>4428.6400000000003</v>
      </c>
      <c r="E307" s="10">
        <v>1415.48</v>
      </c>
      <c r="F307" s="11">
        <f t="shared" si="14"/>
        <v>251308.17999999996</v>
      </c>
      <c r="G307" s="15">
        <f>80000+60000+73000+38308.5</f>
        <v>251308.5</v>
      </c>
      <c r="H307" s="25" t="s">
        <v>9</v>
      </c>
      <c r="I307" s="15">
        <f t="shared" si="15"/>
        <v>0.32000000003608875</v>
      </c>
      <c r="J307" t="s">
        <v>463</v>
      </c>
    </row>
    <row r="308" spans="1:13" ht="15.75" x14ac:dyDescent="0.25">
      <c r="A308" s="9">
        <v>42240</v>
      </c>
      <c r="B308" s="10">
        <v>349038.16</v>
      </c>
      <c r="C308" s="10">
        <v>0</v>
      </c>
      <c r="D308" s="10">
        <v>4774.42</v>
      </c>
      <c r="E308" s="10">
        <v>1586</v>
      </c>
      <c r="F308" s="11">
        <f t="shared" si="14"/>
        <v>342677.74</v>
      </c>
      <c r="G308" s="15">
        <f>15165+20135+24651+49815+2657.58+80000+31000+85000+34254</f>
        <v>342677.58</v>
      </c>
      <c r="H308" s="25" t="s">
        <v>9</v>
      </c>
      <c r="I308" s="15">
        <f t="shared" si="15"/>
        <v>-0.15999999997438863</v>
      </c>
      <c r="J308" t="s">
        <v>464</v>
      </c>
      <c r="K308" s="4"/>
    </row>
    <row r="309" spans="1:13" ht="15.75" x14ac:dyDescent="0.25">
      <c r="A309" s="9">
        <v>42241</v>
      </c>
      <c r="B309" s="10">
        <v>222460.33</v>
      </c>
      <c r="C309" s="10">
        <v>0</v>
      </c>
      <c r="D309" s="10">
        <v>3052.08</v>
      </c>
      <c r="E309" s="10">
        <v>4206</v>
      </c>
      <c r="F309" s="11">
        <f t="shared" si="14"/>
        <v>215202.25</v>
      </c>
      <c r="G309" s="15">
        <f>700+55000+34011.5+65000+46000+9992.62+1977+2521</f>
        <v>215202.12</v>
      </c>
      <c r="H309" s="25" t="s">
        <v>9</v>
      </c>
      <c r="I309" s="15">
        <f t="shared" si="15"/>
        <v>-0.13000000000465661</v>
      </c>
      <c r="J309" t="s">
        <v>465</v>
      </c>
      <c r="K309" s="4"/>
    </row>
    <row r="310" spans="1:13" ht="15.75" x14ac:dyDescent="0.25">
      <c r="A310" s="9">
        <v>42242</v>
      </c>
      <c r="B310" s="10">
        <f>170096.5+114426.25</f>
        <v>284522.75</v>
      </c>
      <c r="C310" s="10">
        <v>0</v>
      </c>
      <c r="D310" s="10">
        <v>30925.040000000001</v>
      </c>
      <c r="E310" s="10">
        <v>18380</v>
      </c>
      <c r="F310" s="11">
        <f t="shared" si="14"/>
        <v>235217.71</v>
      </c>
      <c r="G310" s="15">
        <f>84500+500+97000+36587+3513+13117.92</f>
        <v>235217.92000000001</v>
      </c>
      <c r="H310" s="25" t="s">
        <v>9</v>
      </c>
      <c r="I310" s="15">
        <f t="shared" si="15"/>
        <v>0.21000000002095476</v>
      </c>
      <c r="J310" t="s">
        <v>467</v>
      </c>
      <c r="K310" s="4"/>
    </row>
    <row r="311" spans="1:13" ht="15.75" x14ac:dyDescent="0.25">
      <c r="A311" s="9">
        <v>42243</v>
      </c>
      <c r="B311" s="10">
        <v>343584.18</v>
      </c>
      <c r="C311" s="10">
        <v>0</v>
      </c>
      <c r="D311" s="10">
        <v>89096.35</v>
      </c>
      <c r="E311" s="10">
        <v>8810.14</v>
      </c>
      <c r="F311" s="11">
        <f t="shared" si="14"/>
        <v>245677.69</v>
      </c>
      <c r="G311" s="15">
        <f>55000+130000+2200+18755+6024.88+33698</f>
        <v>245677.88</v>
      </c>
      <c r="H311" s="25" t="s">
        <v>9</v>
      </c>
      <c r="I311" s="15">
        <f t="shared" si="15"/>
        <v>0.19000000000232831</v>
      </c>
      <c r="J311" t="s">
        <v>542</v>
      </c>
      <c r="K311" s="4"/>
      <c r="L311" s="60" t="s">
        <v>468</v>
      </c>
      <c r="M311" s="60"/>
    </row>
    <row r="312" spans="1:13" ht="15.75" x14ac:dyDescent="0.25">
      <c r="A312" s="9">
        <v>42244</v>
      </c>
      <c r="B312" s="10">
        <v>433755.91</v>
      </c>
      <c r="C312" s="10">
        <v>0</v>
      </c>
      <c r="D312" s="10">
        <v>10153.24</v>
      </c>
      <c r="E312" s="10">
        <v>71377.81</v>
      </c>
      <c r="F312" s="11">
        <f t="shared" si="14"/>
        <v>352224.86</v>
      </c>
      <c r="G312" s="15">
        <f>100000+137000+70000+38505+6720</f>
        <v>352225</v>
      </c>
      <c r="H312" s="25" t="s">
        <v>9</v>
      </c>
      <c r="I312" s="15">
        <f t="shared" si="15"/>
        <v>0.14000000001396984</v>
      </c>
      <c r="J312" t="s">
        <v>469</v>
      </c>
      <c r="K312" s="4"/>
    </row>
    <row r="313" spans="1:13" ht="15.75" x14ac:dyDescent="0.25">
      <c r="A313" s="9">
        <v>42245</v>
      </c>
      <c r="B313" s="10">
        <v>499465.98</v>
      </c>
      <c r="C313" s="10">
        <v>0</v>
      </c>
      <c r="D313" s="10">
        <v>29528.06</v>
      </c>
      <c r="E313" s="10">
        <v>103192.91</v>
      </c>
      <c r="F313" s="11">
        <f t="shared" si="14"/>
        <v>366745.01</v>
      </c>
      <c r="G313" s="15">
        <f>65000+10000+75000+20230+43091+80000+73000+374+50</f>
        <v>366745</v>
      </c>
      <c r="H313" s="25" t="s">
        <v>9</v>
      </c>
      <c r="I313" s="15">
        <f t="shared" si="15"/>
        <v>-1.0000000009313226E-2</v>
      </c>
      <c r="J313" t="s">
        <v>543</v>
      </c>
      <c r="K313" s="4"/>
      <c r="L313" s="60" t="s">
        <v>470</v>
      </c>
      <c r="M313" s="60"/>
    </row>
    <row r="314" spans="1:13" ht="15.75" x14ac:dyDescent="0.25">
      <c r="A314" s="9">
        <v>42246</v>
      </c>
      <c r="B314" s="10">
        <v>278312.3</v>
      </c>
      <c r="C314" s="10">
        <v>0</v>
      </c>
      <c r="D314" s="10">
        <v>3540.28</v>
      </c>
      <c r="E314" s="10">
        <v>1237.82</v>
      </c>
      <c r="F314" s="11">
        <f t="shared" si="14"/>
        <v>273534.19999999995</v>
      </c>
      <c r="G314" s="15">
        <f>75000+70000+38534+90000</f>
        <v>273534</v>
      </c>
      <c r="H314" s="25" t="s">
        <v>9</v>
      </c>
      <c r="I314" s="15">
        <f t="shared" si="15"/>
        <v>-0.19999999995343387</v>
      </c>
      <c r="K314" s="4"/>
    </row>
    <row r="315" spans="1:13" ht="15.75" x14ac:dyDescent="0.25">
      <c r="A315" s="9">
        <v>42247</v>
      </c>
      <c r="B315" s="10">
        <v>256545.69</v>
      </c>
      <c r="C315" s="10">
        <v>0</v>
      </c>
      <c r="D315" s="10">
        <v>3436.9</v>
      </c>
      <c r="E315" s="10">
        <v>58490.46</v>
      </c>
      <c r="F315" s="11">
        <f t="shared" si="14"/>
        <v>194618.33000000002</v>
      </c>
      <c r="G315" s="15">
        <f>50000+3209.36+753.2+45000+38656+57000</f>
        <v>194618.56</v>
      </c>
      <c r="H315" s="25" t="s">
        <v>9</v>
      </c>
      <c r="I315" s="15">
        <f t="shared" si="15"/>
        <v>0.22999999998137355</v>
      </c>
      <c r="J315" t="s">
        <v>472</v>
      </c>
      <c r="K315" s="4"/>
      <c r="L315" s="60" t="s">
        <v>471</v>
      </c>
      <c r="M315" s="60"/>
    </row>
    <row r="316" spans="1:13" ht="15.75" x14ac:dyDescent="0.25">
      <c r="A316" s="9"/>
      <c r="B316" s="10"/>
      <c r="C316" s="10"/>
      <c r="D316" s="10"/>
      <c r="E316" s="10"/>
      <c r="F316" s="11">
        <f t="shared" si="14"/>
        <v>0</v>
      </c>
      <c r="G316" s="15"/>
      <c r="H316" s="25"/>
      <c r="I316" s="15">
        <f t="shared" si="15"/>
        <v>0</v>
      </c>
    </row>
    <row r="317" spans="1:13" ht="15.75" x14ac:dyDescent="0.25">
      <c r="A317" s="14"/>
      <c r="B317" s="10"/>
      <c r="C317" s="10"/>
      <c r="D317" s="10"/>
      <c r="E317" s="10"/>
      <c r="F317" s="11">
        <f t="shared" si="14"/>
        <v>0</v>
      </c>
      <c r="G317" s="15"/>
      <c r="H317" s="189" t="s">
        <v>9</v>
      </c>
      <c r="I317" s="4"/>
    </row>
    <row r="318" spans="1:13" ht="15.75" x14ac:dyDescent="0.25">
      <c r="A318" s="14"/>
      <c r="B318" s="13"/>
      <c r="C318" s="10"/>
      <c r="D318" s="10"/>
      <c r="E318" s="10"/>
      <c r="F318" s="11">
        <f t="shared" si="14"/>
        <v>0</v>
      </c>
      <c r="G318" s="15"/>
      <c r="H318" s="4"/>
      <c r="I318" s="4"/>
    </row>
    <row r="319" spans="1:13" ht="15.75" x14ac:dyDescent="0.25">
      <c r="A319" s="14"/>
      <c r="B319" s="10"/>
      <c r="C319" s="10"/>
      <c r="D319" s="10"/>
      <c r="E319" s="10"/>
      <c r="F319" s="11">
        <f t="shared" si="14"/>
        <v>0</v>
      </c>
      <c r="G319" s="15"/>
      <c r="H319" s="4"/>
      <c r="I319" s="4"/>
    </row>
    <row r="320" spans="1:13" ht="15.75" x14ac:dyDescent="0.25">
      <c r="A320" s="14"/>
      <c r="B320" s="10">
        <f>SUM(B285:B319)</f>
        <v>10390095.439999999</v>
      </c>
      <c r="C320" s="10">
        <f>SUM(C285:C319)</f>
        <v>0</v>
      </c>
      <c r="D320" s="10"/>
      <c r="E320" s="10">
        <f>SUM(E285:E319)</f>
        <v>857261.62999999989</v>
      </c>
      <c r="F320" s="11">
        <f t="shared" si="14"/>
        <v>9532833.8099999987</v>
      </c>
      <c r="G320" s="15"/>
      <c r="H320" s="4"/>
      <c r="I320" s="4"/>
    </row>
    <row r="322" spans="1:13" ht="18.75" x14ac:dyDescent="0.3">
      <c r="B322" s="275" t="s">
        <v>254</v>
      </c>
      <c r="C322" s="275"/>
      <c r="D322" s="275"/>
      <c r="E322" s="275"/>
      <c r="F322" s="275"/>
      <c r="G322" s="275"/>
    </row>
    <row r="324" spans="1:13" ht="16.5" thickBot="1" x14ac:dyDescent="0.3">
      <c r="A324" s="19" t="s">
        <v>0</v>
      </c>
      <c r="B324" s="20" t="s">
        <v>1</v>
      </c>
      <c r="C324" s="67" t="s">
        <v>58</v>
      </c>
      <c r="D324" s="8" t="s">
        <v>3</v>
      </c>
      <c r="E324" s="21" t="s">
        <v>2</v>
      </c>
      <c r="F324" s="22" t="s">
        <v>4</v>
      </c>
      <c r="G324" s="27" t="s">
        <v>8</v>
      </c>
      <c r="H324" s="4"/>
      <c r="I324" s="4"/>
    </row>
    <row r="325" spans="1:13" ht="16.5" thickTop="1" x14ac:dyDescent="0.25">
      <c r="A325" s="9">
        <v>42248</v>
      </c>
      <c r="B325" s="10">
        <v>248344.13</v>
      </c>
      <c r="C325" s="10">
        <v>0</v>
      </c>
      <c r="D325" s="10">
        <v>86512.42</v>
      </c>
      <c r="E325" s="10">
        <v>640</v>
      </c>
      <c r="F325" s="11">
        <f>B325+C325-D325-E325</f>
        <v>161191.71000000002</v>
      </c>
      <c r="G325" s="15">
        <f>90000+38375.5+28000+3424.5</f>
        <v>159800</v>
      </c>
      <c r="H325" s="25" t="s">
        <v>9</v>
      </c>
      <c r="I325" s="15">
        <f>G325-F325</f>
        <v>-1391.710000000021</v>
      </c>
      <c r="J325" t="s">
        <v>513</v>
      </c>
      <c r="K325" s="60" t="s">
        <v>524</v>
      </c>
      <c r="L325" s="60"/>
    </row>
    <row r="326" spans="1:13" ht="15.75" x14ac:dyDescent="0.25">
      <c r="A326" s="9">
        <v>42249</v>
      </c>
      <c r="B326" s="10">
        <v>253726.7</v>
      </c>
      <c r="C326" s="10">
        <v>0</v>
      </c>
      <c r="D326" s="10">
        <v>43605.120000000003</v>
      </c>
      <c r="E326" s="10">
        <v>4115.38</v>
      </c>
      <c r="F326" s="11">
        <f t="shared" ref="F326:F360" si="16">B326+C326-D326-E326</f>
        <v>206006.2</v>
      </c>
      <c r="G326" s="15">
        <f>110000+41982+51000+3024</f>
        <v>206006</v>
      </c>
      <c r="H326" s="25" t="s">
        <v>9</v>
      </c>
      <c r="I326" s="15">
        <f t="shared" ref="I326:I356" si="17">G326-F326</f>
        <v>-0.20000000001164153</v>
      </c>
      <c r="J326" t="s">
        <v>511</v>
      </c>
      <c r="K326" s="4"/>
      <c r="L326" t="s">
        <v>510</v>
      </c>
    </row>
    <row r="327" spans="1:13" ht="15.75" x14ac:dyDescent="0.25">
      <c r="A327" s="9">
        <v>42250</v>
      </c>
      <c r="B327" s="10">
        <v>296582.38</v>
      </c>
      <c r="C327" s="10">
        <v>0</v>
      </c>
      <c r="D327" s="10">
        <v>8169.94</v>
      </c>
      <c r="E327" s="10">
        <v>11300</v>
      </c>
      <c r="F327" s="11">
        <f t="shared" si="16"/>
        <v>277112.44</v>
      </c>
      <c r="G327" s="15">
        <f>60000+125000+41933+36000+10000+2190.76+1988.99</f>
        <v>277112.75</v>
      </c>
      <c r="H327" s="25" t="s">
        <v>9</v>
      </c>
      <c r="I327" s="15">
        <f t="shared" si="17"/>
        <v>0.30999999999767169</v>
      </c>
      <c r="J327" t="s">
        <v>512</v>
      </c>
      <c r="K327" s="4"/>
    </row>
    <row r="328" spans="1:13" ht="15.75" x14ac:dyDescent="0.25">
      <c r="A328" s="9">
        <v>42251</v>
      </c>
      <c r="B328" s="10">
        <v>450087.69</v>
      </c>
      <c r="C328" s="10">
        <v>0</v>
      </c>
      <c r="D328" s="10">
        <v>28728.61</v>
      </c>
      <c r="E328" s="10">
        <v>21894.5</v>
      </c>
      <c r="F328" s="11">
        <f t="shared" si="16"/>
        <v>399464.58</v>
      </c>
      <c r="G328" s="15">
        <f>70000+55000+70000+120000+36474.5+30000+374+17616</f>
        <v>399464.5</v>
      </c>
      <c r="H328" s="25" t="s">
        <v>9</v>
      </c>
      <c r="I328" s="15">
        <f t="shared" si="17"/>
        <v>-8.0000000016298145E-2</v>
      </c>
      <c r="J328" t="s">
        <v>522</v>
      </c>
      <c r="K328" s="4"/>
    </row>
    <row r="329" spans="1:13" ht="15.75" x14ac:dyDescent="0.25">
      <c r="A329" s="9">
        <v>42252</v>
      </c>
      <c r="B329" s="10">
        <v>599303.43000000005</v>
      </c>
      <c r="C329" s="10">
        <v>0</v>
      </c>
      <c r="D329" s="10">
        <v>101293.84</v>
      </c>
      <c r="E329" s="10">
        <v>100862.77</v>
      </c>
      <c r="F329" s="11">
        <f t="shared" si="16"/>
        <v>397146.82000000007</v>
      </c>
      <c r="G329" s="15">
        <f>709+3242+5791+21500+28292+8418+41960+55274+75000+135000+6877.89+15083.36</f>
        <v>397147.25</v>
      </c>
      <c r="H329" s="25" t="s">
        <v>9</v>
      </c>
      <c r="I329" s="15">
        <f t="shared" si="17"/>
        <v>0.42999999993480742</v>
      </c>
      <c r="J329" t="s">
        <v>521</v>
      </c>
      <c r="K329" s="4"/>
      <c r="L329" s="60" t="s">
        <v>520</v>
      </c>
      <c r="M329" s="60"/>
    </row>
    <row r="330" spans="1:13" ht="15.75" x14ac:dyDescent="0.25">
      <c r="A330" s="9">
        <v>42253</v>
      </c>
      <c r="B330" s="10">
        <v>306325.37</v>
      </c>
      <c r="C330" s="10">
        <v>0</v>
      </c>
      <c r="D330" s="10">
        <v>4999.3</v>
      </c>
      <c r="E330" s="10">
        <v>880</v>
      </c>
      <c r="F330" s="11">
        <f t="shared" si="16"/>
        <v>300446.07</v>
      </c>
      <c r="G330" s="15">
        <f>65000+109000+45446+81000</f>
        <v>300446</v>
      </c>
      <c r="H330" s="25" t="s">
        <v>9</v>
      </c>
      <c r="I330" s="15">
        <f t="shared" si="17"/>
        <v>-7.0000000006984919E-2</v>
      </c>
      <c r="J330" t="s">
        <v>523</v>
      </c>
      <c r="K330" s="4"/>
    </row>
    <row r="331" spans="1:13" ht="15.75" x14ac:dyDescent="0.25">
      <c r="A331" s="9">
        <v>42254</v>
      </c>
      <c r="B331" s="10">
        <v>227364.14</v>
      </c>
      <c r="C331" s="10">
        <v>0</v>
      </c>
      <c r="D331" s="10">
        <v>57417.05</v>
      </c>
      <c r="E331" s="10">
        <v>3999</v>
      </c>
      <c r="F331" s="11">
        <f t="shared" si="16"/>
        <v>165948.09000000003</v>
      </c>
      <c r="G331" s="15">
        <f>31000+36480+95000+2288+1180</f>
        <v>165948</v>
      </c>
      <c r="H331" s="25" t="s">
        <v>9</v>
      </c>
      <c r="I331" s="15">
        <f t="shared" si="17"/>
        <v>-9.0000000025611371E-2</v>
      </c>
      <c r="J331" t="s">
        <v>536</v>
      </c>
      <c r="K331" s="4"/>
    </row>
    <row r="332" spans="1:13" ht="15.75" x14ac:dyDescent="0.25">
      <c r="A332" s="9">
        <v>42255</v>
      </c>
      <c r="B332" s="10">
        <v>262464.56</v>
      </c>
      <c r="C332" s="10">
        <v>0</v>
      </c>
      <c r="D332" s="10">
        <v>32710.880000000001</v>
      </c>
      <c r="E332" s="10">
        <f>4334+1392</f>
        <v>5726</v>
      </c>
      <c r="F332" s="11">
        <f t="shared" si="16"/>
        <v>224027.68</v>
      </c>
      <c r="G332" s="15">
        <f>90000+37527.5+96500</f>
        <v>224027.5</v>
      </c>
      <c r="H332" s="25" t="s">
        <v>9</v>
      </c>
      <c r="I332" s="15">
        <f t="shared" si="17"/>
        <v>-0.17999999999301508</v>
      </c>
      <c r="J332" t="s">
        <v>537</v>
      </c>
      <c r="K332" s="4"/>
      <c r="L332" s="4"/>
      <c r="M332" s="4"/>
    </row>
    <row r="333" spans="1:13" ht="15.75" x14ac:dyDescent="0.25">
      <c r="A333" s="9">
        <v>42256</v>
      </c>
      <c r="B333" s="10">
        <v>277159.49</v>
      </c>
      <c r="C333" s="10">
        <v>0</v>
      </c>
      <c r="D333" s="10">
        <v>38458.36</v>
      </c>
      <c r="E333" s="10">
        <v>1060</v>
      </c>
      <c r="F333" s="11">
        <f t="shared" si="16"/>
        <v>237641.13</v>
      </c>
      <c r="G333" s="15">
        <f>40123+125000+2200+318+70000</f>
        <v>237641</v>
      </c>
      <c r="H333" s="25" t="s">
        <v>9</v>
      </c>
      <c r="I333" s="15">
        <f t="shared" si="17"/>
        <v>-0.13000000000465661</v>
      </c>
      <c r="J333" t="s">
        <v>587</v>
      </c>
      <c r="K333" s="4"/>
    </row>
    <row r="334" spans="1:13" ht="15.75" x14ac:dyDescent="0.25">
      <c r="A334" s="9">
        <v>42257</v>
      </c>
      <c r="B334" s="10">
        <v>323979.11</v>
      </c>
      <c r="C334" s="10">
        <v>0</v>
      </c>
      <c r="D334" s="10">
        <v>60965.7</v>
      </c>
      <c r="E334" s="10">
        <v>2422</v>
      </c>
      <c r="F334" s="11">
        <f t="shared" si="16"/>
        <v>260591.40999999997</v>
      </c>
      <c r="G334" s="15">
        <f>135000+84000+41591</f>
        <v>260591</v>
      </c>
      <c r="H334" s="25" t="s">
        <v>9</v>
      </c>
      <c r="I334" s="15">
        <f t="shared" si="17"/>
        <v>-0.40999999997438863</v>
      </c>
      <c r="J334" t="s">
        <v>592</v>
      </c>
      <c r="K334" s="4"/>
    </row>
    <row r="335" spans="1:13" ht="15.75" x14ac:dyDescent="0.25">
      <c r="A335" s="9">
        <v>42258</v>
      </c>
      <c r="B335" s="10">
        <v>433319.39</v>
      </c>
      <c r="C335" s="10">
        <v>0</v>
      </c>
      <c r="D335" s="10">
        <v>31110.46</v>
      </c>
      <c r="E335" s="10">
        <v>1916.42</v>
      </c>
      <c r="F335" s="11">
        <f t="shared" si="16"/>
        <v>400292.51</v>
      </c>
      <c r="G335" s="15">
        <f>81000+180000+6020+95000+38272.5</f>
        <v>400292.5</v>
      </c>
      <c r="H335" s="25" t="s">
        <v>9</v>
      </c>
      <c r="I335" s="15">
        <f t="shared" si="17"/>
        <v>-1.0000000009313226E-2</v>
      </c>
      <c r="J335" t="s">
        <v>593</v>
      </c>
      <c r="K335" s="4"/>
    </row>
    <row r="336" spans="1:13" ht="15.75" x14ac:dyDescent="0.25">
      <c r="A336" s="9">
        <v>42259</v>
      </c>
      <c r="B336" s="10">
        <v>486342.65</v>
      </c>
      <c r="C336" s="10">
        <v>0</v>
      </c>
      <c r="D336" s="10">
        <v>151757.89000000001</v>
      </c>
      <c r="E336" s="10">
        <v>101744.63</v>
      </c>
      <c r="F336" s="11">
        <f t="shared" si="16"/>
        <v>232840.13</v>
      </c>
      <c r="G336" s="15">
        <f>44209+101000+1020+16611.4+70000</f>
        <v>232840.4</v>
      </c>
      <c r="H336" s="25" t="s">
        <v>9</v>
      </c>
      <c r="I336" s="15">
        <f t="shared" si="17"/>
        <v>0.26999999998952262</v>
      </c>
      <c r="J336" t="s">
        <v>604</v>
      </c>
      <c r="K336" s="4"/>
      <c r="L336" s="60" t="s">
        <v>603</v>
      </c>
      <c r="M336" s="60"/>
    </row>
    <row r="337" spans="1:13" ht="15.75" x14ac:dyDescent="0.25">
      <c r="A337" s="9">
        <v>42260</v>
      </c>
      <c r="B337" s="10">
        <v>336965.26</v>
      </c>
      <c r="C337" s="10">
        <v>0</v>
      </c>
      <c r="D337" s="10">
        <v>8999.2000000000007</v>
      </c>
      <c r="E337" s="10">
        <v>1068.8</v>
      </c>
      <c r="F337" s="11">
        <f t="shared" si="16"/>
        <v>326897.26</v>
      </c>
      <c r="G337" s="15">
        <f>42591.5+10052+700.5+9400+22000+15153+100000+127000</f>
        <v>326897</v>
      </c>
      <c r="H337" s="25" t="s">
        <v>9</v>
      </c>
      <c r="I337" s="15">
        <f t="shared" si="17"/>
        <v>-0.26000000000931323</v>
      </c>
      <c r="J337" t="s">
        <v>611</v>
      </c>
      <c r="K337" s="4"/>
    </row>
    <row r="338" spans="1:13" ht="15.75" x14ac:dyDescent="0.25">
      <c r="A338" s="9">
        <v>42261</v>
      </c>
      <c r="B338" s="10">
        <v>411392.84</v>
      </c>
      <c r="C338" s="10">
        <v>0</v>
      </c>
      <c r="D338" s="10">
        <v>11082.23</v>
      </c>
      <c r="E338" s="10">
        <v>9476.14</v>
      </c>
      <c r="F338" s="11">
        <f t="shared" si="16"/>
        <v>390834.47000000003</v>
      </c>
      <c r="G338" s="15">
        <f>140000+125000+37890.5+85000+2944</f>
        <v>390834.5</v>
      </c>
      <c r="H338" s="25" t="s">
        <v>9</v>
      </c>
      <c r="I338" s="15">
        <f t="shared" si="17"/>
        <v>2.9999999969732016E-2</v>
      </c>
      <c r="J338" t="s">
        <v>612</v>
      </c>
      <c r="K338" s="4"/>
    </row>
    <row r="339" spans="1:13" ht="15.75" x14ac:dyDescent="0.25">
      <c r="A339" s="9">
        <v>42262</v>
      </c>
      <c r="B339" s="10">
        <v>433175.82</v>
      </c>
      <c r="C339" s="10">
        <v>0</v>
      </c>
      <c r="D339" s="10">
        <v>82575.759999999995</v>
      </c>
      <c r="E339" s="10">
        <v>7484</v>
      </c>
      <c r="F339" s="11">
        <f t="shared" si="16"/>
        <v>343116.06</v>
      </c>
      <c r="G339" s="15">
        <f>39116+53000+106000+145000</f>
        <v>343116</v>
      </c>
      <c r="H339" s="25" t="s">
        <v>9</v>
      </c>
      <c r="I339" s="15">
        <f t="shared" si="17"/>
        <v>-5.9999999997671694E-2</v>
      </c>
      <c r="J339" t="s">
        <v>613</v>
      </c>
      <c r="K339" s="4"/>
      <c r="L339" s="60" t="s">
        <v>471</v>
      </c>
      <c r="M339" s="60"/>
    </row>
    <row r="340" spans="1:13" ht="15.75" x14ac:dyDescent="0.25">
      <c r="A340" s="9">
        <v>42263</v>
      </c>
      <c r="B340" s="10">
        <v>184316.27</v>
      </c>
      <c r="C340" s="10">
        <v>0</v>
      </c>
      <c r="D340" s="10">
        <v>1058.4000000000001</v>
      </c>
      <c r="E340" s="10">
        <v>5070</v>
      </c>
      <c r="F340" s="11">
        <f t="shared" si="16"/>
        <v>178187.87</v>
      </c>
      <c r="G340" s="15">
        <f>38188+80000+60000</f>
        <v>178188</v>
      </c>
      <c r="H340" s="25" t="s">
        <v>9</v>
      </c>
      <c r="I340" s="15">
        <f t="shared" si="17"/>
        <v>0.13000000000465661</v>
      </c>
      <c r="K340" s="4"/>
    </row>
    <row r="341" spans="1:13" ht="15.75" x14ac:dyDescent="0.25">
      <c r="A341" s="9">
        <v>42264</v>
      </c>
      <c r="B341" s="10">
        <v>344993.72</v>
      </c>
      <c r="C341" s="10">
        <v>0</v>
      </c>
      <c r="D341" s="10">
        <v>1683.6</v>
      </c>
      <c r="E341" s="10">
        <v>2906</v>
      </c>
      <c r="F341" s="11">
        <f t="shared" si="16"/>
        <v>340404.12</v>
      </c>
      <c r="G341" s="15">
        <f>60000+150000+90000+38543+1684.8+176.5</f>
        <v>340404.3</v>
      </c>
      <c r="H341" s="25" t="s">
        <v>9</v>
      </c>
      <c r="I341" s="15">
        <f t="shared" si="17"/>
        <v>0.17999999999301508</v>
      </c>
      <c r="J341" t="s">
        <v>623</v>
      </c>
      <c r="K341" s="4"/>
    </row>
    <row r="342" spans="1:13" ht="15.75" x14ac:dyDescent="0.25">
      <c r="A342" s="9">
        <v>42265</v>
      </c>
      <c r="B342" s="10">
        <f>390762.69+77194.16</f>
        <v>467956.85</v>
      </c>
      <c r="C342" s="10">
        <v>0</v>
      </c>
      <c r="D342" s="10">
        <v>4051.24</v>
      </c>
      <c r="E342" s="10">
        <v>62222.29</v>
      </c>
      <c r="F342" s="11">
        <f t="shared" si="16"/>
        <v>401683.32</v>
      </c>
      <c r="G342" s="15">
        <f>96000+80000+75000+35683.5+50000+65000</f>
        <v>401683.5</v>
      </c>
      <c r="H342" s="25" t="s">
        <v>9</v>
      </c>
      <c r="I342" s="15">
        <f t="shared" si="17"/>
        <v>0.17999999999301508</v>
      </c>
      <c r="J342" t="s">
        <v>624</v>
      </c>
      <c r="K342" s="4"/>
    </row>
    <row r="343" spans="1:13" ht="15.75" x14ac:dyDescent="0.25">
      <c r="A343" s="9">
        <v>42266</v>
      </c>
      <c r="B343" s="10">
        <v>413935.16</v>
      </c>
      <c r="C343" s="10">
        <v>0</v>
      </c>
      <c r="D343" s="10">
        <v>68311.88</v>
      </c>
      <c r="E343" s="10">
        <v>129760.31</v>
      </c>
      <c r="F343" s="11">
        <f t="shared" si="16"/>
        <v>215862.96999999997</v>
      </c>
      <c r="G343" s="15">
        <f>61000+41732+11131.08+102000</f>
        <v>215863.08000000002</v>
      </c>
      <c r="H343" s="25" t="s">
        <v>9</v>
      </c>
      <c r="I343" s="15">
        <f t="shared" si="17"/>
        <v>0.11000000004423782</v>
      </c>
      <c r="J343" t="s">
        <v>626</v>
      </c>
      <c r="K343" s="4"/>
      <c r="L343" s="60" t="s">
        <v>625</v>
      </c>
      <c r="M343" s="60"/>
    </row>
    <row r="344" spans="1:13" ht="15.75" x14ac:dyDescent="0.25">
      <c r="A344" s="9">
        <v>42267</v>
      </c>
      <c r="B344" s="10">
        <v>270771.78999999998</v>
      </c>
      <c r="C344" s="10">
        <v>0</v>
      </c>
      <c r="D344" s="10">
        <v>5245.44</v>
      </c>
      <c r="E344" s="10">
        <v>3941</v>
      </c>
      <c r="F344" s="11">
        <f t="shared" si="16"/>
        <v>261585.34999999998</v>
      </c>
      <c r="G344" s="15">
        <f>131000+38585.5+92000</f>
        <v>261585.5</v>
      </c>
      <c r="H344" s="25" t="s">
        <v>9</v>
      </c>
      <c r="I344" s="15">
        <f t="shared" si="17"/>
        <v>0.15000000002328306</v>
      </c>
      <c r="J344" t="s">
        <v>627</v>
      </c>
      <c r="K344" s="4"/>
    </row>
    <row r="345" spans="1:13" ht="15.75" x14ac:dyDescent="0.25">
      <c r="A345" s="9">
        <v>42268</v>
      </c>
      <c r="B345" s="10">
        <v>215889.1</v>
      </c>
      <c r="C345" s="10">
        <v>0</v>
      </c>
      <c r="D345" s="10">
        <v>37766.15</v>
      </c>
      <c r="E345" s="10">
        <v>8362.34</v>
      </c>
      <c r="F345" s="11">
        <f t="shared" si="16"/>
        <v>169760.61000000002</v>
      </c>
      <c r="G345" s="15">
        <f>45000+38755.5+86000</f>
        <v>169755.5</v>
      </c>
      <c r="H345" s="25" t="s">
        <v>9</v>
      </c>
      <c r="I345" s="15">
        <f t="shared" si="17"/>
        <v>-5.110000000015134</v>
      </c>
      <c r="J345" t="s">
        <v>632</v>
      </c>
      <c r="K345" s="4"/>
      <c r="L345" s="60" t="s">
        <v>471</v>
      </c>
      <c r="M345" s="60"/>
    </row>
    <row r="346" spans="1:13" ht="15.75" x14ac:dyDescent="0.25">
      <c r="A346" s="9">
        <v>42269</v>
      </c>
      <c r="B346" s="10">
        <v>238632.16</v>
      </c>
      <c r="C346" s="10">
        <v>0</v>
      </c>
      <c r="D346" s="10">
        <v>55996.800000000003</v>
      </c>
      <c r="E346" s="10">
        <v>1265</v>
      </c>
      <c r="F346" s="11">
        <f t="shared" si="16"/>
        <v>181370.36</v>
      </c>
      <c r="G346" s="15">
        <f>100000+43000+38370.5</f>
        <v>181370.5</v>
      </c>
      <c r="H346" s="25" t="s">
        <v>9</v>
      </c>
      <c r="I346" s="15">
        <f t="shared" si="17"/>
        <v>0.14000000001396984</v>
      </c>
      <c r="J346" t="s">
        <v>640</v>
      </c>
      <c r="K346" s="4"/>
    </row>
    <row r="347" spans="1:13" ht="15.75" x14ac:dyDescent="0.25">
      <c r="A347" s="9">
        <v>42270</v>
      </c>
      <c r="B347" s="10">
        <v>517003.74</v>
      </c>
      <c r="C347" s="10">
        <v>0</v>
      </c>
      <c r="D347" s="10">
        <v>39162.050000000003</v>
      </c>
      <c r="E347" s="10">
        <v>1093.83</v>
      </c>
      <c r="F347" s="11">
        <f t="shared" si="16"/>
        <v>476747.86</v>
      </c>
      <c r="G347" s="15">
        <f>56337+15300+18290+151100+5470+37250.5+35000+125000+33000</f>
        <v>476747.5</v>
      </c>
      <c r="H347" s="25" t="s">
        <v>9</v>
      </c>
      <c r="I347" s="15">
        <f t="shared" si="17"/>
        <v>-0.35999999998603016</v>
      </c>
      <c r="J347" s="208" t="s">
        <v>641</v>
      </c>
      <c r="K347" s="4"/>
    </row>
    <row r="348" spans="1:13" ht="15.75" x14ac:dyDescent="0.25">
      <c r="A348" s="9">
        <v>42271</v>
      </c>
      <c r="B348" s="10">
        <v>337624.26</v>
      </c>
      <c r="C348" s="10">
        <v>0</v>
      </c>
      <c r="D348" s="10">
        <v>4246.16</v>
      </c>
      <c r="E348" s="10">
        <v>3711.5</v>
      </c>
      <c r="F348" s="11">
        <f t="shared" si="16"/>
        <v>329666.60000000003</v>
      </c>
      <c r="G348" s="15">
        <f>110000+62000+33666.5+124000</f>
        <v>329666.5</v>
      </c>
      <c r="H348" s="25" t="s">
        <v>9</v>
      </c>
      <c r="I348" s="15">
        <f t="shared" si="17"/>
        <v>-0.1000000000349246</v>
      </c>
      <c r="J348" t="s">
        <v>642</v>
      </c>
      <c r="K348" s="4"/>
    </row>
    <row r="349" spans="1:13" ht="15.75" x14ac:dyDescent="0.25">
      <c r="A349" s="9">
        <v>42272</v>
      </c>
      <c r="B349" s="10">
        <v>424511.94</v>
      </c>
      <c r="C349" s="10">
        <v>0</v>
      </c>
      <c r="D349" s="10">
        <v>6516.08</v>
      </c>
      <c r="E349" s="10">
        <v>20260.5</v>
      </c>
      <c r="F349" s="11">
        <f t="shared" si="16"/>
        <v>397735.36</v>
      </c>
      <c r="G349" s="15">
        <f>597+46000+165000+40138.5+146000</f>
        <v>397735.5</v>
      </c>
      <c r="H349" s="25" t="s">
        <v>9</v>
      </c>
      <c r="I349" s="15">
        <f t="shared" si="17"/>
        <v>0.14000000001396984</v>
      </c>
      <c r="K349" s="4"/>
    </row>
    <row r="350" spans="1:13" ht="15.75" x14ac:dyDescent="0.25">
      <c r="A350" s="9">
        <v>42273</v>
      </c>
      <c r="B350" s="10">
        <v>430982.42</v>
      </c>
      <c r="C350" s="10">
        <v>0</v>
      </c>
      <c r="D350" s="10">
        <v>58139.32</v>
      </c>
      <c r="E350" s="10">
        <v>98442.86</v>
      </c>
      <c r="F350" s="11">
        <f t="shared" si="16"/>
        <v>274400.24</v>
      </c>
      <c r="G350" s="15">
        <f>14876.74+43523.5+99000+117000</f>
        <v>274400.24</v>
      </c>
      <c r="H350" s="25" t="s">
        <v>9</v>
      </c>
      <c r="I350" s="15">
        <f t="shared" si="17"/>
        <v>0</v>
      </c>
      <c r="J350" t="s">
        <v>670</v>
      </c>
      <c r="K350" s="4"/>
      <c r="L350" s="60" t="s">
        <v>661</v>
      </c>
      <c r="M350" s="60"/>
    </row>
    <row r="351" spans="1:13" ht="15.75" x14ac:dyDescent="0.25">
      <c r="A351" s="9">
        <v>42274</v>
      </c>
      <c r="B351" s="10">
        <v>240647.66</v>
      </c>
      <c r="C351" s="10">
        <v>0</v>
      </c>
      <c r="D351" s="10">
        <v>6197.25</v>
      </c>
      <c r="E351" s="10">
        <v>2680</v>
      </c>
      <c r="F351" s="11">
        <f t="shared" si="16"/>
        <v>231770.41</v>
      </c>
      <c r="G351" s="15">
        <f>69000+50000+72000+40770.5</f>
        <v>231770.5</v>
      </c>
      <c r="H351" s="25" t="s">
        <v>9</v>
      </c>
      <c r="I351" s="15">
        <f t="shared" si="17"/>
        <v>8.999999999650754E-2</v>
      </c>
      <c r="J351" t="s">
        <v>662</v>
      </c>
      <c r="K351" s="4"/>
    </row>
    <row r="352" spans="1:13" ht="15.75" x14ac:dyDescent="0.25">
      <c r="A352" s="9">
        <v>42275</v>
      </c>
      <c r="B352" s="10">
        <v>279441.05</v>
      </c>
      <c r="C352" s="10">
        <v>0</v>
      </c>
      <c r="D352" s="10">
        <v>57484.04</v>
      </c>
      <c r="E352" s="10">
        <v>6247.6</v>
      </c>
      <c r="F352" s="11">
        <f t="shared" si="16"/>
        <v>215709.40999999997</v>
      </c>
      <c r="G352" s="15">
        <f>70000+71000+36000+38709.5</f>
        <v>215709.5</v>
      </c>
      <c r="H352" s="25" t="s">
        <v>9</v>
      </c>
      <c r="I352" s="15">
        <f t="shared" si="17"/>
        <v>9.0000000025611371E-2</v>
      </c>
      <c r="J352" t="s">
        <v>663</v>
      </c>
      <c r="K352" s="4"/>
      <c r="L352" s="60" t="s">
        <v>471</v>
      </c>
      <c r="M352" s="60"/>
    </row>
    <row r="353" spans="1:13" ht="15.75" x14ac:dyDescent="0.25">
      <c r="A353" s="9">
        <v>42276</v>
      </c>
      <c r="B353" s="10">
        <v>224541.2</v>
      </c>
      <c r="C353" s="10">
        <v>0</v>
      </c>
      <c r="D353" s="10">
        <v>33812.44</v>
      </c>
      <c r="E353" s="10">
        <v>1205</v>
      </c>
      <c r="F353" s="11">
        <f t="shared" si="16"/>
        <v>189523.76</v>
      </c>
      <c r="G353" s="15">
        <f>55000+40000+39523.76+55000</f>
        <v>189523.76</v>
      </c>
      <c r="H353" s="25" t="s">
        <v>9</v>
      </c>
      <c r="I353" s="15">
        <f t="shared" si="17"/>
        <v>0</v>
      </c>
      <c r="K353" s="4" t="s">
        <v>712</v>
      </c>
    </row>
    <row r="354" spans="1:13" ht="15.75" x14ac:dyDescent="0.25">
      <c r="A354" s="9">
        <v>42277</v>
      </c>
      <c r="B354" s="10">
        <v>476378.99</v>
      </c>
      <c r="C354" s="10">
        <v>0</v>
      </c>
      <c r="D354" s="10">
        <v>27823.7</v>
      </c>
      <c r="E354" s="10">
        <v>63628.62</v>
      </c>
      <c r="F354" s="11">
        <f t="shared" si="16"/>
        <v>384926.67</v>
      </c>
      <c r="G354" s="15">
        <f>47500+100000+35414.5+3279.72+128400+4132+66200</f>
        <v>384926.22</v>
      </c>
      <c r="H354" s="25" t="s">
        <v>9</v>
      </c>
      <c r="I354" s="15">
        <f t="shared" si="17"/>
        <v>-0.45000000001164153</v>
      </c>
      <c r="J354" t="s">
        <v>682</v>
      </c>
      <c r="K354" t="s">
        <v>22</v>
      </c>
      <c r="L354" s="60" t="s">
        <v>681</v>
      </c>
      <c r="M354" s="60"/>
    </row>
    <row r="355" spans="1:13" ht="15.75" x14ac:dyDescent="0.25">
      <c r="A355" s="9"/>
      <c r="B355" s="10"/>
      <c r="C355" s="10"/>
      <c r="D355" s="10"/>
      <c r="E355" s="10"/>
      <c r="F355" s="11">
        <f t="shared" si="16"/>
        <v>0</v>
      </c>
      <c r="G355" s="15"/>
      <c r="H355" s="25"/>
      <c r="I355" s="15">
        <f t="shared" si="17"/>
        <v>0</v>
      </c>
    </row>
    <row r="356" spans="1:13" ht="15.75" x14ac:dyDescent="0.25">
      <c r="A356" s="9"/>
      <c r="B356" s="10"/>
      <c r="C356" s="10"/>
      <c r="D356" s="10"/>
      <c r="E356" s="10"/>
      <c r="F356" s="11">
        <f t="shared" si="16"/>
        <v>0</v>
      </c>
      <c r="G356" s="15"/>
      <c r="H356" s="189" t="s">
        <v>9</v>
      </c>
      <c r="I356" s="15">
        <f t="shared" si="17"/>
        <v>0</v>
      </c>
    </row>
    <row r="357" spans="1:13" ht="15.75" x14ac:dyDescent="0.25">
      <c r="A357" s="14"/>
      <c r="B357" s="10"/>
      <c r="C357" s="10"/>
      <c r="D357" s="10"/>
      <c r="E357" s="10"/>
      <c r="F357" s="11">
        <f t="shared" si="16"/>
        <v>0</v>
      </c>
      <c r="G357" s="15"/>
      <c r="H357" s="4"/>
      <c r="I357" s="4"/>
    </row>
    <row r="358" spans="1:13" ht="15.75" x14ac:dyDescent="0.25">
      <c r="A358" s="14"/>
      <c r="B358" s="13"/>
      <c r="C358" s="10"/>
      <c r="D358" s="10"/>
      <c r="E358" s="10"/>
      <c r="F358" s="11">
        <f t="shared" si="16"/>
        <v>0</v>
      </c>
      <c r="G358" s="15"/>
      <c r="H358" s="4"/>
      <c r="I358" s="4"/>
    </row>
    <row r="359" spans="1:13" ht="15.75" x14ac:dyDescent="0.25">
      <c r="A359" s="14"/>
      <c r="B359" s="10"/>
      <c r="C359" s="10"/>
      <c r="D359" s="10"/>
      <c r="E359" s="10"/>
      <c r="F359" s="11">
        <f t="shared" si="16"/>
        <v>0</v>
      </c>
      <c r="G359" s="15"/>
      <c r="H359" s="4"/>
      <c r="I359" s="4"/>
    </row>
    <row r="360" spans="1:13" ht="15.75" x14ac:dyDescent="0.25">
      <c r="A360" s="14"/>
      <c r="B360" s="10">
        <f>SUM(B325:B359)</f>
        <v>10414159.27</v>
      </c>
      <c r="C360" s="10">
        <f>SUM(C325:C359)</f>
        <v>0</v>
      </c>
      <c r="D360" s="10"/>
      <c r="E360" s="10">
        <f>SUM(E325:E359)</f>
        <v>685386.49</v>
      </c>
      <c r="F360" s="11">
        <f t="shared" si="16"/>
        <v>9728772.7799999993</v>
      </c>
      <c r="G360" s="15"/>
      <c r="H360" s="4"/>
      <c r="I360" s="4"/>
    </row>
    <row r="362" spans="1:13" ht="18.75" x14ac:dyDescent="0.3">
      <c r="B362" s="275" t="s">
        <v>255</v>
      </c>
      <c r="C362" s="275"/>
      <c r="D362" s="275"/>
      <c r="E362" s="275"/>
      <c r="F362" s="275"/>
      <c r="G362" s="275"/>
    </row>
    <row r="364" spans="1:13" ht="16.5" thickBot="1" x14ac:dyDescent="0.3">
      <c r="A364" s="19" t="s">
        <v>0</v>
      </c>
      <c r="B364" s="20" t="s">
        <v>1</v>
      </c>
      <c r="C364" s="67" t="s">
        <v>58</v>
      </c>
      <c r="D364" s="8" t="s">
        <v>3</v>
      </c>
      <c r="E364" s="21" t="s">
        <v>2</v>
      </c>
      <c r="F364" s="22" t="s">
        <v>4</v>
      </c>
      <c r="G364" s="27" t="s">
        <v>8</v>
      </c>
      <c r="H364" s="4"/>
      <c r="I364" s="4"/>
    </row>
    <row r="365" spans="1:13" ht="16.5" thickTop="1" x14ac:dyDescent="0.25">
      <c r="A365" s="9">
        <v>42278</v>
      </c>
      <c r="B365" s="10">
        <v>423713.28000000003</v>
      </c>
      <c r="C365" s="10">
        <v>0</v>
      </c>
      <c r="D365" s="10">
        <v>24260.12</v>
      </c>
      <c r="E365" s="10">
        <v>4729.1400000000003</v>
      </c>
      <c r="F365" s="11">
        <f>B365+C365-D365-E365</f>
        <v>394724.02</v>
      </c>
      <c r="G365" s="15">
        <f>70000+45000+20000+150000+2078.5+20364+54899.5+32381.5</f>
        <v>394723.5</v>
      </c>
      <c r="H365" s="25" t="s">
        <v>9</v>
      </c>
      <c r="I365" s="15">
        <f>G365-F365</f>
        <v>-0.52000000001862645</v>
      </c>
      <c r="J365" t="s">
        <v>683</v>
      </c>
      <c r="K365" s="4"/>
    </row>
    <row r="366" spans="1:13" ht="15.75" x14ac:dyDescent="0.25">
      <c r="A366" s="9">
        <v>42279</v>
      </c>
      <c r="B366" s="10">
        <v>455715.79</v>
      </c>
      <c r="C366" s="10">
        <v>0</v>
      </c>
      <c r="D366" s="10">
        <v>5363.48</v>
      </c>
      <c r="E366" s="10">
        <v>23266.240000000002</v>
      </c>
      <c r="F366" s="11">
        <f t="shared" ref="F366:F400" si="18">B366+C366-D366-E366</f>
        <v>427086.07</v>
      </c>
      <c r="G366" s="15">
        <f>125000+105000+110000+37086+50000</f>
        <v>427086</v>
      </c>
      <c r="H366" s="25" t="s">
        <v>9</v>
      </c>
      <c r="I366" s="15">
        <f t="shared" ref="I366:I396" si="19">G366-F366</f>
        <v>-7.0000000006984919E-2</v>
      </c>
      <c r="J366" t="s">
        <v>686</v>
      </c>
      <c r="K366" s="4"/>
    </row>
    <row r="367" spans="1:13" ht="15.75" x14ac:dyDescent="0.25">
      <c r="A367" s="9">
        <v>42280</v>
      </c>
      <c r="B367" s="10">
        <v>434478.97</v>
      </c>
      <c r="C367" s="10">
        <v>0</v>
      </c>
      <c r="D367" s="10">
        <v>67074.36</v>
      </c>
      <c r="E367" s="10">
        <v>92044.51</v>
      </c>
      <c r="F367" s="11">
        <f t="shared" si="18"/>
        <v>275360.09999999998</v>
      </c>
      <c r="G367" s="15">
        <f>108000+40360+127000</f>
        <v>275360</v>
      </c>
      <c r="H367" s="25" t="s">
        <v>9</v>
      </c>
      <c r="I367" s="15">
        <f t="shared" si="19"/>
        <v>-9.9999999976716936E-2</v>
      </c>
      <c r="K367" s="4"/>
      <c r="L367" s="60" t="s">
        <v>684</v>
      </c>
      <c r="M367" s="60"/>
    </row>
    <row r="368" spans="1:13" ht="15.75" x14ac:dyDescent="0.25">
      <c r="A368" s="9">
        <v>42281</v>
      </c>
      <c r="B368" s="10">
        <v>282483.02</v>
      </c>
      <c r="C368" s="10">
        <v>0</v>
      </c>
      <c r="D368" s="10">
        <v>7646.09</v>
      </c>
      <c r="E368" s="10">
        <v>4280</v>
      </c>
      <c r="F368" s="11">
        <f t="shared" si="18"/>
        <v>270556.93</v>
      </c>
      <c r="G368" s="15">
        <f>90000+50000+35557+95000</f>
        <v>270557</v>
      </c>
      <c r="H368" s="25" t="s">
        <v>9</v>
      </c>
      <c r="I368" s="15">
        <f t="shared" si="19"/>
        <v>7.0000000006984919E-2</v>
      </c>
      <c r="J368" t="s">
        <v>685</v>
      </c>
      <c r="K368" s="4"/>
    </row>
    <row r="369" spans="1:13" ht="15.75" x14ac:dyDescent="0.25">
      <c r="A369" s="243" t="s">
        <v>708</v>
      </c>
      <c r="B369" s="10">
        <v>488754.84</v>
      </c>
      <c r="C369" s="10">
        <v>0</v>
      </c>
      <c r="D369" s="10">
        <v>79349.539999999994</v>
      </c>
      <c r="E369" s="10">
        <v>6104.08</v>
      </c>
      <c r="F369" s="11">
        <f t="shared" si="18"/>
        <v>403301.22000000003</v>
      </c>
      <c r="G369" s="15">
        <f>85000+34804+77500+95000+75000+32028.5+3968.64</f>
        <v>403301.14</v>
      </c>
      <c r="H369" s="25" t="s">
        <v>9</v>
      </c>
      <c r="I369" s="15">
        <f t="shared" si="19"/>
        <v>-8.0000000016298145E-2</v>
      </c>
      <c r="J369" t="s">
        <v>709</v>
      </c>
      <c r="L369" t="s">
        <v>471</v>
      </c>
    </row>
    <row r="370" spans="1:13" ht="15.75" x14ac:dyDescent="0.25">
      <c r="A370" s="9">
        <v>42284</v>
      </c>
      <c r="B370" s="10">
        <v>222069.62</v>
      </c>
      <c r="C370" s="10">
        <v>0</v>
      </c>
      <c r="D370" s="10">
        <v>21373.06</v>
      </c>
      <c r="E370" s="10">
        <v>2614</v>
      </c>
      <c r="F370" s="11">
        <f t="shared" si="18"/>
        <v>198082.56</v>
      </c>
      <c r="G370" s="15">
        <f>80000+6500+34582.5+77000</f>
        <v>198082.5</v>
      </c>
      <c r="H370" s="25" t="s">
        <v>9</v>
      </c>
      <c r="I370" s="15">
        <f t="shared" si="19"/>
        <v>-5.9999999997671694E-2</v>
      </c>
      <c r="J370" t="s">
        <v>710</v>
      </c>
      <c r="K370" s="4"/>
    </row>
    <row r="371" spans="1:13" ht="15.75" x14ac:dyDescent="0.25">
      <c r="A371" s="9">
        <v>42285</v>
      </c>
      <c r="B371" s="10">
        <v>320548.25</v>
      </c>
      <c r="C371" s="10">
        <v>0</v>
      </c>
      <c r="D371" s="10">
        <v>35398.639999999999</v>
      </c>
      <c r="E371" s="10">
        <v>3255</v>
      </c>
      <c r="F371" s="11">
        <f t="shared" si="18"/>
        <v>281894.61</v>
      </c>
      <c r="G371" s="15">
        <f>105000+126000+18500+32394.5</f>
        <v>281894.5</v>
      </c>
      <c r="H371" s="25" t="s">
        <v>9</v>
      </c>
      <c r="I371" s="15">
        <f t="shared" si="19"/>
        <v>-0.10999999998603016</v>
      </c>
      <c r="J371" t="s">
        <v>711</v>
      </c>
      <c r="K371" s="4"/>
    </row>
    <row r="372" spans="1:13" ht="15.75" x14ac:dyDescent="0.25">
      <c r="A372" s="9">
        <v>42286</v>
      </c>
      <c r="B372" s="10">
        <v>525487.98</v>
      </c>
      <c r="C372" s="10">
        <v>0</v>
      </c>
      <c r="D372" s="10">
        <v>16448.599999999999</v>
      </c>
      <c r="E372" s="10">
        <v>20981.4</v>
      </c>
      <c r="F372" s="11">
        <f t="shared" si="18"/>
        <v>488057.98</v>
      </c>
      <c r="G372" s="15">
        <f>34058+80000+185000+189000</f>
        <v>488058</v>
      </c>
      <c r="H372" s="25" t="s">
        <v>9</v>
      </c>
      <c r="I372" s="15">
        <f t="shared" si="19"/>
        <v>2.0000000018626451E-2</v>
      </c>
      <c r="J372" t="s">
        <v>717</v>
      </c>
      <c r="K372" s="4"/>
    </row>
    <row r="373" spans="1:13" ht="15.75" x14ac:dyDescent="0.25">
      <c r="A373" s="9">
        <v>42287</v>
      </c>
      <c r="B373" s="10">
        <v>370191.91</v>
      </c>
      <c r="C373" s="10">
        <v>0</v>
      </c>
      <c r="D373" s="10">
        <v>96559.24</v>
      </c>
      <c r="E373" s="10">
        <v>95649.24</v>
      </c>
      <c r="F373" s="11">
        <f t="shared" si="18"/>
        <v>177983.43</v>
      </c>
      <c r="G373" s="15">
        <f>37983.5+140000</f>
        <v>177983.5</v>
      </c>
      <c r="H373" s="25" t="s">
        <v>9</v>
      </c>
      <c r="I373" s="15">
        <f t="shared" si="19"/>
        <v>7.0000000006984919E-2</v>
      </c>
      <c r="J373" t="s">
        <v>719</v>
      </c>
      <c r="K373" s="4"/>
      <c r="L373" s="60" t="s">
        <v>718</v>
      </c>
      <c r="M373" s="60"/>
    </row>
    <row r="374" spans="1:13" ht="15.75" x14ac:dyDescent="0.25">
      <c r="A374" s="9">
        <v>42288</v>
      </c>
      <c r="B374" s="10">
        <v>256797.96</v>
      </c>
      <c r="C374" s="10">
        <v>0</v>
      </c>
      <c r="D374" s="10">
        <v>4865.46</v>
      </c>
      <c r="E374" s="10">
        <v>2786.5</v>
      </c>
      <c r="F374" s="11">
        <f t="shared" si="18"/>
        <v>249146</v>
      </c>
      <c r="G374" s="15">
        <f>60000+80000+12000+35146+62000</f>
        <v>249146</v>
      </c>
      <c r="H374" s="25" t="s">
        <v>9</v>
      </c>
      <c r="I374" s="15">
        <f t="shared" si="19"/>
        <v>0</v>
      </c>
      <c r="J374" t="s">
        <v>720</v>
      </c>
      <c r="K374" s="4"/>
    </row>
    <row r="375" spans="1:13" ht="15.75" x14ac:dyDescent="0.25">
      <c r="A375" s="9">
        <v>42289</v>
      </c>
      <c r="B375" s="10">
        <v>282802.86</v>
      </c>
      <c r="C375" s="10">
        <v>0</v>
      </c>
      <c r="D375" s="10">
        <v>14267</v>
      </c>
      <c r="E375" s="10">
        <v>16758.04</v>
      </c>
      <c r="F375" s="11">
        <f t="shared" si="18"/>
        <v>251777.81999999998</v>
      </c>
      <c r="G375" s="15">
        <f>70000+55000+40000+32957+8495.82+10325+35000</f>
        <v>251777.82</v>
      </c>
      <c r="H375" s="25" t="s">
        <v>9</v>
      </c>
      <c r="I375" s="15">
        <f t="shared" si="19"/>
        <v>0</v>
      </c>
      <c r="K375" s="4"/>
    </row>
    <row r="376" spans="1:13" ht="15.75" x14ac:dyDescent="0.25">
      <c r="A376" s="9">
        <v>42290</v>
      </c>
      <c r="B376" s="10">
        <v>210663.65</v>
      </c>
      <c r="C376" s="10">
        <v>0</v>
      </c>
      <c r="D376" s="10">
        <v>2650.44</v>
      </c>
      <c r="E376" s="10">
        <v>5238</v>
      </c>
      <c r="F376" s="11">
        <f t="shared" si="18"/>
        <v>202775.21</v>
      </c>
      <c r="G376" s="15">
        <f>32775+105000+65000</f>
        <v>202775</v>
      </c>
      <c r="H376" s="25" t="s">
        <v>9</v>
      </c>
      <c r="I376" s="15">
        <f t="shared" si="19"/>
        <v>-0.20999999999185093</v>
      </c>
      <c r="J376" t="s">
        <v>730</v>
      </c>
      <c r="K376" s="4"/>
      <c r="L376" s="60" t="s">
        <v>471</v>
      </c>
      <c r="M376" s="60"/>
    </row>
    <row r="377" spans="1:13" ht="15.75" x14ac:dyDescent="0.25">
      <c r="A377" s="9">
        <v>42291</v>
      </c>
      <c r="B377" s="10">
        <v>218897.73</v>
      </c>
      <c r="C377" s="10">
        <v>0</v>
      </c>
      <c r="D377" s="10">
        <v>52462.400000000001</v>
      </c>
      <c r="E377" s="10">
        <v>1880</v>
      </c>
      <c r="F377" s="11">
        <f t="shared" si="18"/>
        <v>164555.33000000002</v>
      </c>
      <c r="G377" s="15">
        <f>30000+62000+40000+32555.5</f>
        <v>164555.5</v>
      </c>
      <c r="H377" s="25" t="s">
        <v>9</v>
      </c>
      <c r="I377" s="15">
        <f t="shared" si="19"/>
        <v>0.16999999998370185</v>
      </c>
      <c r="J377" t="s">
        <v>724</v>
      </c>
      <c r="K377" s="4"/>
    </row>
    <row r="378" spans="1:13" ht="15.75" x14ac:dyDescent="0.25">
      <c r="A378" s="9">
        <v>42292</v>
      </c>
      <c r="B378" s="10">
        <v>307574.03999999998</v>
      </c>
      <c r="C378" s="10">
        <v>0</v>
      </c>
      <c r="D378" s="10">
        <v>56766.879999999997</v>
      </c>
      <c r="E378" s="10">
        <v>1951</v>
      </c>
      <c r="F378" s="11">
        <f t="shared" si="18"/>
        <v>248856.15999999997</v>
      </c>
      <c r="G378" s="15">
        <f>25000+33850+80000+110000+6</f>
        <v>248856</v>
      </c>
      <c r="H378" s="25" t="s">
        <v>9</v>
      </c>
      <c r="I378" s="15">
        <f t="shared" si="19"/>
        <v>-0.15999999997438863</v>
      </c>
      <c r="K378" s="4"/>
    </row>
    <row r="379" spans="1:13" ht="15.75" x14ac:dyDescent="0.25">
      <c r="A379" s="9">
        <v>42293</v>
      </c>
      <c r="B379" s="10">
        <v>438922.25</v>
      </c>
      <c r="C379" s="10">
        <v>0</v>
      </c>
      <c r="D379" s="10">
        <v>22382.799999999999</v>
      </c>
      <c r="E379" s="10">
        <v>21002.5</v>
      </c>
      <c r="F379" s="11">
        <f t="shared" si="18"/>
        <v>395536.95</v>
      </c>
      <c r="G379" s="15">
        <f>8280+40731.5+61500+70000+85000+130000+25</f>
        <v>395536.5</v>
      </c>
      <c r="H379" s="25" t="s">
        <v>9</v>
      </c>
      <c r="I379" s="15">
        <f t="shared" si="19"/>
        <v>-0.45000000001164153</v>
      </c>
      <c r="J379" t="s">
        <v>731</v>
      </c>
      <c r="K379" s="4"/>
    </row>
    <row r="380" spans="1:13" ht="15.75" x14ac:dyDescent="0.25">
      <c r="A380" s="9">
        <v>42294</v>
      </c>
      <c r="B380" s="10">
        <v>386534.13</v>
      </c>
      <c r="C380" s="10">
        <v>0</v>
      </c>
      <c r="D380" s="10">
        <v>42942.98</v>
      </c>
      <c r="E380" s="10">
        <v>92511.360000000001</v>
      </c>
      <c r="F380" s="11">
        <f t="shared" si="18"/>
        <v>251079.79000000004</v>
      </c>
      <c r="G380" s="15">
        <f>42080+110000+99000</f>
        <v>251080</v>
      </c>
      <c r="H380" s="25" t="s">
        <v>9</v>
      </c>
      <c r="I380" s="15">
        <f t="shared" si="19"/>
        <v>0.2099999999627471</v>
      </c>
      <c r="K380" s="4"/>
      <c r="L380" s="60" t="s">
        <v>739</v>
      </c>
      <c r="M380" s="60"/>
    </row>
    <row r="381" spans="1:13" ht="15.75" x14ac:dyDescent="0.25">
      <c r="A381" s="9">
        <v>42295</v>
      </c>
      <c r="B381" s="10">
        <v>230063.22</v>
      </c>
      <c r="C381" s="10">
        <v>0</v>
      </c>
      <c r="D381" s="10">
        <v>3324.38</v>
      </c>
      <c r="E381" s="10">
        <v>7109.3</v>
      </c>
      <c r="F381" s="11">
        <f t="shared" si="18"/>
        <v>219629.54</v>
      </c>
      <c r="G381" s="15">
        <f>130000+53000+36629.5</f>
        <v>219629.5</v>
      </c>
      <c r="H381" s="25" t="s">
        <v>9</v>
      </c>
      <c r="I381" s="15">
        <f t="shared" si="19"/>
        <v>-4.0000000008149073E-2</v>
      </c>
      <c r="K381" s="4"/>
    </row>
    <row r="382" spans="1:13" ht="15.75" x14ac:dyDescent="0.25">
      <c r="A382" s="9">
        <v>42296</v>
      </c>
      <c r="B382" s="10">
        <v>202240.34</v>
      </c>
      <c r="C382" s="10">
        <v>0</v>
      </c>
      <c r="D382" s="10">
        <v>3424.82</v>
      </c>
      <c r="E382" s="10">
        <v>4320</v>
      </c>
      <c r="F382" s="11">
        <f t="shared" si="18"/>
        <v>194495.52</v>
      </c>
      <c r="G382" s="15">
        <f>34495.5+35000+95000+30000</f>
        <v>194495.5</v>
      </c>
      <c r="H382" s="155" t="s">
        <v>9</v>
      </c>
      <c r="I382" s="15">
        <f t="shared" si="19"/>
        <v>-1.9999999989522621E-2</v>
      </c>
      <c r="J382" t="s">
        <v>738</v>
      </c>
      <c r="K382" s="4"/>
    </row>
    <row r="383" spans="1:13" ht="15.75" x14ac:dyDescent="0.25">
      <c r="A383" s="9">
        <v>42297</v>
      </c>
      <c r="B383" s="10">
        <v>229321.49</v>
      </c>
      <c r="C383" s="10">
        <v>0</v>
      </c>
      <c r="D383" s="10">
        <v>61514.54</v>
      </c>
      <c r="E383" s="10">
        <v>8153</v>
      </c>
      <c r="F383" s="11">
        <f t="shared" si="18"/>
        <v>159653.94999999998</v>
      </c>
      <c r="G383" s="15">
        <f>35000+1200+5890+403.6+33680.5+83500</f>
        <v>159674.1</v>
      </c>
      <c r="H383" s="25" t="s">
        <v>9</v>
      </c>
      <c r="I383" s="15">
        <f t="shared" si="19"/>
        <v>20.150000000023283</v>
      </c>
      <c r="J383" t="s">
        <v>756</v>
      </c>
      <c r="K383" s="4"/>
    </row>
    <row r="384" spans="1:13" ht="15.75" x14ac:dyDescent="0.25">
      <c r="A384" s="9">
        <v>42298</v>
      </c>
      <c r="B384" s="10">
        <v>227869.12</v>
      </c>
      <c r="C384" s="10">
        <v>0</v>
      </c>
      <c r="D384" s="10">
        <v>33300.07</v>
      </c>
      <c r="E384" s="10">
        <v>1774.5</v>
      </c>
      <c r="F384" s="11">
        <f t="shared" si="18"/>
        <v>192794.55</v>
      </c>
      <c r="G384" s="15">
        <f>34294.5+68500+90000</f>
        <v>192794.5</v>
      </c>
      <c r="H384" s="25" t="s">
        <v>9</v>
      </c>
      <c r="I384" s="15">
        <f t="shared" si="19"/>
        <v>-4.9999999988358468E-2</v>
      </c>
      <c r="K384" s="4"/>
    </row>
    <row r="385" spans="1:14" ht="15.75" x14ac:dyDescent="0.25">
      <c r="A385" s="9">
        <v>42299</v>
      </c>
      <c r="B385" s="10">
        <v>330439.31</v>
      </c>
      <c r="C385" s="10">
        <v>0</v>
      </c>
      <c r="D385" s="10">
        <v>25613.8</v>
      </c>
      <c r="E385" s="10">
        <v>44541</v>
      </c>
      <c r="F385" s="11">
        <f t="shared" si="18"/>
        <v>260284.51</v>
      </c>
      <c r="G385" s="15">
        <f>85000+35284.5+65000+75000</f>
        <v>260284.5</v>
      </c>
      <c r="H385" s="25" t="s">
        <v>9</v>
      </c>
      <c r="I385" s="15">
        <f t="shared" si="19"/>
        <v>-1.0000000009313226E-2</v>
      </c>
      <c r="J385" t="s">
        <v>777</v>
      </c>
      <c r="K385" s="4"/>
      <c r="L385" s="60" t="s">
        <v>757</v>
      </c>
      <c r="M385" s="60"/>
      <c r="N385" s="60"/>
    </row>
    <row r="386" spans="1:14" ht="15.75" x14ac:dyDescent="0.25">
      <c r="A386" s="9">
        <v>42300</v>
      </c>
      <c r="B386" s="10">
        <v>452998.22</v>
      </c>
      <c r="C386" s="10">
        <v>0</v>
      </c>
      <c r="D386" s="10">
        <v>6352.98</v>
      </c>
      <c r="E386" s="10">
        <v>21448.5</v>
      </c>
      <c r="F386" s="11">
        <f t="shared" si="18"/>
        <v>425196.74</v>
      </c>
      <c r="G386" s="15">
        <f>185000+90000+37334.5+19862.22+93000</f>
        <v>425196.72</v>
      </c>
      <c r="H386" s="25" t="s">
        <v>9</v>
      </c>
      <c r="I386" s="15">
        <f t="shared" si="19"/>
        <v>-2.0000000018626451E-2</v>
      </c>
      <c r="K386" s="60" t="s">
        <v>781</v>
      </c>
      <c r="L386" s="60"/>
    </row>
    <row r="387" spans="1:14" ht="15.75" x14ac:dyDescent="0.25">
      <c r="A387" s="9">
        <v>42301</v>
      </c>
      <c r="B387" s="10">
        <v>360646.81</v>
      </c>
      <c r="C387" s="10">
        <v>0</v>
      </c>
      <c r="D387" s="10">
        <v>6845.1</v>
      </c>
      <c r="E387" s="10">
        <v>145034.46</v>
      </c>
      <c r="F387" s="11">
        <f t="shared" si="18"/>
        <v>208767.25000000003</v>
      </c>
      <c r="G387" s="15">
        <f>55000+65000+40800+36000+11959.6+7.5</f>
        <v>208767.1</v>
      </c>
      <c r="H387" s="25" t="s">
        <v>9</v>
      </c>
      <c r="I387" s="15">
        <f t="shared" si="19"/>
        <v>-0.15000000002328306</v>
      </c>
      <c r="J387" t="s">
        <v>760</v>
      </c>
      <c r="K387" s="4"/>
      <c r="L387" s="60" t="s">
        <v>762</v>
      </c>
    </row>
    <row r="388" spans="1:14" ht="15.75" x14ac:dyDescent="0.25">
      <c r="A388" s="9">
        <v>42302</v>
      </c>
      <c r="B388" s="10">
        <v>251914.46</v>
      </c>
      <c r="C388" s="10">
        <v>0</v>
      </c>
      <c r="D388" s="10">
        <v>8312.32</v>
      </c>
      <c r="E388" s="10">
        <v>630.55999999999995</v>
      </c>
      <c r="F388" s="11">
        <f t="shared" si="18"/>
        <v>242971.58</v>
      </c>
      <c r="G388" s="15">
        <f>95000+62000+50000+35971.5</f>
        <v>242971.5</v>
      </c>
      <c r="H388" s="25" t="s">
        <v>9</v>
      </c>
      <c r="I388" s="15">
        <f t="shared" si="19"/>
        <v>-7.9999999987194315E-2</v>
      </c>
      <c r="K388" s="4"/>
    </row>
    <row r="389" spans="1:14" ht="15.75" x14ac:dyDescent="0.25">
      <c r="A389" s="9">
        <v>42303</v>
      </c>
      <c r="B389" s="10">
        <v>198975.44</v>
      </c>
      <c r="C389" s="10">
        <v>0</v>
      </c>
      <c r="D389" s="10">
        <v>36232.800000000003</v>
      </c>
      <c r="E389" s="10">
        <v>16784.900000000001</v>
      </c>
      <c r="F389" s="11">
        <f t="shared" si="18"/>
        <v>145957.74000000002</v>
      </c>
      <c r="G389" s="15">
        <f>30000+35958+80000</f>
        <v>145958</v>
      </c>
      <c r="H389" s="25" t="s">
        <v>9</v>
      </c>
      <c r="I389" s="15">
        <f t="shared" si="19"/>
        <v>0.2599999999802094</v>
      </c>
      <c r="K389" s="4"/>
      <c r="L389" s="60" t="s">
        <v>775</v>
      </c>
      <c r="M389" s="60"/>
      <c r="N389" s="60"/>
    </row>
    <row r="390" spans="1:14" ht="15.75" x14ac:dyDescent="0.25">
      <c r="A390" s="9">
        <v>42304</v>
      </c>
      <c r="B390" s="10">
        <v>232887.31</v>
      </c>
      <c r="C390" s="10">
        <v>0</v>
      </c>
      <c r="D390" s="10">
        <v>12097.5</v>
      </c>
      <c r="E390" s="10">
        <v>6886</v>
      </c>
      <c r="F390" s="11">
        <f t="shared" si="18"/>
        <v>213903.81</v>
      </c>
      <c r="G390" s="15">
        <f>33164.5+80000+89000+11739.2</f>
        <v>213903.7</v>
      </c>
      <c r="H390" s="25" t="s">
        <v>9</v>
      </c>
      <c r="I390" s="15">
        <f t="shared" si="19"/>
        <v>-0.10999999998603016</v>
      </c>
      <c r="J390" t="s">
        <v>776</v>
      </c>
      <c r="K390" s="4"/>
    </row>
    <row r="391" spans="1:14" ht="15.75" x14ac:dyDescent="0.25">
      <c r="A391" s="9">
        <v>42305</v>
      </c>
      <c r="B391" s="10">
        <v>238970.82</v>
      </c>
      <c r="C391" s="10">
        <v>0</v>
      </c>
      <c r="D391" s="10">
        <v>45961.760000000002</v>
      </c>
      <c r="E391" s="10">
        <v>2557.33</v>
      </c>
      <c r="F391" s="11">
        <f t="shared" si="18"/>
        <v>190451.73</v>
      </c>
      <c r="G391" s="15">
        <f>85000+1347.6+34104+70000</f>
        <v>190451.6</v>
      </c>
      <c r="H391" s="25" t="s">
        <v>9</v>
      </c>
      <c r="I391" s="15">
        <f t="shared" si="19"/>
        <v>-0.13000000000465661</v>
      </c>
      <c r="K391" s="4"/>
    </row>
    <row r="392" spans="1:14" ht="15.75" x14ac:dyDescent="0.25">
      <c r="A392" s="9">
        <v>42306</v>
      </c>
      <c r="B392" s="10">
        <v>697798.72</v>
      </c>
      <c r="C392" s="10">
        <v>0</v>
      </c>
      <c r="D392" s="10">
        <v>32798.76</v>
      </c>
      <c r="E392" s="10">
        <v>22324.799999999999</v>
      </c>
      <c r="F392" s="11">
        <f t="shared" si="18"/>
        <v>642675.15999999992</v>
      </c>
      <c r="G392" s="15">
        <f>6380.5+94665+140880+41155+63545+135000+99000+36346.5+12142.42+13560</f>
        <v>642674.42000000004</v>
      </c>
      <c r="H392" s="25" t="s">
        <v>9</v>
      </c>
      <c r="I392" s="15">
        <f t="shared" si="19"/>
        <v>-0.73999999987427145</v>
      </c>
      <c r="J392" t="s">
        <v>778</v>
      </c>
      <c r="K392" s="4"/>
    </row>
    <row r="393" spans="1:14" ht="15.75" x14ac:dyDescent="0.25">
      <c r="A393" s="9">
        <v>42307</v>
      </c>
      <c r="B393" s="10">
        <v>425625.96</v>
      </c>
      <c r="C393" s="10">
        <v>0</v>
      </c>
      <c r="D393" s="10">
        <v>46454.48</v>
      </c>
      <c r="E393" s="10">
        <v>2514</v>
      </c>
      <c r="F393" s="11">
        <f t="shared" si="18"/>
        <v>376657.48000000004</v>
      </c>
      <c r="G393" s="15">
        <f>93500+190000+40000+20000+33157.48</f>
        <v>376657.48</v>
      </c>
      <c r="H393" s="25" t="s">
        <v>9</v>
      </c>
      <c r="I393" s="15">
        <f t="shared" si="19"/>
        <v>0</v>
      </c>
      <c r="K393" s="4"/>
    </row>
    <row r="394" spans="1:14" ht="15.75" x14ac:dyDescent="0.25">
      <c r="A394" s="9">
        <v>42308</v>
      </c>
      <c r="B394" s="10">
        <v>361777.29</v>
      </c>
      <c r="C394" s="10">
        <v>0</v>
      </c>
      <c r="D394" s="10">
        <v>12142</v>
      </c>
      <c r="E394" s="10">
        <v>94604.36</v>
      </c>
      <c r="F394" s="11">
        <f t="shared" si="18"/>
        <v>255030.93</v>
      </c>
      <c r="G394" s="15">
        <f>120000+29677.5+5053.44+20000+79000+1300</f>
        <v>255030.94</v>
      </c>
      <c r="H394" s="25" t="s">
        <v>9</v>
      </c>
      <c r="I394" s="15">
        <f t="shared" si="19"/>
        <v>1.0000000009313226E-2</v>
      </c>
      <c r="J394" t="s">
        <v>782</v>
      </c>
      <c r="K394" s="4"/>
      <c r="L394" s="60" t="s">
        <v>787</v>
      </c>
      <c r="M394" s="60"/>
    </row>
    <row r="395" spans="1:14" ht="15.75" x14ac:dyDescent="0.25">
      <c r="A395" s="9"/>
      <c r="B395" s="10"/>
      <c r="C395" s="10"/>
      <c r="D395" s="10"/>
      <c r="E395" s="10"/>
      <c r="F395" s="11">
        <f t="shared" si="18"/>
        <v>0</v>
      </c>
      <c r="G395" s="15"/>
      <c r="H395" s="25"/>
      <c r="I395" s="15">
        <f t="shared" si="19"/>
        <v>0</v>
      </c>
    </row>
    <row r="396" spans="1:14" ht="15.75" x14ac:dyDescent="0.25">
      <c r="A396" s="9"/>
      <c r="B396" s="10"/>
      <c r="C396" s="10"/>
      <c r="D396" s="10"/>
      <c r="E396" s="10"/>
      <c r="F396" s="11">
        <f t="shared" si="18"/>
        <v>0</v>
      </c>
      <c r="G396" s="15"/>
      <c r="H396" s="25"/>
      <c r="I396" s="15">
        <f t="shared" si="19"/>
        <v>0</v>
      </c>
    </row>
    <row r="397" spans="1:14" ht="15.75" x14ac:dyDescent="0.25">
      <c r="A397" s="9"/>
      <c r="B397" s="10"/>
      <c r="C397" s="10"/>
      <c r="D397" s="10"/>
      <c r="E397" s="10"/>
      <c r="F397" s="11">
        <f t="shared" si="18"/>
        <v>0</v>
      </c>
      <c r="G397" s="15"/>
      <c r="H397" s="189" t="s">
        <v>9</v>
      </c>
      <c r="I397" s="4"/>
    </row>
    <row r="398" spans="1:14" ht="15.75" x14ac:dyDescent="0.25">
      <c r="A398" s="14"/>
      <c r="B398" s="13"/>
      <c r="C398" s="10"/>
      <c r="D398" s="10"/>
      <c r="E398" s="10"/>
      <c r="F398" s="11">
        <f t="shared" si="18"/>
        <v>0</v>
      </c>
      <c r="G398" s="15"/>
      <c r="H398" s="4"/>
      <c r="I398" s="4"/>
    </row>
    <row r="399" spans="1:14" ht="15.75" x14ac:dyDescent="0.25">
      <c r="A399" s="14"/>
      <c r="B399" s="10"/>
      <c r="C399" s="10"/>
      <c r="D399" s="10"/>
      <c r="E399" s="10"/>
      <c r="F399" s="11">
        <f t="shared" si="18"/>
        <v>0</v>
      </c>
      <c r="G399" s="15"/>
      <c r="H399" s="4"/>
      <c r="I399" s="4"/>
    </row>
    <row r="400" spans="1:14" ht="15.75" x14ac:dyDescent="0.25">
      <c r="A400" s="14"/>
      <c r="B400" s="10">
        <f>SUM(B365:B399)</f>
        <v>10067164.789999999</v>
      </c>
      <c r="C400" s="10">
        <f>SUM(C365:C399)</f>
        <v>0</v>
      </c>
      <c r="D400" s="10"/>
      <c r="E400" s="10">
        <f>SUM(E365:E399)</f>
        <v>773733.72</v>
      </c>
      <c r="F400" s="11">
        <f t="shared" si="18"/>
        <v>9293431.0699999984</v>
      </c>
      <c r="G400" s="15"/>
      <c r="H400" s="4"/>
      <c r="I400" s="4"/>
    </row>
    <row r="402" spans="1:14" ht="18.75" x14ac:dyDescent="0.3">
      <c r="B402" s="275" t="s">
        <v>256</v>
      </c>
      <c r="C402" s="275"/>
      <c r="D402" s="275"/>
      <c r="E402" s="275"/>
      <c r="F402" s="275"/>
      <c r="G402" s="275"/>
    </row>
    <row r="404" spans="1:14" ht="16.5" thickBot="1" x14ac:dyDescent="0.3">
      <c r="A404" s="19" t="s">
        <v>0</v>
      </c>
      <c r="B404" s="20" t="s">
        <v>1</v>
      </c>
      <c r="C404" s="67" t="s">
        <v>58</v>
      </c>
      <c r="D404" s="8" t="s">
        <v>3</v>
      </c>
      <c r="E404" s="21" t="s">
        <v>2</v>
      </c>
      <c r="F404" s="22" t="s">
        <v>4</v>
      </c>
      <c r="G404" s="27" t="s">
        <v>8</v>
      </c>
      <c r="H404" s="4"/>
      <c r="I404" s="4"/>
    </row>
    <row r="405" spans="1:14" ht="16.5" thickTop="1" x14ac:dyDescent="0.25">
      <c r="A405" s="9">
        <v>42309</v>
      </c>
      <c r="B405" s="10">
        <v>280104.3</v>
      </c>
      <c r="C405" s="10">
        <v>0</v>
      </c>
      <c r="D405" s="10">
        <v>2339.17</v>
      </c>
      <c r="E405" s="10">
        <v>6340</v>
      </c>
      <c r="F405" s="11">
        <f>B405+C405-D405-E405</f>
        <v>271425.13</v>
      </c>
      <c r="G405" s="15">
        <f>45425+110000+50000+66000</f>
        <v>271425</v>
      </c>
      <c r="H405" s="25" t="s">
        <v>9</v>
      </c>
      <c r="I405" s="15">
        <f>G405-F405</f>
        <v>-0.13000000000465661</v>
      </c>
      <c r="K405" s="4"/>
    </row>
    <row r="406" spans="1:14" ht="15.75" x14ac:dyDescent="0.25">
      <c r="A406" s="9">
        <v>42310</v>
      </c>
      <c r="B406" s="10">
        <v>139276.74</v>
      </c>
      <c r="C406" s="10">
        <v>0</v>
      </c>
      <c r="D406" s="10">
        <v>6131.46</v>
      </c>
      <c r="E406" s="10">
        <v>6937.5</v>
      </c>
      <c r="F406" s="11">
        <f t="shared" ref="F406:F440" si="20">B406+C406-D406-E406</f>
        <v>126207.78</v>
      </c>
      <c r="G406" s="15">
        <f>60000+42208+24000</f>
        <v>126208</v>
      </c>
      <c r="H406" s="25" t="s">
        <v>9</v>
      </c>
      <c r="I406" s="15">
        <f t="shared" ref="I406:I436" si="21">G406-F406</f>
        <v>0.22000000000116415</v>
      </c>
      <c r="K406" s="4"/>
    </row>
    <row r="407" spans="1:14" ht="15.75" x14ac:dyDescent="0.25">
      <c r="A407" s="9">
        <v>42311</v>
      </c>
      <c r="B407" s="10">
        <v>227838.55</v>
      </c>
      <c r="C407" s="10">
        <v>0</v>
      </c>
      <c r="D407" s="10">
        <v>3967.38</v>
      </c>
      <c r="E407" s="10">
        <v>4349.26</v>
      </c>
      <c r="F407" s="11">
        <f t="shared" si="20"/>
        <v>219521.90999999997</v>
      </c>
      <c r="G407" s="15">
        <f>110000+39522+70000</f>
        <v>219522</v>
      </c>
      <c r="H407" s="25" t="s">
        <v>9</v>
      </c>
      <c r="I407" s="15">
        <f t="shared" si="21"/>
        <v>9.0000000025611371E-2</v>
      </c>
      <c r="K407" s="4"/>
    </row>
    <row r="408" spans="1:14" ht="15.75" x14ac:dyDescent="0.25">
      <c r="A408" s="9">
        <v>42312</v>
      </c>
      <c r="B408" s="10">
        <v>266288.34000000003</v>
      </c>
      <c r="C408" s="10">
        <v>0</v>
      </c>
      <c r="D408" s="10">
        <v>42945.4</v>
      </c>
      <c r="E408" s="10">
        <v>2014.2</v>
      </c>
      <c r="F408" s="11">
        <f t="shared" si="20"/>
        <v>221328.74000000002</v>
      </c>
      <c r="G408" s="15">
        <f>41000+40329+140000</f>
        <v>221329</v>
      </c>
      <c r="H408" s="25" t="s">
        <v>9</v>
      </c>
      <c r="I408" s="15">
        <f t="shared" si="21"/>
        <v>0.2599999999802094</v>
      </c>
      <c r="J408" t="s">
        <v>788</v>
      </c>
      <c r="K408" s="4"/>
    </row>
    <row r="409" spans="1:14" ht="15.75" x14ac:dyDescent="0.25">
      <c r="A409" s="9">
        <v>42313</v>
      </c>
      <c r="B409" s="10">
        <v>394081.2</v>
      </c>
      <c r="C409" s="10">
        <v>0</v>
      </c>
      <c r="D409" s="10">
        <v>5297.56</v>
      </c>
      <c r="E409" s="10">
        <v>3665.8</v>
      </c>
      <c r="F409" s="11">
        <f t="shared" si="20"/>
        <v>385117.84</v>
      </c>
      <c r="G409" s="15">
        <f>2834.52+11060+120000+210000+41223.5</f>
        <v>385118.02</v>
      </c>
      <c r="H409" s="25" t="s">
        <v>9</v>
      </c>
      <c r="I409" s="15">
        <f t="shared" si="21"/>
        <v>0.17999999999301508</v>
      </c>
      <c r="J409" t="s">
        <v>809</v>
      </c>
      <c r="K409" s="4"/>
    </row>
    <row r="410" spans="1:14" ht="15.75" x14ac:dyDescent="0.25">
      <c r="A410" s="9">
        <v>42314</v>
      </c>
      <c r="B410" s="10">
        <v>379249.65</v>
      </c>
      <c r="C410" s="10">
        <v>0</v>
      </c>
      <c r="D410" s="10">
        <v>38888.32</v>
      </c>
      <c r="E410" s="10">
        <v>22508</v>
      </c>
      <c r="F410" s="11">
        <f t="shared" si="20"/>
        <v>317853.33</v>
      </c>
      <c r="G410" s="15">
        <f>146500+41353+55000+75000</f>
        <v>317853</v>
      </c>
      <c r="H410" s="25" t="s">
        <v>9</v>
      </c>
      <c r="I410" s="15">
        <f t="shared" si="21"/>
        <v>-0.33000000001629815</v>
      </c>
      <c r="K410" s="4"/>
    </row>
    <row r="411" spans="1:14" ht="15.75" x14ac:dyDescent="0.25">
      <c r="A411" s="9">
        <v>42315</v>
      </c>
      <c r="B411" s="10">
        <v>348668.06</v>
      </c>
      <c r="C411" s="10">
        <v>0</v>
      </c>
      <c r="D411" s="10">
        <v>62874</v>
      </c>
      <c r="E411" s="10">
        <v>123576.66</v>
      </c>
      <c r="F411" s="11">
        <f t="shared" si="20"/>
        <v>162217.4</v>
      </c>
      <c r="G411" s="15">
        <f>44000+42505+74000+1712.66</f>
        <v>162217.66</v>
      </c>
      <c r="H411" s="25" t="s">
        <v>9</v>
      </c>
      <c r="I411" s="15">
        <f t="shared" si="21"/>
        <v>0.26000000000931323</v>
      </c>
      <c r="J411" t="s">
        <v>808</v>
      </c>
      <c r="K411" s="4"/>
      <c r="L411" s="60" t="s">
        <v>807</v>
      </c>
      <c r="M411" s="60"/>
    </row>
    <row r="412" spans="1:14" ht="15.75" x14ac:dyDescent="0.25">
      <c r="A412" s="9">
        <v>42316</v>
      </c>
      <c r="B412" s="10">
        <v>231134.23</v>
      </c>
      <c r="C412" s="10">
        <v>0</v>
      </c>
      <c r="D412" s="10">
        <v>3776.86</v>
      </c>
      <c r="E412" s="10">
        <v>2818</v>
      </c>
      <c r="F412" s="11">
        <f t="shared" si="20"/>
        <v>224539.37000000002</v>
      </c>
      <c r="G412" s="15">
        <f>75000+70000+40000+39539.5</f>
        <v>224539.5</v>
      </c>
      <c r="H412" s="25" t="s">
        <v>9</v>
      </c>
      <c r="I412" s="15">
        <f t="shared" si="21"/>
        <v>0.12999999997555278</v>
      </c>
    </row>
    <row r="413" spans="1:14" ht="15.75" x14ac:dyDescent="0.25">
      <c r="A413" s="9">
        <v>42317</v>
      </c>
      <c r="B413" s="10">
        <v>197555.74</v>
      </c>
      <c r="C413" s="10">
        <v>0</v>
      </c>
      <c r="D413" s="10">
        <v>24167.5</v>
      </c>
      <c r="E413" s="10">
        <v>6698</v>
      </c>
      <c r="F413" s="11">
        <f t="shared" si="20"/>
        <v>166690.23999999999</v>
      </c>
      <c r="G413" s="15">
        <f>95000+270.52+37420+34000</f>
        <v>166690.52000000002</v>
      </c>
      <c r="H413" s="25" t="s">
        <v>9</v>
      </c>
      <c r="I413" s="15">
        <f t="shared" si="21"/>
        <v>0.28000000002793968</v>
      </c>
      <c r="K413" s="4"/>
      <c r="L413" s="60" t="s">
        <v>471</v>
      </c>
      <c r="M413" s="60"/>
    </row>
    <row r="414" spans="1:14" ht="15.75" x14ac:dyDescent="0.25">
      <c r="A414" s="9">
        <v>42318</v>
      </c>
      <c r="B414" s="10">
        <v>223176.61</v>
      </c>
      <c r="C414" s="10">
        <v>0</v>
      </c>
      <c r="D414" s="10">
        <v>48203.42</v>
      </c>
      <c r="E414" s="10">
        <v>2193</v>
      </c>
      <c r="F414" s="11">
        <f t="shared" si="20"/>
        <v>172780.19</v>
      </c>
      <c r="G414" s="15">
        <f>100000+93.86+32000+40686.5</f>
        <v>172780.36</v>
      </c>
      <c r="H414" s="25" t="s">
        <v>9</v>
      </c>
      <c r="I414" s="15">
        <f t="shared" si="21"/>
        <v>0.16999999998370185</v>
      </c>
      <c r="K414" s="4" t="s">
        <v>836</v>
      </c>
    </row>
    <row r="415" spans="1:14" ht="15.75" x14ac:dyDescent="0.25">
      <c r="A415" s="9">
        <v>42319</v>
      </c>
      <c r="B415" s="10">
        <v>220175.04</v>
      </c>
      <c r="C415" s="10">
        <v>0</v>
      </c>
      <c r="D415" s="10">
        <v>20957.28</v>
      </c>
      <c r="E415" s="10">
        <v>4234.6000000000004</v>
      </c>
      <c r="F415" s="11">
        <f t="shared" si="20"/>
        <v>194983.16</v>
      </c>
      <c r="G415" s="15">
        <f>6780+5378.1+3724.8+598.92+27000+115000+43281.5</f>
        <v>201763.32</v>
      </c>
      <c r="H415" s="25" t="s">
        <v>9</v>
      </c>
      <c r="I415" s="15">
        <f t="shared" si="21"/>
        <v>6780.1600000000035</v>
      </c>
      <c r="K415" s="60" t="s">
        <v>835</v>
      </c>
      <c r="L415" s="60"/>
      <c r="M415" s="60"/>
      <c r="N415" s="60"/>
    </row>
    <row r="416" spans="1:14" ht="15.75" x14ac:dyDescent="0.25">
      <c r="A416" s="9">
        <v>42320</v>
      </c>
      <c r="B416" s="10">
        <v>358646.18</v>
      </c>
      <c r="C416" s="10">
        <v>0</v>
      </c>
      <c r="D416" s="10">
        <v>21761.78</v>
      </c>
      <c r="E416" s="10">
        <v>53448</v>
      </c>
      <c r="F416" s="11">
        <f t="shared" si="20"/>
        <v>283436.40000000002</v>
      </c>
      <c r="G416" s="15">
        <f>3000+42436.5+58000+75000+105000</f>
        <v>283436.5</v>
      </c>
      <c r="H416" s="25" t="s">
        <v>9</v>
      </c>
      <c r="I416" s="15">
        <f t="shared" si="21"/>
        <v>9.9999999976716936E-2</v>
      </c>
      <c r="K416" s="4"/>
      <c r="L416" s="60" t="s">
        <v>814</v>
      </c>
      <c r="M416" s="60"/>
    </row>
    <row r="417" spans="1:13" ht="15.75" x14ac:dyDescent="0.25">
      <c r="A417" s="9">
        <v>42321</v>
      </c>
      <c r="B417" s="10">
        <v>478895.31</v>
      </c>
      <c r="C417" s="10">
        <v>0</v>
      </c>
      <c r="D417" s="10">
        <v>36965.42</v>
      </c>
      <c r="E417" s="10">
        <v>69909</v>
      </c>
      <c r="F417" s="11">
        <f t="shared" si="20"/>
        <v>372020.89</v>
      </c>
      <c r="G417" s="15">
        <f>700+3497.94+42458.5+75000+101000+130000+19364</f>
        <v>372020.44</v>
      </c>
      <c r="H417" s="25" t="s">
        <v>9</v>
      </c>
      <c r="I417" s="15">
        <f t="shared" si="21"/>
        <v>-0.45000000001164153</v>
      </c>
      <c r="K417" s="4"/>
      <c r="L417" s="60" t="s">
        <v>815</v>
      </c>
      <c r="M417" s="60"/>
    </row>
    <row r="418" spans="1:13" ht="15.75" x14ac:dyDescent="0.25">
      <c r="A418" s="9">
        <v>42322</v>
      </c>
      <c r="B418" s="10">
        <v>373934.5</v>
      </c>
      <c r="C418" s="10">
        <v>0</v>
      </c>
      <c r="D418" s="10">
        <v>91769.1</v>
      </c>
      <c r="E418" s="10">
        <v>145148.32</v>
      </c>
      <c r="F418" s="11">
        <f t="shared" si="20"/>
        <v>137017.08000000002</v>
      </c>
      <c r="G418" s="15">
        <f>47819.5+6960+1237.68+81000</f>
        <v>137017.18</v>
      </c>
      <c r="H418" s="25" t="s">
        <v>9</v>
      </c>
      <c r="I418" s="15">
        <f t="shared" si="21"/>
        <v>9.9999999976716936E-2</v>
      </c>
      <c r="K418" s="4"/>
      <c r="L418" s="60" t="s">
        <v>837</v>
      </c>
      <c r="M418" s="60"/>
    </row>
    <row r="419" spans="1:13" ht="15.75" x14ac:dyDescent="0.25">
      <c r="A419" s="9">
        <v>42323</v>
      </c>
      <c r="B419" s="10">
        <v>262413.45</v>
      </c>
      <c r="C419" s="10">
        <v>0</v>
      </c>
      <c r="D419" s="10">
        <v>3440.58</v>
      </c>
      <c r="E419" s="10">
        <v>7051</v>
      </c>
      <c r="F419" s="11">
        <f t="shared" si="20"/>
        <v>251921.87000000002</v>
      </c>
      <c r="G419" s="15">
        <f>128000+42922+81000</f>
        <v>251922</v>
      </c>
      <c r="H419" s="25" t="s">
        <v>9</v>
      </c>
      <c r="I419" s="15">
        <f t="shared" si="21"/>
        <v>0.12999999997555278</v>
      </c>
      <c r="K419" s="4"/>
    </row>
    <row r="420" spans="1:13" ht="15.75" x14ac:dyDescent="0.25">
      <c r="A420" s="9">
        <v>42324</v>
      </c>
      <c r="B420" s="10">
        <v>742463.6</v>
      </c>
      <c r="C420" s="10">
        <v>0</v>
      </c>
      <c r="D420" s="10">
        <v>10060.74</v>
      </c>
      <c r="E420" s="10">
        <v>4805</v>
      </c>
      <c r="F420" s="11">
        <f t="shared" si="20"/>
        <v>727597.86</v>
      </c>
      <c r="G420" s="15">
        <f>135000+97000+48908+174040+106291+408+7269+29054+5107.26+1401.7+77720+45400</f>
        <v>727598.96</v>
      </c>
      <c r="H420" s="25" t="s">
        <v>9</v>
      </c>
      <c r="I420" s="15">
        <f t="shared" si="21"/>
        <v>1.0999999999767169</v>
      </c>
      <c r="K420" s="4"/>
    </row>
    <row r="421" spans="1:13" ht="15.75" x14ac:dyDescent="0.25">
      <c r="A421" s="9">
        <v>42325</v>
      </c>
      <c r="B421" s="10">
        <v>238309.46</v>
      </c>
      <c r="C421" s="10">
        <v>0</v>
      </c>
      <c r="D421" s="10">
        <v>26539.4</v>
      </c>
      <c r="E421" s="10">
        <v>8224.2000000000007</v>
      </c>
      <c r="F421" s="11">
        <f t="shared" si="20"/>
        <v>203545.86</v>
      </c>
      <c r="G421" s="15">
        <f>832.68+100000+37713+65000</f>
        <v>203545.68</v>
      </c>
      <c r="H421" s="25" t="s">
        <v>9</v>
      </c>
      <c r="I421" s="15">
        <f t="shared" si="21"/>
        <v>-0.17999999999301508</v>
      </c>
      <c r="K421" s="4"/>
    </row>
    <row r="422" spans="1:13" ht="15.75" x14ac:dyDescent="0.25">
      <c r="A422" s="9">
        <v>42326</v>
      </c>
      <c r="B422" s="10">
        <v>206685.23</v>
      </c>
      <c r="C422" s="10">
        <v>0</v>
      </c>
      <c r="D422" s="10">
        <v>23902.86</v>
      </c>
      <c r="E422" s="10">
        <v>1815</v>
      </c>
      <c r="F422" s="11">
        <f t="shared" si="20"/>
        <v>180967.37</v>
      </c>
      <c r="G422" s="15">
        <f>100000+38547.5+7420+35000</f>
        <v>180967.5</v>
      </c>
      <c r="H422" s="25" t="s">
        <v>9</v>
      </c>
      <c r="I422" s="15">
        <f t="shared" si="21"/>
        <v>0.13000000000465661</v>
      </c>
      <c r="K422" s="4"/>
    </row>
    <row r="423" spans="1:13" ht="15.75" x14ac:dyDescent="0.25">
      <c r="A423" s="9">
        <v>42327</v>
      </c>
      <c r="B423" s="10">
        <v>377708.52</v>
      </c>
      <c r="C423" s="10">
        <v>0</v>
      </c>
      <c r="D423" s="10">
        <v>27686.06</v>
      </c>
      <c r="E423" s="10">
        <v>1643.91</v>
      </c>
      <c r="F423" s="11">
        <f t="shared" si="20"/>
        <v>348378.55000000005</v>
      </c>
      <c r="G423" s="15">
        <f>115000+80000+44378.5+109000</f>
        <v>348378.5</v>
      </c>
      <c r="H423" s="25" t="s">
        <v>9</v>
      </c>
      <c r="I423" s="15">
        <f t="shared" si="21"/>
        <v>-5.0000000046566129E-2</v>
      </c>
      <c r="J423" t="s">
        <v>838</v>
      </c>
      <c r="K423" s="4"/>
    </row>
    <row r="424" spans="1:13" ht="15.75" x14ac:dyDescent="0.25">
      <c r="A424" s="9">
        <v>42328</v>
      </c>
      <c r="B424" s="10">
        <f>288106.64+106590.29+7159.68</f>
        <v>401856.61</v>
      </c>
      <c r="C424" s="10">
        <v>0</v>
      </c>
      <c r="D424" s="10">
        <v>32089.74</v>
      </c>
      <c r="E424" s="10">
        <v>26496.2</v>
      </c>
      <c r="F424" s="11">
        <f t="shared" si="20"/>
        <v>343270.67</v>
      </c>
      <c r="G424" s="15">
        <f>2674.56+235.8+311.09+180000+44049.22+116000</f>
        <v>343270.67000000004</v>
      </c>
      <c r="H424" s="25" t="s">
        <v>9</v>
      </c>
      <c r="I424" s="15">
        <f t="shared" si="21"/>
        <v>0</v>
      </c>
      <c r="J424" t="s">
        <v>840</v>
      </c>
      <c r="K424" s="4"/>
    </row>
    <row r="425" spans="1:13" ht="15.75" x14ac:dyDescent="0.25">
      <c r="A425" s="9">
        <v>42329</v>
      </c>
      <c r="B425" s="10">
        <v>439299.11</v>
      </c>
      <c r="C425" s="10">
        <v>0</v>
      </c>
      <c r="D425" s="10">
        <v>72304.83</v>
      </c>
      <c r="E425" s="10">
        <v>130268.56</v>
      </c>
      <c r="F425" s="11">
        <f t="shared" si="20"/>
        <v>236725.71999999997</v>
      </c>
      <c r="G425" s="15">
        <f>891.08+8225.88+85000+46609+96000</f>
        <v>236725.96</v>
      </c>
      <c r="H425" s="25" t="s">
        <v>9</v>
      </c>
      <c r="I425" s="15">
        <f t="shared" si="21"/>
        <v>0.2400000000197906</v>
      </c>
      <c r="J425" t="s">
        <v>879</v>
      </c>
      <c r="K425" s="4"/>
      <c r="L425" s="60" t="s">
        <v>878</v>
      </c>
      <c r="M425" s="60"/>
    </row>
    <row r="426" spans="1:13" ht="15.75" x14ac:dyDescent="0.25">
      <c r="A426" s="9">
        <v>42330</v>
      </c>
      <c r="B426" s="10">
        <v>230544.34</v>
      </c>
      <c r="C426" s="10">
        <v>0</v>
      </c>
      <c r="D426" s="10">
        <v>4294.1400000000003</v>
      </c>
      <c r="E426" s="10">
        <v>1380</v>
      </c>
      <c r="F426" s="11">
        <f t="shared" si="20"/>
        <v>224870.19999999998</v>
      </c>
      <c r="G426" s="15">
        <f>75000+60000+44870+45000</f>
        <v>224870</v>
      </c>
      <c r="H426" s="25" t="s">
        <v>9</v>
      </c>
      <c r="I426" s="15">
        <f t="shared" si="21"/>
        <v>-0.1999999999825377</v>
      </c>
      <c r="K426" s="4"/>
    </row>
    <row r="427" spans="1:13" ht="15.75" x14ac:dyDescent="0.25">
      <c r="A427" s="9">
        <v>42331</v>
      </c>
      <c r="B427" s="10">
        <v>200587.07</v>
      </c>
      <c r="C427" s="10">
        <v>0</v>
      </c>
      <c r="D427" s="10">
        <v>39001.74</v>
      </c>
      <c r="E427" s="10">
        <v>5626.58</v>
      </c>
      <c r="F427" s="11">
        <f t="shared" si="20"/>
        <v>155958.75000000003</v>
      </c>
      <c r="G427" s="15">
        <f>1058.86+243.32+42656.5</f>
        <v>43958.68</v>
      </c>
      <c r="H427" s="42"/>
      <c r="I427" s="15">
        <f t="shared" si="21"/>
        <v>-112000.07000000004</v>
      </c>
      <c r="J427" t="s">
        <v>871</v>
      </c>
      <c r="K427" s="39" t="s">
        <v>908</v>
      </c>
      <c r="L427" s="60" t="s">
        <v>468</v>
      </c>
      <c r="M427" s="60"/>
    </row>
    <row r="428" spans="1:13" ht="15.75" x14ac:dyDescent="0.25">
      <c r="A428" s="9">
        <v>42332</v>
      </c>
      <c r="B428" s="10">
        <v>206953.77</v>
      </c>
      <c r="C428" s="10">
        <v>0</v>
      </c>
      <c r="D428" s="10">
        <v>15371.18</v>
      </c>
      <c r="E428" s="10">
        <v>11369.4</v>
      </c>
      <c r="F428" s="11">
        <f t="shared" si="20"/>
        <v>180213.19</v>
      </c>
      <c r="G428" s="15">
        <f>80000+106.68</f>
        <v>80106.679999999993</v>
      </c>
      <c r="H428" s="42"/>
      <c r="I428" s="15">
        <f t="shared" si="21"/>
        <v>-100106.51000000001</v>
      </c>
      <c r="K428" s="39" t="s">
        <v>897</v>
      </c>
      <c r="L428" s="60" t="s">
        <v>896</v>
      </c>
      <c r="M428" s="60"/>
    </row>
    <row r="429" spans="1:13" ht="15.75" x14ac:dyDescent="0.25">
      <c r="A429" s="9">
        <v>42333</v>
      </c>
      <c r="B429" s="10"/>
      <c r="C429" s="10"/>
      <c r="D429" s="10"/>
      <c r="E429" s="10"/>
      <c r="F429" s="11">
        <f t="shared" si="20"/>
        <v>0</v>
      </c>
      <c r="G429" s="15"/>
      <c r="H429" s="25"/>
      <c r="I429" s="15">
        <f t="shared" si="21"/>
        <v>0</v>
      </c>
      <c r="J429" t="s">
        <v>880</v>
      </c>
    </row>
    <row r="430" spans="1:13" ht="15.75" x14ac:dyDescent="0.25">
      <c r="A430" s="9">
        <v>42334</v>
      </c>
      <c r="B430" s="10"/>
      <c r="C430" s="10"/>
      <c r="D430" s="10"/>
      <c r="E430" s="10"/>
      <c r="F430" s="11">
        <f t="shared" si="20"/>
        <v>0</v>
      </c>
      <c r="G430" s="15"/>
      <c r="H430" s="25"/>
      <c r="I430" s="15">
        <f t="shared" si="21"/>
        <v>0</v>
      </c>
    </row>
    <row r="431" spans="1:13" ht="15.75" x14ac:dyDescent="0.25">
      <c r="A431" s="9">
        <v>42335</v>
      </c>
      <c r="B431" s="10"/>
      <c r="C431" s="10"/>
      <c r="D431" s="10"/>
      <c r="E431" s="10"/>
      <c r="F431" s="11">
        <f t="shared" si="20"/>
        <v>0</v>
      </c>
      <c r="G431" s="15"/>
      <c r="H431" s="25"/>
      <c r="I431" s="15">
        <f t="shared" si="21"/>
        <v>0</v>
      </c>
    </row>
    <row r="432" spans="1:13" ht="15.75" x14ac:dyDescent="0.25">
      <c r="A432" s="9">
        <v>42336</v>
      </c>
      <c r="B432" s="10"/>
      <c r="C432" s="10"/>
      <c r="D432" s="10"/>
      <c r="E432" s="10"/>
      <c r="F432" s="11">
        <f t="shared" si="20"/>
        <v>0</v>
      </c>
      <c r="G432" s="15"/>
      <c r="H432" s="25"/>
      <c r="I432" s="15">
        <f t="shared" si="21"/>
        <v>0</v>
      </c>
    </row>
    <row r="433" spans="1:9" ht="15.75" x14ac:dyDescent="0.25">
      <c r="A433" s="9">
        <v>42337</v>
      </c>
      <c r="B433" s="10"/>
      <c r="C433" s="10"/>
      <c r="D433" s="10"/>
      <c r="E433" s="10"/>
      <c r="F433" s="11">
        <f t="shared" si="20"/>
        <v>0</v>
      </c>
      <c r="G433" s="15"/>
      <c r="H433" s="25"/>
      <c r="I433" s="15">
        <f t="shared" si="21"/>
        <v>0</v>
      </c>
    </row>
    <row r="434" spans="1:9" ht="15.75" x14ac:dyDescent="0.25">
      <c r="A434" s="9">
        <v>42338</v>
      </c>
      <c r="B434" s="10"/>
      <c r="C434" s="10"/>
      <c r="D434" s="10"/>
      <c r="E434" s="10"/>
      <c r="F434" s="11">
        <f t="shared" si="20"/>
        <v>0</v>
      </c>
      <c r="G434" s="15"/>
      <c r="H434" s="25"/>
      <c r="I434" s="15">
        <f t="shared" si="21"/>
        <v>0</v>
      </c>
    </row>
    <row r="435" spans="1:9" ht="15.75" x14ac:dyDescent="0.25">
      <c r="A435" s="9"/>
      <c r="B435" s="10"/>
      <c r="C435" s="10"/>
      <c r="D435" s="10"/>
      <c r="E435" s="10"/>
      <c r="F435" s="11">
        <f t="shared" si="20"/>
        <v>0</v>
      </c>
      <c r="G435" s="15"/>
      <c r="H435" s="25"/>
      <c r="I435" s="15">
        <f t="shared" si="21"/>
        <v>0</v>
      </c>
    </row>
    <row r="436" spans="1:9" ht="15.75" x14ac:dyDescent="0.25">
      <c r="A436" s="9"/>
      <c r="B436" s="10"/>
      <c r="C436" s="10"/>
      <c r="D436" s="10"/>
      <c r="E436" s="10"/>
      <c r="F436" s="11">
        <f t="shared" si="20"/>
        <v>0</v>
      </c>
      <c r="G436" s="15"/>
      <c r="H436" s="25"/>
      <c r="I436" s="15">
        <f t="shared" si="21"/>
        <v>0</v>
      </c>
    </row>
    <row r="437" spans="1:9" ht="15.75" x14ac:dyDescent="0.25">
      <c r="A437" s="9"/>
      <c r="B437" s="10"/>
      <c r="C437" s="10"/>
      <c r="D437" s="10"/>
      <c r="E437" s="10"/>
      <c r="F437" s="11">
        <f t="shared" si="20"/>
        <v>0</v>
      </c>
      <c r="G437" s="15"/>
      <c r="H437" s="4"/>
      <c r="I437" s="4"/>
    </row>
    <row r="438" spans="1:9" ht="15.75" x14ac:dyDescent="0.25">
      <c r="A438" s="9"/>
      <c r="B438" s="13"/>
      <c r="C438" s="10"/>
      <c r="D438" s="10"/>
      <c r="E438" s="10"/>
      <c r="F438" s="11">
        <f t="shared" si="20"/>
        <v>0</v>
      </c>
      <c r="G438" s="15"/>
      <c r="H438" s="4"/>
      <c r="I438" s="4"/>
    </row>
    <row r="439" spans="1:9" ht="15.75" x14ac:dyDescent="0.25">
      <c r="A439" s="9"/>
      <c r="B439" s="10"/>
      <c r="C439" s="10"/>
      <c r="D439" s="10"/>
      <c r="E439" s="10"/>
      <c r="F439" s="11">
        <f t="shared" si="20"/>
        <v>0</v>
      </c>
      <c r="G439" s="15"/>
      <c r="H439" s="4"/>
      <c r="I439" s="4"/>
    </row>
    <row r="440" spans="1:9" ht="15.75" x14ac:dyDescent="0.25">
      <c r="A440" s="14"/>
      <c r="B440" s="10">
        <f>SUM(B405:B439)</f>
        <v>7425845.6099999994</v>
      </c>
      <c r="C440" s="10">
        <f>SUM(C405:C439)</f>
        <v>0</v>
      </c>
      <c r="D440" s="10"/>
      <c r="E440" s="10">
        <f>SUM(E405:E439)</f>
        <v>652520.18999999994</v>
      </c>
      <c r="F440" s="11">
        <f t="shared" si="20"/>
        <v>6773325.4199999999</v>
      </c>
      <c r="G440" s="15"/>
      <c r="H440" s="4"/>
      <c r="I440" s="4"/>
    </row>
    <row r="443" spans="1:9" ht="18.75" x14ac:dyDescent="0.3">
      <c r="B443" s="275" t="s">
        <v>257</v>
      </c>
      <c r="C443" s="275"/>
      <c r="D443" s="275"/>
      <c r="E443" s="275"/>
      <c r="F443" s="275"/>
      <c r="G443" s="275"/>
    </row>
    <row r="445" spans="1:9" ht="16.5" thickBot="1" x14ac:dyDescent="0.3">
      <c r="A445" s="19" t="s">
        <v>0</v>
      </c>
      <c r="B445" s="20" t="s">
        <v>1</v>
      </c>
      <c r="C445" s="67" t="s">
        <v>58</v>
      </c>
      <c r="D445" s="8" t="s">
        <v>3</v>
      </c>
      <c r="E445" s="21" t="s">
        <v>2</v>
      </c>
      <c r="F445" s="22" t="s">
        <v>4</v>
      </c>
      <c r="G445" s="27" t="s">
        <v>8</v>
      </c>
      <c r="H445" s="4"/>
      <c r="I445" s="4"/>
    </row>
    <row r="446" spans="1:9" ht="16.5" thickTop="1" x14ac:dyDescent="0.25">
      <c r="A446" s="9"/>
      <c r="B446" s="10"/>
      <c r="C446" s="10"/>
      <c r="D446" s="10"/>
      <c r="E446" s="10"/>
      <c r="F446" s="11">
        <f>B446+C446-D446-E446</f>
        <v>0</v>
      </c>
      <c r="G446" s="15"/>
      <c r="H446" s="25"/>
      <c r="I446" s="15">
        <f>G446-F446</f>
        <v>0</v>
      </c>
    </row>
    <row r="447" spans="1:9" ht="15.75" x14ac:dyDescent="0.25">
      <c r="A447" s="9"/>
      <c r="B447" s="10"/>
      <c r="C447" s="10"/>
      <c r="D447" s="10"/>
      <c r="E447" s="10"/>
      <c r="F447" s="11">
        <f t="shared" ref="F447:F481" si="22">B447+C447-D447-E447</f>
        <v>0</v>
      </c>
      <c r="G447" s="15"/>
      <c r="H447" s="25"/>
      <c r="I447" s="15">
        <f t="shared" ref="I447:I477" si="23">G447-F447</f>
        <v>0</v>
      </c>
    </row>
    <row r="448" spans="1:9" ht="15.75" x14ac:dyDescent="0.25">
      <c r="A448" s="9"/>
      <c r="B448" s="10"/>
      <c r="C448" s="10"/>
      <c r="D448" s="10"/>
      <c r="E448" s="10"/>
      <c r="F448" s="11">
        <f t="shared" si="22"/>
        <v>0</v>
      </c>
      <c r="G448" s="15"/>
      <c r="H448" s="25"/>
      <c r="I448" s="15">
        <f t="shared" si="23"/>
        <v>0</v>
      </c>
    </row>
    <row r="449" spans="1:9" ht="15.75" x14ac:dyDescent="0.25">
      <c r="A449" s="9"/>
      <c r="B449" s="10"/>
      <c r="C449" s="10"/>
      <c r="D449" s="10"/>
      <c r="E449" s="10"/>
      <c r="F449" s="11">
        <f t="shared" si="22"/>
        <v>0</v>
      </c>
      <c r="G449" s="15"/>
      <c r="H449" s="25"/>
      <c r="I449" s="15">
        <f t="shared" si="23"/>
        <v>0</v>
      </c>
    </row>
    <row r="450" spans="1:9" ht="15.75" x14ac:dyDescent="0.25">
      <c r="A450" s="9"/>
      <c r="B450" s="10"/>
      <c r="C450" s="10"/>
      <c r="D450" s="10"/>
      <c r="E450" s="10"/>
      <c r="F450" s="11">
        <f t="shared" si="22"/>
        <v>0</v>
      </c>
      <c r="G450" s="15"/>
      <c r="H450" s="25"/>
      <c r="I450" s="15">
        <f t="shared" si="23"/>
        <v>0</v>
      </c>
    </row>
    <row r="451" spans="1:9" ht="15.75" x14ac:dyDescent="0.25">
      <c r="A451" s="9"/>
      <c r="B451" s="10"/>
      <c r="C451" s="10"/>
      <c r="D451" s="10"/>
      <c r="E451" s="10"/>
      <c r="F451" s="11">
        <f t="shared" si="22"/>
        <v>0</v>
      </c>
      <c r="G451" s="15"/>
      <c r="H451" s="25"/>
      <c r="I451" s="15">
        <f t="shared" si="23"/>
        <v>0</v>
      </c>
    </row>
    <row r="452" spans="1:9" ht="15.75" x14ac:dyDescent="0.25">
      <c r="A452" s="9"/>
      <c r="B452" s="10"/>
      <c r="C452" s="10"/>
      <c r="D452" s="10"/>
      <c r="E452" s="10"/>
      <c r="F452" s="11">
        <f t="shared" si="22"/>
        <v>0</v>
      </c>
      <c r="G452" s="15"/>
      <c r="H452" s="25"/>
      <c r="I452" s="15">
        <f t="shared" si="23"/>
        <v>0</v>
      </c>
    </row>
    <row r="453" spans="1:9" ht="15.75" x14ac:dyDescent="0.25">
      <c r="A453" s="9"/>
      <c r="B453" s="10"/>
      <c r="C453" s="10"/>
      <c r="D453" s="10"/>
      <c r="E453" s="10"/>
      <c r="F453" s="11">
        <f t="shared" si="22"/>
        <v>0</v>
      </c>
      <c r="G453" s="15"/>
      <c r="H453" s="25"/>
      <c r="I453" s="15">
        <f t="shared" si="23"/>
        <v>0</v>
      </c>
    </row>
    <row r="454" spans="1:9" ht="15.75" x14ac:dyDescent="0.25">
      <c r="A454" s="9"/>
      <c r="B454" s="10"/>
      <c r="C454" s="10"/>
      <c r="D454" s="10"/>
      <c r="E454" s="10"/>
      <c r="F454" s="11">
        <f t="shared" si="22"/>
        <v>0</v>
      </c>
      <c r="G454" s="15"/>
      <c r="H454" s="25"/>
      <c r="I454" s="15">
        <f t="shared" si="23"/>
        <v>0</v>
      </c>
    </row>
    <row r="455" spans="1:9" ht="15.75" x14ac:dyDescent="0.25">
      <c r="A455" s="9"/>
      <c r="B455" s="10"/>
      <c r="C455" s="10"/>
      <c r="D455" s="10"/>
      <c r="E455" s="10"/>
      <c r="F455" s="11">
        <f t="shared" si="22"/>
        <v>0</v>
      </c>
      <c r="G455" s="15"/>
      <c r="H455" s="25"/>
      <c r="I455" s="15">
        <f t="shared" si="23"/>
        <v>0</v>
      </c>
    </row>
    <row r="456" spans="1:9" ht="15.75" x14ac:dyDescent="0.25">
      <c r="A456" s="9"/>
      <c r="B456" s="10"/>
      <c r="C456" s="10"/>
      <c r="D456" s="10"/>
      <c r="E456" s="10"/>
      <c r="F456" s="11">
        <f t="shared" si="22"/>
        <v>0</v>
      </c>
      <c r="G456" s="15"/>
      <c r="H456" s="25"/>
      <c r="I456" s="15">
        <f t="shared" si="23"/>
        <v>0</v>
      </c>
    </row>
    <row r="457" spans="1:9" ht="15.75" x14ac:dyDescent="0.25">
      <c r="A457" s="9"/>
      <c r="B457" s="10"/>
      <c r="C457" s="10"/>
      <c r="D457" s="10"/>
      <c r="E457" s="10"/>
      <c r="F457" s="11">
        <f t="shared" si="22"/>
        <v>0</v>
      </c>
      <c r="G457" s="15"/>
      <c r="H457" s="25"/>
      <c r="I457" s="15">
        <f t="shared" si="23"/>
        <v>0</v>
      </c>
    </row>
    <row r="458" spans="1:9" ht="15.75" x14ac:dyDescent="0.25">
      <c r="A458" s="9"/>
      <c r="B458" s="10"/>
      <c r="C458" s="10"/>
      <c r="D458" s="10"/>
      <c r="E458" s="10"/>
      <c r="F458" s="11">
        <f t="shared" si="22"/>
        <v>0</v>
      </c>
      <c r="G458" s="15"/>
      <c r="H458" s="25"/>
      <c r="I458" s="15">
        <f t="shared" si="23"/>
        <v>0</v>
      </c>
    </row>
    <row r="459" spans="1:9" ht="15.75" x14ac:dyDescent="0.25">
      <c r="A459" s="9"/>
      <c r="B459" s="10"/>
      <c r="C459" s="10"/>
      <c r="D459" s="10"/>
      <c r="E459" s="10"/>
      <c r="F459" s="11">
        <f t="shared" si="22"/>
        <v>0</v>
      </c>
      <c r="G459" s="15"/>
      <c r="H459" s="25"/>
      <c r="I459" s="15">
        <f t="shared" si="23"/>
        <v>0</v>
      </c>
    </row>
    <row r="460" spans="1:9" ht="15.75" x14ac:dyDescent="0.25">
      <c r="A460" s="9"/>
      <c r="B460" s="10"/>
      <c r="C460" s="10"/>
      <c r="D460" s="10"/>
      <c r="E460" s="10"/>
      <c r="F460" s="11">
        <f t="shared" si="22"/>
        <v>0</v>
      </c>
      <c r="G460" s="15"/>
      <c r="H460" s="25"/>
      <c r="I460" s="15">
        <f t="shared" si="23"/>
        <v>0</v>
      </c>
    </row>
    <row r="461" spans="1:9" ht="15.75" x14ac:dyDescent="0.25">
      <c r="A461" s="9"/>
      <c r="B461" s="10"/>
      <c r="C461" s="10"/>
      <c r="D461" s="10"/>
      <c r="E461" s="10"/>
      <c r="F461" s="11">
        <f t="shared" si="22"/>
        <v>0</v>
      </c>
      <c r="G461" s="15"/>
      <c r="H461" s="25"/>
      <c r="I461" s="15">
        <f t="shared" si="23"/>
        <v>0</v>
      </c>
    </row>
    <row r="462" spans="1:9" ht="15.75" x14ac:dyDescent="0.25">
      <c r="A462" s="9"/>
      <c r="B462" s="10"/>
      <c r="C462" s="10"/>
      <c r="D462" s="10"/>
      <c r="E462" s="10"/>
      <c r="F462" s="11">
        <f t="shared" si="22"/>
        <v>0</v>
      </c>
      <c r="G462" s="15"/>
      <c r="H462" s="25"/>
      <c r="I462" s="15">
        <f t="shared" si="23"/>
        <v>0</v>
      </c>
    </row>
    <row r="463" spans="1:9" ht="15.75" x14ac:dyDescent="0.25">
      <c r="A463" s="9"/>
      <c r="B463" s="10"/>
      <c r="C463" s="10"/>
      <c r="D463" s="10"/>
      <c r="E463" s="10"/>
      <c r="F463" s="11">
        <f t="shared" si="22"/>
        <v>0</v>
      </c>
      <c r="G463" s="15"/>
      <c r="H463" s="25"/>
      <c r="I463" s="15">
        <f t="shared" si="23"/>
        <v>0</v>
      </c>
    </row>
    <row r="464" spans="1:9" ht="15.75" x14ac:dyDescent="0.25">
      <c r="A464" s="9"/>
      <c r="B464" s="10"/>
      <c r="C464" s="10"/>
      <c r="D464" s="10"/>
      <c r="E464" s="10"/>
      <c r="F464" s="11">
        <f t="shared" si="22"/>
        <v>0</v>
      </c>
      <c r="G464" s="15"/>
      <c r="H464" s="25"/>
      <c r="I464" s="15">
        <f t="shared" si="23"/>
        <v>0</v>
      </c>
    </row>
    <row r="465" spans="1:9" ht="15.75" x14ac:dyDescent="0.25">
      <c r="A465" s="9"/>
      <c r="B465" s="10"/>
      <c r="C465" s="10"/>
      <c r="D465" s="10"/>
      <c r="E465" s="10"/>
      <c r="F465" s="11">
        <f t="shared" si="22"/>
        <v>0</v>
      </c>
      <c r="G465" s="15"/>
      <c r="H465" s="25"/>
      <c r="I465" s="15">
        <f t="shared" si="23"/>
        <v>0</v>
      </c>
    </row>
    <row r="466" spans="1:9" ht="15.75" x14ac:dyDescent="0.25">
      <c r="A466" s="9"/>
      <c r="B466" s="10"/>
      <c r="C466" s="10"/>
      <c r="D466" s="10"/>
      <c r="E466" s="10"/>
      <c r="F466" s="11">
        <f t="shared" si="22"/>
        <v>0</v>
      </c>
      <c r="G466" s="15"/>
      <c r="H466" s="25"/>
      <c r="I466" s="15">
        <f t="shared" si="23"/>
        <v>0</v>
      </c>
    </row>
    <row r="467" spans="1:9" ht="15.75" x14ac:dyDescent="0.25">
      <c r="A467" s="9"/>
      <c r="B467" s="10"/>
      <c r="C467" s="10"/>
      <c r="D467" s="10"/>
      <c r="E467" s="10"/>
      <c r="F467" s="11">
        <f t="shared" si="22"/>
        <v>0</v>
      </c>
      <c r="G467" s="15"/>
      <c r="H467" s="25"/>
      <c r="I467" s="15">
        <f t="shared" si="23"/>
        <v>0</v>
      </c>
    </row>
    <row r="468" spans="1:9" ht="15.75" x14ac:dyDescent="0.25">
      <c r="A468" s="9"/>
      <c r="B468" s="10"/>
      <c r="C468" s="10"/>
      <c r="D468" s="10"/>
      <c r="E468" s="10"/>
      <c r="F468" s="11">
        <f t="shared" si="22"/>
        <v>0</v>
      </c>
      <c r="G468" s="15"/>
      <c r="H468" s="25"/>
      <c r="I468" s="15">
        <f t="shared" si="23"/>
        <v>0</v>
      </c>
    </row>
    <row r="469" spans="1:9" ht="15.75" x14ac:dyDescent="0.25">
      <c r="A469" s="9"/>
      <c r="B469" s="10"/>
      <c r="C469" s="10"/>
      <c r="D469" s="10"/>
      <c r="E469" s="10"/>
      <c r="F469" s="11">
        <f t="shared" si="22"/>
        <v>0</v>
      </c>
      <c r="G469" s="15"/>
      <c r="H469" s="25"/>
      <c r="I469" s="15">
        <f t="shared" si="23"/>
        <v>0</v>
      </c>
    </row>
    <row r="470" spans="1:9" ht="15.75" x14ac:dyDescent="0.25">
      <c r="A470" s="9"/>
      <c r="B470" s="10"/>
      <c r="C470" s="10"/>
      <c r="D470" s="10"/>
      <c r="E470" s="10"/>
      <c r="F470" s="11">
        <f t="shared" si="22"/>
        <v>0</v>
      </c>
      <c r="G470" s="15"/>
      <c r="H470" s="25"/>
      <c r="I470" s="15">
        <f t="shared" si="23"/>
        <v>0</v>
      </c>
    </row>
    <row r="471" spans="1:9" ht="15.75" x14ac:dyDescent="0.25">
      <c r="A471" s="9"/>
      <c r="B471" s="10"/>
      <c r="C471" s="10"/>
      <c r="D471" s="10"/>
      <c r="E471" s="10"/>
      <c r="F471" s="11">
        <f t="shared" si="22"/>
        <v>0</v>
      </c>
      <c r="G471" s="15"/>
      <c r="H471" s="25"/>
      <c r="I471" s="15">
        <f t="shared" si="23"/>
        <v>0</v>
      </c>
    </row>
    <row r="472" spans="1:9" ht="15.75" x14ac:dyDescent="0.25">
      <c r="A472" s="9"/>
      <c r="B472" s="10"/>
      <c r="C472" s="10"/>
      <c r="D472" s="10"/>
      <c r="E472" s="10"/>
      <c r="F472" s="11">
        <f t="shared" si="22"/>
        <v>0</v>
      </c>
      <c r="G472" s="15"/>
      <c r="H472" s="25"/>
      <c r="I472" s="15">
        <f t="shared" si="23"/>
        <v>0</v>
      </c>
    </row>
    <row r="473" spans="1:9" ht="15.75" x14ac:dyDescent="0.25">
      <c r="A473" s="9"/>
      <c r="B473" s="10"/>
      <c r="C473" s="10"/>
      <c r="D473" s="10"/>
      <c r="E473" s="10"/>
      <c r="F473" s="11">
        <f t="shared" si="22"/>
        <v>0</v>
      </c>
      <c r="G473" s="15"/>
      <c r="H473" s="25"/>
      <c r="I473" s="15">
        <f t="shared" si="23"/>
        <v>0</v>
      </c>
    </row>
    <row r="474" spans="1:9" ht="15.75" x14ac:dyDescent="0.25">
      <c r="A474" s="9"/>
      <c r="B474" s="10"/>
      <c r="C474" s="10"/>
      <c r="D474" s="10"/>
      <c r="E474" s="10"/>
      <c r="F474" s="11">
        <f t="shared" si="22"/>
        <v>0</v>
      </c>
      <c r="G474" s="15"/>
      <c r="H474" s="25"/>
      <c r="I474" s="15">
        <f t="shared" si="23"/>
        <v>0</v>
      </c>
    </row>
    <row r="475" spans="1:9" ht="15.75" x14ac:dyDescent="0.25">
      <c r="A475" s="9"/>
      <c r="B475" s="10"/>
      <c r="C475" s="10"/>
      <c r="D475" s="10"/>
      <c r="E475" s="10"/>
      <c r="F475" s="11">
        <f t="shared" si="22"/>
        <v>0</v>
      </c>
      <c r="G475" s="15"/>
      <c r="H475" s="25"/>
      <c r="I475" s="15">
        <f t="shared" si="23"/>
        <v>0</v>
      </c>
    </row>
    <row r="476" spans="1:9" ht="15.75" x14ac:dyDescent="0.25">
      <c r="A476" s="9"/>
      <c r="B476" s="10"/>
      <c r="C476" s="10"/>
      <c r="D476" s="10"/>
      <c r="E476" s="10"/>
      <c r="F476" s="11">
        <f t="shared" si="22"/>
        <v>0</v>
      </c>
      <c r="G476" s="15"/>
      <c r="H476" s="25"/>
      <c r="I476" s="15">
        <f t="shared" si="23"/>
        <v>0</v>
      </c>
    </row>
    <row r="477" spans="1:9" ht="15.75" x14ac:dyDescent="0.25">
      <c r="A477" s="9"/>
      <c r="B477" s="10"/>
      <c r="C477" s="10"/>
      <c r="D477" s="10"/>
      <c r="E477" s="10"/>
      <c r="F477" s="11">
        <f t="shared" si="22"/>
        <v>0</v>
      </c>
      <c r="G477" s="15"/>
      <c r="H477" s="25"/>
      <c r="I477" s="15">
        <f t="shared" si="23"/>
        <v>0</v>
      </c>
    </row>
    <row r="478" spans="1:9" ht="15.75" x14ac:dyDescent="0.25">
      <c r="A478" s="14"/>
      <c r="B478" s="10"/>
      <c r="C478" s="10"/>
      <c r="D478" s="10"/>
      <c r="E478" s="10"/>
      <c r="F478" s="11">
        <f t="shared" si="22"/>
        <v>0</v>
      </c>
      <c r="G478" s="15"/>
      <c r="H478" s="4"/>
      <c r="I478" s="4"/>
    </row>
    <row r="479" spans="1:9" ht="15.75" x14ac:dyDescent="0.25">
      <c r="A479" s="14"/>
      <c r="B479" s="13"/>
      <c r="C479" s="10"/>
      <c r="D479" s="10"/>
      <c r="E479" s="10"/>
      <c r="F479" s="11">
        <f t="shared" si="22"/>
        <v>0</v>
      </c>
      <c r="G479" s="15"/>
      <c r="H479" s="4"/>
      <c r="I479" s="4"/>
    </row>
    <row r="480" spans="1:9" ht="15.75" x14ac:dyDescent="0.25">
      <c r="A480" s="14"/>
      <c r="B480" s="10"/>
      <c r="C480" s="10"/>
      <c r="D480" s="10"/>
      <c r="E480" s="10"/>
      <c r="F480" s="11">
        <f t="shared" si="22"/>
        <v>0</v>
      </c>
      <c r="G480" s="15"/>
      <c r="H480" s="4"/>
      <c r="I480" s="4"/>
    </row>
    <row r="481" spans="1:9" ht="15.75" x14ac:dyDescent="0.25">
      <c r="A481" s="14"/>
      <c r="B481" s="10">
        <f>SUM(B446:B480)</f>
        <v>0</v>
      </c>
      <c r="C481" s="10">
        <f>SUM(C446:C480)</f>
        <v>0</v>
      </c>
      <c r="D481" s="10"/>
      <c r="E481" s="10">
        <f>SUM(E446:E480)</f>
        <v>0</v>
      </c>
      <c r="F481" s="11">
        <f t="shared" si="22"/>
        <v>0</v>
      </c>
      <c r="G481" s="15"/>
      <c r="H481" s="4"/>
      <c r="I481" s="4"/>
    </row>
  </sheetData>
  <mergeCells count="14">
    <mergeCell ref="B2:G2"/>
    <mergeCell ref="B42:G42"/>
    <mergeCell ref="B82:G82"/>
    <mergeCell ref="B122:G122"/>
    <mergeCell ref="B162:G162"/>
    <mergeCell ref="B5:E5"/>
    <mergeCell ref="C127:E127"/>
    <mergeCell ref="B402:G402"/>
    <mergeCell ref="B443:G443"/>
    <mergeCell ref="B202:G202"/>
    <mergeCell ref="B242:G242"/>
    <mergeCell ref="B282:G282"/>
    <mergeCell ref="B322:G322"/>
    <mergeCell ref="B362:G362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8"/>
  <sheetViews>
    <sheetView topLeftCell="A414" workbookViewId="0">
      <selection activeCell="L388" sqref="L388"/>
    </sheetView>
  </sheetViews>
  <sheetFormatPr baseColWidth="10" defaultRowHeight="15" x14ac:dyDescent="0.25"/>
  <cols>
    <col min="2" max="2" width="17.7109375" customWidth="1"/>
    <col min="3" max="3" width="13.7109375" customWidth="1"/>
    <col min="4" max="4" width="17.140625" customWidth="1"/>
    <col min="5" max="5" width="6.140625" customWidth="1"/>
    <col min="6" max="6" width="13.28515625" customWidth="1"/>
    <col min="7" max="7" width="12.7109375" bestFit="1" customWidth="1"/>
    <col min="8" max="8" width="17.42578125" bestFit="1" customWidth="1"/>
    <col min="9" max="9" width="14.7109375" customWidth="1"/>
    <col min="10" max="10" width="15.42578125" customWidth="1"/>
    <col min="21" max="21" width="18.42578125" customWidth="1"/>
    <col min="22" max="22" width="16.140625" customWidth="1"/>
    <col min="23" max="23" width="18.7109375" customWidth="1"/>
    <col min="24" max="24" width="15.85546875" customWidth="1"/>
  </cols>
  <sheetData>
    <row r="1" spans="1:21" s="4" customFormat="1" ht="18.75" x14ac:dyDescent="0.3">
      <c r="A1" s="1"/>
      <c r="B1" s="57" t="s">
        <v>53</v>
      </c>
      <c r="C1" s="57"/>
      <c r="D1" s="2"/>
      <c r="E1" s="3"/>
      <c r="G1" s="15"/>
    </row>
    <row r="2" spans="1:21" s="4" customFormat="1" ht="15.75" x14ac:dyDescent="0.25">
      <c r="A2" s="5"/>
      <c r="B2" s="6"/>
      <c r="C2" s="23" t="s">
        <v>6</v>
      </c>
      <c r="D2" s="7"/>
      <c r="E2" s="3"/>
      <c r="G2" s="15"/>
    </row>
    <row r="3" spans="1:21" s="4" customFormat="1" ht="16.5" thickBot="1" x14ac:dyDescent="0.3">
      <c r="A3" s="19" t="s">
        <v>0</v>
      </c>
      <c r="B3" s="20" t="s">
        <v>1</v>
      </c>
      <c r="C3" s="21" t="s">
        <v>2</v>
      </c>
      <c r="D3" s="22" t="s">
        <v>4</v>
      </c>
      <c r="E3" s="3"/>
      <c r="F3" s="38" t="s">
        <v>19</v>
      </c>
      <c r="G3" s="32" t="s">
        <v>10</v>
      </c>
      <c r="H3" s="27" t="s">
        <v>8</v>
      </c>
      <c r="I3" s="50"/>
      <c r="J3" s="33" t="s">
        <v>11</v>
      </c>
      <c r="K3" s="34" t="s">
        <v>13</v>
      </c>
    </row>
    <row r="4" spans="1:21" s="4" customFormat="1" ht="16.5" thickTop="1" x14ac:dyDescent="0.25">
      <c r="A4" s="65">
        <v>42005</v>
      </c>
      <c r="B4" s="294" t="s">
        <v>45</v>
      </c>
      <c r="C4" s="295"/>
      <c r="D4" s="66" t="e">
        <f>B4-C4</f>
        <v>#VALUE!</v>
      </c>
      <c r="E4" s="24"/>
      <c r="F4" s="294" t="s">
        <v>45</v>
      </c>
      <c r="G4" s="295"/>
      <c r="H4" s="30"/>
      <c r="I4" s="37" t="e">
        <f>H4+G4+F4</f>
        <v>#VALUE!</v>
      </c>
      <c r="J4" s="15" t="e">
        <f t="shared" ref="J4:J39" si="0">H4+G4+F4-D4</f>
        <v>#VALUE!</v>
      </c>
    </row>
    <row r="5" spans="1:21" s="4" customFormat="1" ht="15.75" x14ac:dyDescent="0.25">
      <c r="A5" s="9">
        <v>42006</v>
      </c>
      <c r="B5" s="10">
        <f>515518.32+750337.68</f>
        <v>1265856</v>
      </c>
      <c r="C5" s="10">
        <f>32629.86+63218.55</f>
        <v>95848.41</v>
      </c>
      <c r="D5" s="11">
        <f t="shared" ref="D5:D39" si="1">B5-C5</f>
        <v>1170007.5900000001</v>
      </c>
      <c r="E5" s="25" t="s">
        <v>9</v>
      </c>
      <c r="F5" s="31">
        <v>193.2</v>
      </c>
      <c r="G5" s="31">
        <v>0</v>
      </c>
      <c r="H5" s="15">
        <f>21800+100000+100000+236578+37700+90000+57600+65655+143137+128675.5+56401+62416+41257+3157.52+3568+9000+12870</f>
        <v>1169815.02</v>
      </c>
      <c r="I5" s="37">
        <f t="shared" ref="I5:I34" si="2">H5+G5+F5</f>
        <v>1170008.22</v>
      </c>
      <c r="J5" s="15">
        <f t="shared" si="0"/>
        <v>0.62999999988824129</v>
      </c>
    </row>
    <row r="6" spans="1:21" s="4" customFormat="1" ht="15.75" x14ac:dyDescent="0.25">
      <c r="A6" s="9">
        <v>42007</v>
      </c>
      <c r="B6" s="10">
        <f>407022.15+927708.45</f>
        <v>1334730.6000000001</v>
      </c>
      <c r="C6" s="10">
        <f>10012+1000</f>
        <v>11012</v>
      </c>
      <c r="D6" s="11">
        <f t="shared" si="1"/>
        <v>1323718.6000000001</v>
      </c>
      <c r="E6" s="25" t="s">
        <v>9</v>
      </c>
      <c r="F6" s="15">
        <v>5268.5</v>
      </c>
      <c r="G6" s="15">
        <f>43036.8+44608.8+132090.4+6334.15</f>
        <v>226070.15</v>
      </c>
      <c r="H6" s="15">
        <f>80000+120000+120000+50000+95000+45000+65000+80000+80000+95000+31517.5+33318.5+57783.5+26988+30487.5+29858.51+37255+15082+95450</f>
        <v>1187740.51</v>
      </c>
      <c r="I6" s="37">
        <f t="shared" si="2"/>
        <v>1419079.16</v>
      </c>
      <c r="J6" s="15">
        <f t="shared" si="0"/>
        <v>95360.559999999823</v>
      </c>
      <c r="K6" s="43"/>
      <c r="L6" s="60" t="s">
        <v>68</v>
      </c>
      <c r="M6" s="60"/>
      <c r="N6" s="60"/>
      <c r="O6" s="51"/>
      <c r="P6" s="51"/>
      <c r="Q6" s="60"/>
      <c r="R6" s="60"/>
      <c r="S6" s="60"/>
      <c r="T6" s="60"/>
      <c r="U6" s="60"/>
    </row>
    <row r="7" spans="1:21" s="4" customFormat="1" ht="15.75" x14ac:dyDescent="0.25">
      <c r="A7" s="9">
        <v>42008</v>
      </c>
      <c r="B7" s="10">
        <f>114098+5790772.09</f>
        <v>5904870.0899999999</v>
      </c>
      <c r="C7" s="10">
        <f>1642+17228</f>
        <v>18870</v>
      </c>
      <c r="D7" s="11">
        <f t="shared" si="1"/>
        <v>5886000.0899999999</v>
      </c>
      <c r="E7" s="25" t="s">
        <v>9</v>
      </c>
      <c r="F7" s="15">
        <v>49395.46</v>
      </c>
      <c r="G7" s="15">
        <v>0</v>
      </c>
      <c r="H7" s="15">
        <f>70000+95000+55000+59000+374665.79+135007.95+200000+168030.43+132030.8+450000+860000+105050+270000+82863.74+150000+450000+149800+160550+108614.73+700000+400000+48963.51+140000+250000+206318.6+15710</f>
        <v>5836605.5499999989</v>
      </c>
      <c r="I7" s="37">
        <f t="shared" si="2"/>
        <v>5886001.0099999988</v>
      </c>
      <c r="J7" s="15">
        <f t="shared" si="0"/>
        <v>0.91999999899417162</v>
      </c>
    </row>
    <row r="8" spans="1:21" s="4" customFormat="1" ht="15.75" x14ac:dyDescent="0.25">
      <c r="A8" s="9">
        <v>42009</v>
      </c>
      <c r="B8" s="10">
        <f>383308.75+799201.75</f>
        <v>1182510.5</v>
      </c>
      <c r="C8" s="10">
        <f>28516.82+255832.91+925+470+573+5888.19</f>
        <v>292205.92</v>
      </c>
      <c r="D8" s="11">
        <f t="shared" si="1"/>
        <v>890304.58000000007</v>
      </c>
      <c r="E8" s="25" t="s">
        <v>9</v>
      </c>
      <c r="F8" s="15">
        <v>52117.5</v>
      </c>
      <c r="G8" s="15">
        <f>2993.9+13964.1</f>
        <v>16958</v>
      </c>
      <c r="H8" s="15">
        <f>160000+70000+44000+55000+130000+45000+1000+134000+84000+7780</f>
        <v>730780</v>
      </c>
      <c r="I8" s="37">
        <f t="shared" si="2"/>
        <v>799855.5</v>
      </c>
      <c r="J8" s="15">
        <f t="shared" si="0"/>
        <v>-90449.080000000075</v>
      </c>
      <c r="L8" s="60" t="s">
        <v>66</v>
      </c>
      <c r="M8" s="60"/>
      <c r="N8" s="60"/>
    </row>
    <row r="9" spans="1:21" s="4" customFormat="1" ht="15.75" x14ac:dyDescent="0.25">
      <c r="A9" s="9">
        <v>42010</v>
      </c>
      <c r="B9" s="10">
        <f>332952.35+393798.35</f>
        <v>726750.7</v>
      </c>
      <c r="C9" s="10">
        <f>17371.99+43724.55+550+348+180+120</f>
        <v>62294.540000000008</v>
      </c>
      <c r="D9" s="11">
        <f t="shared" si="1"/>
        <v>664456.15999999992</v>
      </c>
      <c r="E9" s="25" t="s">
        <v>9</v>
      </c>
      <c r="F9" s="15">
        <v>0</v>
      </c>
      <c r="G9" s="15">
        <v>0</v>
      </c>
      <c r="H9" s="15">
        <f>80000+100000+65000+23600+60200+69120+87801+54118+20397.5+98137+6082</f>
        <v>664455.5</v>
      </c>
      <c r="I9" s="37">
        <f t="shared" si="2"/>
        <v>664455.5</v>
      </c>
      <c r="J9" s="15">
        <f t="shared" si="0"/>
        <v>-0.65999999991618097</v>
      </c>
    </row>
    <row r="10" spans="1:21" s="4" customFormat="1" ht="15.75" x14ac:dyDescent="0.25">
      <c r="A10" s="9">
        <v>42011</v>
      </c>
      <c r="B10" s="10">
        <f>307236.93+1223963.05</f>
        <v>1531199.98</v>
      </c>
      <c r="C10" s="10">
        <f>17773+470+1000</f>
        <v>19243</v>
      </c>
      <c r="D10" s="11">
        <f t="shared" si="1"/>
        <v>1511956.98</v>
      </c>
      <c r="E10" s="25" t="s">
        <v>9</v>
      </c>
      <c r="F10" s="15">
        <v>2412.1799999999998</v>
      </c>
      <c r="G10" s="15">
        <f>33734.5+82491.3+22942.4</f>
        <v>139168.20000000001</v>
      </c>
      <c r="H10" s="15">
        <f>79800+23087+180000+270000+80000+80000+40000+50000+160000+50000+87020+100+20504+59750+208377</f>
        <v>1388638</v>
      </c>
      <c r="I10" s="37">
        <f t="shared" si="2"/>
        <v>1530218.38</v>
      </c>
      <c r="J10" s="15">
        <f t="shared" si="0"/>
        <v>18261.399999999907</v>
      </c>
      <c r="L10" s="51" t="s">
        <v>191</v>
      </c>
      <c r="M10" s="51"/>
      <c r="N10" s="60"/>
      <c r="O10" s="60"/>
      <c r="P10" s="51"/>
      <c r="Q10" s="51"/>
      <c r="R10" s="51"/>
      <c r="S10" s="51"/>
      <c r="T10" s="51"/>
      <c r="U10" s="51"/>
    </row>
    <row r="11" spans="1:21" s="4" customFormat="1" ht="15.75" x14ac:dyDescent="0.25">
      <c r="A11" s="9">
        <v>42012</v>
      </c>
      <c r="B11" s="10">
        <f>473033.17+937977.94+22457.6</f>
        <v>1433468.71</v>
      </c>
      <c r="C11" s="10">
        <f>20842.2+112398.8</f>
        <v>133241</v>
      </c>
      <c r="D11" s="11">
        <f t="shared" si="1"/>
        <v>1300227.71</v>
      </c>
      <c r="E11" s="25" t="s">
        <v>9</v>
      </c>
      <c r="F11" s="15">
        <v>26013.8</v>
      </c>
      <c r="G11" s="15">
        <f>10101.8+9300+3453.7</f>
        <v>22855.5</v>
      </c>
      <c r="H11" s="15">
        <f>139020.5+55400+80000+90000+70000+60000+60000+50000+71033.5+6562.5+75626+59572+3748+127652+125032+27591.5+7307.3+84480.46+29534.2+3996.2+9602+1880</f>
        <v>1238038.1599999999</v>
      </c>
      <c r="I11" s="37">
        <f t="shared" si="2"/>
        <v>1286907.46</v>
      </c>
      <c r="J11" s="15">
        <f t="shared" si="0"/>
        <v>-13320.25</v>
      </c>
      <c r="L11" s="60" t="s">
        <v>69</v>
      </c>
      <c r="M11" s="60"/>
      <c r="N11" s="60"/>
      <c r="O11" s="60"/>
      <c r="P11" s="60"/>
      <c r="Q11" s="60"/>
      <c r="R11" s="60"/>
    </row>
    <row r="12" spans="1:21" s="4" customFormat="1" ht="15.75" x14ac:dyDescent="0.25">
      <c r="A12" s="9">
        <v>42013</v>
      </c>
      <c r="B12" s="10">
        <f>391702.8+1127448.92</f>
        <v>1519151.72</v>
      </c>
      <c r="C12" s="10">
        <f>31105+9480.9</f>
        <v>40585.9</v>
      </c>
      <c r="D12" s="11">
        <f t="shared" si="1"/>
        <v>1478565.82</v>
      </c>
      <c r="E12" s="25" t="s">
        <v>9</v>
      </c>
      <c r="F12" s="15">
        <v>17524</v>
      </c>
      <c r="G12" s="15">
        <f>4387.6+42867.6</f>
        <v>47255.199999999997</v>
      </c>
      <c r="H12" s="15">
        <f>145000+63500+40000+60000+120000+30000+81332+26366+188666.5+8237.5+85329+68500+9329+10512+25069+196402.5+100000+32387+123156</f>
        <v>1413786.5</v>
      </c>
      <c r="I12" s="37">
        <f t="shared" si="2"/>
        <v>1478565.7</v>
      </c>
      <c r="J12" s="15">
        <f t="shared" si="0"/>
        <v>-0.12000000011175871</v>
      </c>
    </row>
    <row r="13" spans="1:21" s="4" customFormat="1" ht="15.75" x14ac:dyDescent="0.25">
      <c r="A13" s="9">
        <v>42014</v>
      </c>
      <c r="B13" s="10">
        <f>469308.29+2676287.19</f>
        <v>3145595.48</v>
      </c>
      <c r="C13" s="10">
        <f>15068.8+7845</f>
        <v>22913.8</v>
      </c>
      <c r="D13" s="11">
        <f t="shared" si="1"/>
        <v>3122681.68</v>
      </c>
      <c r="E13" s="25" t="s">
        <v>9</v>
      </c>
      <c r="F13" s="15">
        <v>139918.10999999999</v>
      </c>
      <c r="G13" s="15">
        <f>71429.6+81367.4+11812+54594.2+127492.78+9500+2100.9+19097.6</f>
        <v>377394.48</v>
      </c>
      <c r="H13" s="15">
        <f>53000+60000+40000+60000+60000+54200+109500+50000+100000+65000+53000+17515.8+25006+8301.5+5414.5+36026+43000+27261+44200+100000+100000+14070+304500+18700+100000+100000+95500+147500+1060+78000+100000+100000+100000+105850+127000+24650+11373+56211.3+9526+4</f>
        <v>2605369.0999999996</v>
      </c>
      <c r="I13" s="37">
        <f t="shared" si="2"/>
        <v>3122681.6899999995</v>
      </c>
      <c r="J13" s="15">
        <f t="shared" si="0"/>
        <v>9.9999993108212948E-3</v>
      </c>
      <c r="L13" s="4" t="s">
        <v>22</v>
      </c>
    </row>
    <row r="14" spans="1:21" s="4" customFormat="1" ht="15.75" x14ac:dyDescent="0.25">
      <c r="A14" s="9">
        <v>42015</v>
      </c>
      <c r="B14" s="10">
        <f>217599.67+147638.7</f>
        <v>365238.37</v>
      </c>
      <c r="C14" s="10">
        <v>9851.98</v>
      </c>
      <c r="D14" s="11">
        <f t="shared" si="1"/>
        <v>355386.39</v>
      </c>
      <c r="E14" s="25" t="s">
        <v>9</v>
      </c>
      <c r="F14" s="15">
        <v>149.6</v>
      </c>
      <c r="G14" s="15">
        <v>0</v>
      </c>
      <c r="H14" s="15">
        <f>62500+90000+90000+40000+30000+33000+9737</f>
        <v>355237</v>
      </c>
      <c r="I14" s="37">
        <f t="shared" si="2"/>
        <v>355386.6</v>
      </c>
      <c r="J14" s="15">
        <f t="shared" si="0"/>
        <v>0.2099999999627471</v>
      </c>
    </row>
    <row r="15" spans="1:21" s="4" customFormat="1" ht="15.75" x14ac:dyDescent="0.25">
      <c r="A15" s="9">
        <v>42016</v>
      </c>
      <c r="B15" s="10">
        <f>218188.95+1182794.41</f>
        <v>1400983.3599999999</v>
      </c>
      <c r="C15" s="10">
        <f>6949.5+201559.63+266.44+8225.44+580</f>
        <v>217581.01</v>
      </c>
      <c r="D15" s="11">
        <f t="shared" si="1"/>
        <v>1183402.3499999999</v>
      </c>
      <c r="E15" s="25" t="s">
        <v>9</v>
      </c>
      <c r="F15" s="15">
        <v>0</v>
      </c>
      <c r="G15" s="15">
        <v>9950.4</v>
      </c>
      <c r="H15" s="15">
        <f>46000+70000+30599+17029+18391+14600.5+32010.5+60000+60000+45000+35000+75364+73000+117511.5+26000+53832+26700+9300+42419+45287.5+41542.5+56500+131212+10172</f>
        <v>1137470.5</v>
      </c>
      <c r="I15" s="37">
        <f t="shared" si="2"/>
        <v>1147420.8999999999</v>
      </c>
      <c r="J15" s="15">
        <f t="shared" si="0"/>
        <v>-35981.449999999953</v>
      </c>
      <c r="L15" s="60" t="s">
        <v>93</v>
      </c>
      <c r="M15" s="60"/>
      <c r="N15" s="60"/>
      <c r="O15" s="60"/>
    </row>
    <row r="16" spans="1:21" s="4" customFormat="1" ht="15.75" x14ac:dyDescent="0.25">
      <c r="A16" s="9">
        <v>42017</v>
      </c>
      <c r="B16" s="10">
        <f>124149.7+1936435.06</f>
        <v>2060584.76</v>
      </c>
      <c r="C16" s="10">
        <f>7363+59323.6</f>
        <v>66686.600000000006</v>
      </c>
      <c r="D16" s="11">
        <f t="shared" si="1"/>
        <v>1993898.16</v>
      </c>
      <c r="E16" s="25" t="s">
        <v>9</v>
      </c>
      <c r="F16" s="15">
        <v>236028.63</v>
      </c>
      <c r="G16" s="15">
        <v>0</v>
      </c>
      <c r="H16" s="15">
        <f>125000+65000+36000+18300+55500+65251+60311.5+83000+85000+39080+164585+190000+20153+32000+16000+31000+32000+100000+110000+77913.5+16786+10437+103196+63168.5+85000+19068+4603.2+48017.08</f>
        <v>1756369.78</v>
      </c>
      <c r="I16" s="37">
        <f t="shared" si="2"/>
        <v>1992398.4100000001</v>
      </c>
      <c r="J16" s="15">
        <f t="shared" si="0"/>
        <v>-1499.7499999997672</v>
      </c>
      <c r="L16" s="60" t="s">
        <v>67</v>
      </c>
      <c r="M16" s="60"/>
      <c r="N16" s="60"/>
      <c r="O16" s="60"/>
    </row>
    <row r="17" spans="1:19" s="4" customFormat="1" ht="15.75" x14ac:dyDescent="0.25">
      <c r="A17" s="9">
        <v>42018</v>
      </c>
      <c r="B17" s="10">
        <f>360885+1080920.94</f>
        <v>1441805.94</v>
      </c>
      <c r="C17" s="10">
        <f>5080+3600</f>
        <v>8680</v>
      </c>
      <c r="D17" s="11">
        <f t="shared" si="1"/>
        <v>1433125.94</v>
      </c>
      <c r="E17" s="25" t="s">
        <v>9</v>
      </c>
      <c r="F17" s="15">
        <v>11218.4</v>
      </c>
      <c r="G17" s="15">
        <f>121622.93+31708.4+7240.12</f>
        <v>160571.44999999998</v>
      </c>
      <c r="H17" s="15">
        <f>145000+200000+40000+50000+85000+6976.5+10952.45+15364.24+1588.8+276048.65+35222+38000+27350+115000+48028+16805.5+150000</f>
        <v>1261336.1400000001</v>
      </c>
      <c r="I17" s="37">
        <f t="shared" si="2"/>
        <v>1433125.99</v>
      </c>
      <c r="J17" s="15">
        <f t="shared" si="0"/>
        <v>5.0000000046566129E-2</v>
      </c>
    </row>
    <row r="18" spans="1:19" s="4" customFormat="1" ht="15.75" x14ac:dyDescent="0.25">
      <c r="A18" s="9">
        <v>42019</v>
      </c>
      <c r="B18" s="10">
        <f>443878.82+511626.71</f>
        <v>955505.53</v>
      </c>
      <c r="C18" s="10">
        <f>16871+120325.06</f>
        <v>137196.06</v>
      </c>
      <c r="D18" s="11">
        <f t="shared" si="1"/>
        <v>818309.47</v>
      </c>
      <c r="E18" s="25" t="s">
        <v>9</v>
      </c>
      <c r="F18" s="15">
        <v>0</v>
      </c>
      <c r="G18" s="15">
        <f>6794+9080.6+7500</f>
        <v>23374.6</v>
      </c>
      <c r="H18" s="15">
        <f>3120+4384.24+6674.4+501.76+32585.9+10093+90000+103140+43500+10700+68000+98550+14607+44800+818+31000+136000+14682+36734+45045</f>
        <v>794935.3</v>
      </c>
      <c r="I18" s="37">
        <f t="shared" si="2"/>
        <v>818309.9</v>
      </c>
      <c r="J18" s="15">
        <f t="shared" si="0"/>
        <v>0.43000000005122274</v>
      </c>
    </row>
    <row r="19" spans="1:19" s="4" customFormat="1" ht="15.75" x14ac:dyDescent="0.25">
      <c r="A19" s="9">
        <v>42020</v>
      </c>
      <c r="B19" s="10">
        <f>514397.86+667664.55</f>
        <v>1182062.4100000001</v>
      </c>
      <c r="C19" s="10">
        <f>14201.6+470+61720+2890+464</f>
        <v>79745.600000000006</v>
      </c>
      <c r="D19" s="11">
        <f t="shared" si="1"/>
        <v>1102316.81</v>
      </c>
      <c r="E19" s="25" t="s">
        <v>9</v>
      </c>
      <c r="F19" s="15">
        <v>195</v>
      </c>
      <c r="G19" s="15">
        <v>7725.6</v>
      </c>
      <c r="H19" s="15">
        <f>130000+60000+110000+57000+75000+70000+190000+113109.2+80262.1+185000+3128.58+20896</f>
        <v>1094395.8799999999</v>
      </c>
      <c r="I19" s="37">
        <f t="shared" si="2"/>
        <v>1102316.48</v>
      </c>
      <c r="J19" s="15">
        <f t="shared" si="0"/>
        <v>-0.33000000007450581</v>
      </c>
    </row>
    <row r="20" spans="1:19" s="4" customFormat="1" ht="15.75" x14ac:dyDescent="0.25">
      <c r="A20" s="9">
        <v>42021</v>
      </c>
      <c r="B20" s="10">
        <f>479393.27+2405981.16+500</f>
        <v>2885874.43</v>
      </c>
      <c r="C20" s="10">
        <f>71207.18+114728+2068</f>
        <v>188003.18</v>
      </c>
      <c r="D20" s="11">
        <f t="shared" si="1"/>
        <v>2697871.25</v>
      </c>
      <c r="E20" s="25" t="s">
        <v>9</v>
      </c>
      <c r="F20" s="15">
        <v>936</v>
      </c>
      <c r="G20" s="15">
        <f>18927.2+55084+72617.1+118616.52+39769.4+49945+43889+33535.05+37820.6+62533.1</f>
        <v>532736.97</v>
      </c>
      <c r="H20" s="15">
        <f>27000+110000+100000+50000+96100+40000+45000+35700+52706+101341.8+8380+109011+69409+54808+45000+3181+75000+36793.5+14076.15+162000+239681.84+73838.1+130000+175354+124309.5+50000+82385.5+35000+500+17722</f>
        <v>2164297.39</v>
      </c>
      <c r="I20" s="37">
        <f t="shared" si="2"/>
        <v>2697970.3600000003</v>
      </c>
      <c r="J20" s="15">
        <f t="shared" si="0"/>
        <v>99.110000000335276</v>
      </c>
      <c r="L20" s="60" t="s">
        <v>92</v>
      </c>
      <c r="M20" s="60"/>
      <c r="N20" s="60"/>
    </row>
    <row r="21" spans="1:19" s="4" customFormat="1" ht="15.75" x14ac:dyDescent="0.25">
      <c r="A21" s="9">
        <v>42022</v>
      </c>
      <c r="B21" s="10">
        <f>239817+646768.35</f>
        <v>886585.35</v>
      </c>
      <c r="C21" s="10">
        <v>196990.65</v>
      </c>
      <c r="D21" s="11">
        <f t="shared" si="1"/>
        <v>689594.7</v>
      </c>
      <c r="E21" s="25" t="s">
        <v>9</v>
      </c>
      <c r="F21" s="15">
        <v>148.19999999999999</v>
      </c>
      <c r="G21" s="15">
        <v>7679.2</v>
      </c>
      <c r="H21" s="15">
        <f>50000+50000+30000+40000+50000+50000+50000+50000+60000+221000+30767</f>
        <v>681767</v>
      </c>
      <c r="I21" s="37">
        <f t="shared" si="2"/>
        <v>689594.39999999991</v>
      </c>
      <c r="J21" s="15">
        <f t="shared" si="0"/>
        <v>-0.30000000004656613</v>
      </c>
    </row>
    <row r="22" spans="1:19" s="4" customFormat="1" ht="15.75" x14ac:dyDescent="0.25">
      <c r="A22" s="9">
        <v>42023</v>
      </c>
      <c r="B22" s="10">
        <f>370209.28+580883.69</f>
        <v>951092.97</v>
      </c>
      <c r="C22" s="10">
        <f>4117.2+36814.05</f>
        <v>40931.25</v>
      </c>
      <c r="D22" s="11">
        <f t="shared" si="1"/>
        <v>910161.72</v>
      </c>
      <c r="E22" s="25" t="s">
        <v>9</v>
      </c>
      <c r="F22" s="15">
        <v>3670.8</v>
      </c>
      <c r="G22" s="15">
        <v>0</v>
      </c>
      <c r="H22" s="15">
        <f>14000+55000+65000+70000+70000+90000+40000+500+17500+10000+28210+27453.5+4635+862+2502+1964.5+27493+45000+3994+78594+71391.5+20000+54185+22000+65996+70211</f>
        <v>956491.5</v>
      </c>
      <c r="I22" s="37">
        <f t="shared" si="2"/>
        <v>960162.3</v>
      </c>
      <c r="J22" s="15">
        <f t="shared" si="0"/>
        <v>50000.580000000075</v>
      </c>
      <c r="L22" s="60" t="s">
        <v>89</v>
      </c>
      <c r="M22" s="60"/>
      <c r="N22" s="60"/>
      <c r="O22" s="60"/>
      <c r="P22" s="60"/>
      <c r="Q22" s="60"/>
      <c r="R22" s="60"/>
      <c r="S22" s="60"/>
    </row>
    <row r="23" spans="1:19" s="4" customFormat="1" ht="15.75" x14ac:dyDescent="0.25">
      <c r="A23" s="9">
        <v>42024</v>
      </c>
      <c r="B23" s="10">
        <f>216434.58+651159.45</f>
        <v>867594.02999999991</v>
      </c>
      <c r="C23" s="10">
        <v>10255.379999999999</v>
      </c>
      <c r="D23" s="11">
        <f t="shared" si="1"/>
        <v>857338.64999999991</v>
      </c>
      <c r="E23" s="25" t="s">
        <v>9</v>
      </c>
      <c r="F23" s="15">
        <v>20036.310000000001</v>
      </c>
      <c r="G23" s="15">
        <f>34699.6+6454.2</f>
        <v>41153.799999999996</v>
      </c>
      <c r="H23" s="15">
        <f>33200.68+11000+30000+60000+58300+31860+158500+8750+35200+18500+111303+75258.95+12521.2+11145.6+3300+110000+27310</f>
        <v>796149.42999999982</v>
      </c>
      <c r="I23" s="37">
        <f t="shared" si="2"/>
        <v>857339.53999999992</v>
      </c>
      <c r="J23" s="15">
        <f t="shared" si="0"/>
        <v>0.89000000001396984</v>
      </c>
      <c r="L23" s="60" t="s">
        <v>162</v>
      </c>
      <c r="M23" s="60"/>
      <c r="N23" s="60"/>
    </row>
    <row r="24" spans="1:19" s="4" customFormat="1" ht="15.75" x14ac:dyDescent="0.25">
      <c r="A24" s="9">
        <v>42025</v>
      </c>
      <c r="B24" s="10">
        <f>288528.78+1659552.03</f>
        <v>1948080.81</v>
      </c>
      <c r="C24" s="10">
        <f>24802.21+24484.2</f>
        <v>49286.41</v>
      </c>
      <c r="D24" s="11">
        <f t="shared" si="1"/>
        <v>1898794.4000000001</v>
      </c>
      <c r="E24" s="25" t="s">
        <v>9</v>
      </c>
      <c r="F24" s="15">
        <v>15621.6</v>
      </c>
      <c r="G24" s="15">
        <f>8179.6+13963.08</f>
        <v>22142.68</v>
      </c>
      <c r="H24" s="15">
        <f>76000+105000+80000+38500+80000+70000+150000+55000+50000+41105.5+14154.5+30107+31772+86566.5+45078+9920+50000+120000+36790+1390+20155+27533+36340.5+60856.5+230900+120000+26000+65996+20947.1+22654.8+7547.9+26969.2+10000+29747.5</f>
        <v>1877031</v>
      </c>
      <c r="I24" s="37">
        <f t="shared" si="2"/>
        <v>1914795.28</v>
      </c>
      <c r="J24" s="15">
        <f t="shared" si="0"/>
        <v>16000.879999999888</v>
      </c>
      <c r="L24" s="60" t="s">
        <v>128</v>
      </c>
      <c r="M24" s="60"/>
      <c r="N24" s="60"/>
      <c r="O24" s="60"/>
    </row>
    <row r="25" spans="1:19" s="4" customFormat="1" ht="15.75" x14ac:dyDescent="0.25">
      <c r="A25" s="9">
        <v>42026</v>
      </c>
      <c r="B25" s="10">
        <f>410546.18+565388.7</f>
        <v>975934.87999999989</v>
      </c>
      <c r="C25" s="10">
        <f>22446.7+102678</f>
        <v>125124.7</v>
      </c>
      <c r="D25" s="11">
        <f t="shared" si="1"/>
        <v>850810.17999999993</v>
      </c>
      <c r="E25" s="25" t="s">
        <v>9</v>
      </c>
      <c r="F25" s="15">
        <v>3142.4</v>
      </c>
      <c r="G25" s="15">
        <f>13358.4+6448+7722+8500</f>
        <v>36028.400000000001</v>
      </c>
      <c r="H25" s="15">
        <f>66600+95000+90000+55000+42670.5+17569.5+2760+6705.5+17284+5111+32000+40000+113991+72107+26000+63000+30740+10320.04+24780</f>
        <v>811638.54</v>
      </c>
      <c r="I25" s="37">
        <f t="shared" si="2"/>
        <v>850809.34000000008</v>
      </c>
      <c r="J25" s="15">
        <f t="shared" si="0"/>
        <v>-0.83999999985098839</v>
      </c>
    </row>
    <row r="26" spans="1:19" s="4" customFormat="1" ht="15.75" x14ac:dyDescent="0.25">
      <c r="A26" s="9">
        <v>42027</v>
      </c>
      <c r="B26" s="10">
        <f>323280.41+1028651.47</f>
        <v>1351931.88</v>
      </c>
      <c r="C26" s="10">
        <f>3482+25801.6+300</f>
        <v>29583.599999999999</v>
      </c>
      <c r="D26" s="11">
        <f t="shared" si="1"/>
        <v>1322348.2799999998</v>
      </c>
      <c r="E26" s="25" t="s">
        <v>9</v>
      </c>
      <c r="F26" s="15">
        <v>2589.35</v>
      </c>
      <c r="G26" s="15">
        <v>0</v>
      </c>
      <c r="H26" s="15">
        <f>50000+125000+70000+50000+66200+34836+34694+25000+75000+42427.5+47898.5+34286+7932+19754.5+35000+45595.5+2900+46700+11206+5839+27800+1235+9400+5126+14000+689+61400+69138+6623+2100+14310+6929+4321+4300+128727.25+26200+85072+22120</f>
        <v>1319759.25</v>
      </c>
      <c r="I26" s="37">
        <f t="shared" si="2"/>
        <v>1322348.6000000001</v>
      </c>
      <c r="J26" s="15">
        <f t="shared" si="0"/>
        <v>0.32000000029802322</v>
      </c>
    </row>
    <row r="27" spans="1:19" s="4" customFormat="1" ht="15.75" x14ac:dyDescent="0.25">
      <c r="A27" s="9">
        <v>42028</v>
      </c>
      <c r="B27" s="10">
        <f>360139.77+1143015.5</f>
        <v>1503155.27</v>
      </c>
      <c r="C27" s="10">
        <f>37688.31+620+43043.2+149.5+5511.7</f>
        <v>87012.709999999992</v>
      </c>
      <c r="D27" s="11">
        <f t="shared" si="1"/>
        <v>1416142.56</v>
      </c>
      <c r="E27" s="25" t="s">
        <v>9</v>
      </c>
      <c r="F27" s="15">
        <v>4932.2</v>
      </c>
      <c r="G27" s="15">
        <f>116930.35+9593+174603.25+18312.5+16795.5+29592+59817.39+70470.3+53503.2</f>
        <v>549617.49</v>
      </c>
      <c r="H27" s="15">
        <f>179660+40000+54200+60100+55700+90000+60000+110000+70000+90000+18912.7+33321</f>
        <v>861893.7</v>
      </c>
      <c r="I27" s="37">
        <f t="shared" si="2"/>
        <v>1416443.39</v>
      </c>
      <c r="J27" s="15">
        <f t="shared" si="0"/>
        <v>300.82999999984168</v>
      </c>
      <c r="L27" s="60" t="s">
        <v>138</v>
      </c>
      <c r="M27" s="60"/>
      <c r="P27" s="60"/>
    </row>
    <row r="28" spans="1:19" s="4" customFormat="1" ht="15.75" x14ac:dyDescent="0.25">
      <c r="A28" s="9">
        <v>42029</v>
      </c>
      <c r="B28" s="79">
        <f>160318.64+497391.78</f>
        <v>657710.42000000004</v>
      </c>
      <c r="C28" s="80">
        <v>10310</v>
      </c>
      <c r="D28" s="11">
        <f t="shared" si="1"/>
        <v>647400.42000000004</v>
      </c>
      <c r="E28" s="25" t="s">
        <v>9</v>
      </c>
      <c r="F28" s="15">
        <v>252</v>
      </c>
      <c r="G28" s="15">
        <v>8957.52</v>
      </c>
      <c r="H28" s="15">
        <f>50000+60000+40000+80000+34630+41951+35000+93915+22500+64500+62608.5+52786.5</f>
        <v>637891</v>
      </c>
      <c r="I28" s="37">
        <f t="shared" si="2"/>
        <v>647100.52</v>
      </c>
      <c r="J28" s="15">
        <f t="shared" si="0"/>
        <v>-299.90000000002328</v>
      </c>
      <c r="L28" s="60" t="s">
        <v>91</v>
      </c>
      <c r="M28" s="60"/>
      <c r="N28" s="60"/>
      <c r="O28" s="60"/>
    </row>
    <row r="29" spans="1:19" s="4" customFormat="1" ht="15.75" x14ac:dyDescent="0.25">
      <c r="A29" s="9">
        <v>42030</v>
      </c>
      <c r="B29" s="10">
        <f>376546.13+129518.51</f>
        <v>506064.64000000001</v>
      </c>
      <c r="C29" s="10">
        <f>10693.18+14044.8+831+835+190</f>
        <v>26593.98</v>
      </c>
      <c r="D29" s="11">
        <f t="shared" si="1"/>
        <v>479470.66000000003</v>
      </c>
      <c r="E29" s="25" t="s">
        <v>9</v>
      </c>
      <c r="F29" s="15">
        <v>940.1</v>
      </c>
      <c r="G29" s="15">
        <v>0</v>
      </c>
      <c r="H29" s="15">
        <f>70000+65000+65000+62500+90000+95320+30510+0.5+200</f>
        <v>478530.5</v>
      </c>
      <c r="I29" s="37">
        <f t="shared" si="2"/>
        <v>479470.6</v>
      </c>
      <c r="J29" s="15">
        <f t="shared" si="0"/>
        <v>-6.0000000055879354E-2</v>
      </c>
    </row>
    <row r="30" spans="1:19" s="4" customFormat="1" ht="15.75" x14ac:dyDescent="0.25">
      <c r="A30" s="9">
        <v>42031</v>
      </c>
      <c r="B30" s="10">
        <f>378774.5+817739.99</f>
        <v>1196514.49</v>
      </c>
      <c r="C30" s="10">
        <f>11662.6+185.6+20439.9+95</f>
        <v>32383.100000000002</v>
      </c>
      <c r="D30" s="11">
        <f t="shared" si="1"/>
        <v>1164131.3899999999</v>
      </c>
      <c r="E30" s="25" t="s">
        <v>9</v>
      </c>
      <c r="F30" s="15">
        <v>10006</v>
      </c>
      <c r="G30" s="15">
        <v>0</v>
      </c>
      <c r="H30" s="15">
        <f>75000+81200+98000+40000+90000+99000+123054.5+114000+14000+189550+63000+55000+100000+12321</f>
        <v>1154125.5</v>
      </c>
      <c r="I30" s="37">
        <f t="shared" si="2"/>
        <v>1164131.5</v>
      </c>
      <c r="J30" s="15">
        <f t="shared" si="0"/>
        <v>0.11000000010244548</v>
      </c>
    </row>
    <row r="31" spans="1:19" s="4" customFormat="1" ht="15.75" x14ac:dyDescent="0.25">
      <c r="A31" s="9">
        <v>42032</v>
      </c>
      <c r="B31" s="10">
        <f>282632.1+1540106.2</f>
        <v>1822738.2999999998</v>
      </c>
      <c r="C31" s="10">
        <f>14983.76+12566+250</f>
        <v>27799.760000000002</v>
      </c>
      <c r="D31" s="11">
        <f t="shared" si="1"/>
        <v>1794938.5399999998</v>
      </c>
      <c r="E31" s="25" t="s">
        <v>9</v>
      </c>
      <c r="F31" s="15">
        <v>0</v>
      </c>
      <c r="G31" s="15">
        <f>39362.3+3710+7147.64+3762.8</f>
        <v>53982.740000000005</v>
      </c>
      <c r="H31" s="15">
        <f>100000+110000+150000+55000+52500+28350+4699+28106+7146+4796+9750+6720+4179+3780+5195+55670+57200+4757+42070+10187+5367+4000+37200+4174+2150+51485+37436.5+34982+36206+32028.5+26034+68952+44595+29211.5+57319+77580+113033.2+50000+19029+3960+12017.7+133151.29+50824.8+13443.6+56267+400</f>
        <v>1740952.09</v>
      </c>
      <c r="I31" s="37">
        <f t="shared" si="2"/>
        <v>1794934.83</v>
      </c>
      <c r="J31" s="15">
        <f t="shared" si="0"/>
        <v>-3.7099999997299165</v>
      </c>
    </row>
    <row r="32" spans="1:19" s="4" customFormat="1" ht="15.75" x14ac:dyDescent="0.25">
      <c r="A32" s="9">
        <v>42033</v>
      </c>
      <c r="B32" s="10">
        <f>387364.43+313676.56</f>
        <v>701040.99</v>
      </c>
      <c r="C32" s="10">
        <f>16248+76545.6+95+670</f>
        <v>93558.6</v>
      </c>
      <c r="D32" s="11">
        <f t="shared" si="1"/>
        <v>607482.39</v>
      </c>
      <c r="E32" s="25" t="s">
        <v>9</v>
      </c>
      <c r="F32" s="15">
        <v>52.54</v>
      </c>
      <c r="G32" s="15">
        <f>9118.8+3831.2+9527+8500</f>
        <v>30977</v>
      </c>
      <c r="H32" s="15">
        <f>92300+77800+54500+101000+50000+70000+82200+22102.6+26551</f>
        <v>576453.6</v>
      </c>
      <c r="I32" s="37">
        <f t="shared" si="2"/>
        <v>607483.14</v>
      </c>
      <c r="J32" s="15">
        <f t="shared" si="0"/>
        <v>0.75</v>
      </c>
    </row>
    <row r="33" spans="1:17" s="4" customFormat="1" ht="15.75" x14ac:dyDescent="0.25">
      <c r="A33" s="9">
        <v>42034</v>
      </c>
      <c r="B33" s="10">
        <f>356460.53+747330.3</f>
        <v>1103790.83</v>
      </c>
      <c r="C33" s="10">
        <f>5128.5+470+84794.6+12594.49</f>
        <v>102987.59000000001</v>
      </c>
      <c r="D33" s="11">
        <f t="shared" si="1"/>
        <v>1000803.2400000001</v>
      </c>
      <c r="E33" s="25" t="s">
        <v>9</v>
      </c>
      <c r="F33" s="15">
        <v>0</v>
      </c>
      <c r="G33" s="15">
        <v>0</v>
      </c>
      <c r="H33" s="15">
        <f>62000+31850+26000+100000+105000+22645+5550+6128.5+50000+50000+24660+154000+17486+50000+33000+79065+20500+42000+13100+8000+12500+11898.4+51483+23941</f>
        <v>1000806.9</v>
      </c>
      <c r="I33" s="37">
        <f t="shared" si="2"/>
        <v>1000806.9</v>
      </c>
      <c r="J33" s="15">
        <f t="shared" si="0"/>
        <v>3.659999999916181</v>
      </c>
      <c r="L33" s="60" t="s">
        <v>132</v>
      </c>
      <c r="M33" s="60"/>
    </row>
    <row r="34" spans="1:17" s="4" customFormat="1" ht="15.75" x14ac:dyDescent="0.25">
      <c r="A34" s="9">
        <v>42035</v>
      </c>
      <c r="B34" s="10">
        <f>351066.81+4771791.94</f>
        <v>5122858.75</v>
      </c>
      <c r="C34" s="10">
        <f>18452.5+75224.5</f>
        <v>93677</v>
      </c>
      <c r="D34" s="11">
        <f t="shared" si="1"/>
        <v>5029181.75</v>
      </c>
      <c r="E34" s="25" t="s">
        <v>9</v>
      </c>
      <c r="F34" s="15">
        <v>504742</v>
      </c>
      <c r="G34" s="15">
        <f>8769+7371.6+70309.1+54854.7+29274.8+36519.75+157046.42+44828.3+44737.7+139628.87</f>
        <v>593340.24</v>
      </c>
      <c r="H34" s="15">
        <f>75000+60000+35000+100000+115150+93000+100000+75400+100000+20000+100000+100000+31853.5+37198+67378+154551.87+23500.08+70000+70000+230000+270000+140000+110000+82200+120000+200000+100000+138438.45+200000+200000+200000+94137.45+110530+160894+21950+5956.5+5054+26254+38926.5+27020.5+21710</f>
        <v>3931102.8500000006</v>
      </c>
      <c r="I34" s="37">
        <f t="shared" si="2"/>
        <v>5029185.0900000008</v>
      </c>
      <c r="J34" s="15">
        <f t="shared" si="0"/>
        <v>3.340000000782311</v>
      </c>
    </row>
    <row r="35" spans="1:17" s="4" customFormat="1" ht="15.75" x14ac:dyDescent="0.25">
      <c r="A35" s="9"/>
      <c r="B35" s="10"/>
      <c r="C35" s="10"/>
      <c r="D35" s="11">
        <f t="shared" si="1"/>
        <v>0</v>
      </c>
      <c r="E35" s="25"/>
      <c r="G35" s="15"/>
      <c r="H35" s="15"/>
      <c r="J35" s="15">
        <f t="shared" si="0"/>
        <v>0</v>
      </c>
    </row>
    <row r="36" spans="1:17" s="4" customFormat="1" ht="15.75" x14ac:dyDescent="0.25">
      <c r="A36" s="14"/>
      <c r="B36" s="10"/>
      <c r="C36" s="10"/>
      <c r="D36" s="11">
        <f t="shared" si="1"/>
        <v>0</v>
      </c>
      <c r="G36" s="15"/>
      <c r="H36" s="15"/>
      <c r="J36" s="15">
        <f t="shared" si="0"/>
        <v>0</v>
      </c>
    </row>
    <row r="37" spans="1:17" s="4" customFormat="1" ht="15.75" x14ac:dyDescent="0.25">
      <c r="A37" s="14"/>
      <c r="B37" s="13"/>
      <c r="C37" s="10"/>
      <c r="D37" s="11">
        <f t="shared" si="1"/>
        <v>0</v>
      </c>
      <c r="E37" s="189" t="s">
        <v>9</v>
      </c>
      <c r="G37" s="15"/>
      <c r="H37" s="15"/>
      <c r="J37" s="15">
        <f t="shared" si="0"/>
        <v>0</v>
      </c>
    </row>
    <row r="38" spans="1:17" s="4" customFormat="1" ht="15.75" x14ac:dyDescent="0.25">
      <c r="A38" s="14"/>
      <c r="B38" s="10"/>
      <c r="C38" s="10"/>
      <c r="D38" s="11">
        <f t="shared" si="1"/>
        <v>0</v>
      </c>
      <c r="G38" s="15"/>
      <c r="H38" s="15"/>
      <c r="J38" s="15">
        <f t="shared" si="0"/>
        <v>0</v>
      </c>
    </row>
    <row r="39" spans="1:17" s="4" customFormat="1" ht="15.75" x14ac:dyDescent="0.25">
      <c r="A39" s="14"/>
      <c r="B39" s="10">
        <f>SUM(B4:B38)</f>
        <v>47931282.190000013</v>
      </c>
      <c r="C39" s="10">
        <f>SUM(C4:C38)</f>
        <v>2330453.7299999995</v>
      </c>
      <c r="D39" s="11">
        <f t="shared" si="1"/>
        <v>45600828.460000016</v>
      </c>
      <c r="F39" s="15"/>
      <c r="G39" s="15"/>
      <c r="H39" s="15"/>
      <c r="J39" s="15">
        <f t="shared" si="0"/>
        <v>-45600828.460000016</v>
      </c>
    </row>
    <row r="41" spans="1:17" s="4" customFormat="1" ht="18.75" x14ac:dyDescent="0.3">
      <c r="A41" s="1"/>
      <c r="B41" s="57" t="s">
        <v>54</v>
      </c>
      <c r="C41" s="57"/>
      <c r="D41" s="2"/>
      <c r="E41" s="3"/>
      <c r="G41" s="15"/>
    </row>
    <row r="42" spans="1:17" s="4" customFormat="1" ht="15.75" x14ac:dyDescent="0.25">
      <c r="A42" s="5"/>
      <c r="B42" s="6"/>
      <c r="C42" s="23" t="s">
        <v>6</v>
      </c>
      <c r="D42" s="7"/>
      <c r="E42" s="3"/>
      <c r="G42" s="15"/>
    </row>
    <row r="43" spans="1:17" s="4" customFormat="1" ht="16.5" thickBot="1" x14ac:dyDescent="0.3">
      <c r="A43" s="19" t="s">
        <v>0</v>
      </c>
      <c r="B43" s="20" t="s">
        <v>1</v>
      </c>
      <c r="C43" s="21" t="s">
        <v>2</v>
      </c>
      <c r="D43" s="22" t="s">
        <v>4</v>
      </c>
      <c r="E43" s="3"/>
      <c r="F43" s="38" t="s">
        <v>19</v>
      </c>
      <c r="G43" s="32" t="s">
        <v>10</v>
      </c>
      <c r="H43" s="27" t="s">
        <v>8</v>
      </c>
      <c r="I43" s="50"/>
      <c r="J43" s="33" t="s">
        <v>11</v>
      </c>
      <c r="K43" s="34" t="s">
        <v>13</v>
      </c>
    </row>
    <row r="44" spans="1:17" s="4" customFormat="1" ht="16.5" thickTop="1" x14ac:dyDescent="0.25">
      <c r="A44" s="9">
        <v>42036</v>
      </c>
      <c r="B44" s="10">
        <f>260628.08+223481.1</f>
        <v>484109.18</v>
      </c>
      <c r="C44" s="10">
        <f>11692+21338.45</f>
        <v>33030.449999999997</v>
      </c>
      <c r="D44" s="11">
        <f>B44-C44</f>
        <v>451078.73</v>
      </c>
      <c r="E44" s="93" t="s">
        <v>9</v>
      </c>
      <c r="F44" s="15">
        <v>2238.6</v>
      </c>
      <c r="G44" s="15">
        <f>13694.4+18476</f>
        <v>32170.400000000001</v>
      </c>
      <c r="H44" s="15">
        <f>100000+25000+80000+30000+60000+50000+47500+25170</f>
        <v>417670</v>
      </c>
      <c r="I44" s="37">
        <f>H44+G44+F44</f>
        <v>452079</v>
      </c>
      <c r="J44" s="15">
        <f t="shared" ref="J44:J79" si="3">H44+G44+F44-D44</f>
        <v>1000.2700000000186</v>
      </c>
      <c r="L44" s="60" t="s">
        <v>127</v>
      </c>
      <c r="M44" s="60"/>
      <c r="N44" s="60"/>
      <c r="O44" s="60"/>
      <c r="P44" s="60"/>
      <c r="Q44" s="60"/>
    </row>
    <row r="45" spans="1:17" s="4" customFormat="1" ht="15.75" x14ac:dyDescent="0.25">
      <c r="A45" s="9">
        <v>42037</v>
      </c>
      <c r="B45" s="10">
        <f>434282.77+637427.75</f>
        <v>1071710.52</v>
      </c>
      <c r="C45" s="10">
        <v>8099.6</v>
      </c>
      <c r="D45" s="11">
        <f t="shared" ref="D45:D79" si="4">B45-C45</f>
        <v>1063610.92</v>
      </c>
      <c r="E45" s="93" t="s">
        <v>9</v>
      </c>
      <c r="F45" s="31">
        <v>1498</v>
      </c>
      <c r="G45" s="31">
        <v>0</v>
      </c>
      <c r="H45" s="15">
        <f>58200+46800+100000+100000+80000+30000+70000+130000+100000+33000+105000+130000+22720</f>
        <v>1005720</v>
      </c>
      <c r="I45" s="37">
        <f t="shared" ref="I45:I73" si="5">H45+G45+F45</f>
        <v>1007218</v>
      </c>
      <c r="J45" s="15">
        <f t="shared" si="3"/>
        <v>-56392.919999999925</v>
      </c>
      <c r="L45" s="60" t="s">
        <v>139</v>
      </c>
      <c r="M45" s="60"/>
      <c r="N45" s="60"/>
      <c r="O45" s="60"/>
    </row>
    <row r="46" spans="1:17" s="4" customFormat="1" ht="15.75" x14ac:dyDescent="0.25">
      <c r="A46" s="9">
        <v>42038</v>
      </c>
      <c r="B46" s="10">
        <f>300655.89+1050925.66</f>
        <v>1351581.5499999998</v>
      </c>
      <c r="C46" s="10">
        <f>4900.8+470+12920+27615</f>
        <v>45905.8</v>
      </c>
      <c r="D46" s="11">
        <f t="shared" si="4"/>
        <v>1305675.7499999998</v>
      </c>
      <c r="E46" s="93" t="s">
        <v>9</v>
      </c>
      <c r="F46" s="15">
        <v>6330.38</v>
      </c>
      <c r="G46" s="15">
        <v>5676</v>
      </c>
      <c r="H46" s="15">
        <f>86700+80000+100000+50000+80000+60000+42850+184938+30000+157910+90000+122500+59000+33619.5+4939.5+19020+29563.5+97065.5+21959</f>
        <v>1350065</v>
      </c>
      <c r="I46" s="37">
        <f t="shared" si="5"/>
        <v>1362071.38</v>
      </c>
      <c r="J46" s="15">
        <f t="shared" si="3"/>
        <v>56395.630000000121</v>
      </c>
      <c r="K46" s="43"/>
      <c r="L46" s="60" t="s">
        <v>141</v>
      </c>
      <c r="M46" s="60"/>
      <c r="N46" s="60"/>
      <c r="O46" s="60"/>
    </row>
    <row r="47" spans="1:17" s="4" customFormat="1" ht="15.75" x14ac:dyDescent="0.25">
      <c r="A47" s="9">
        <v>42039</v>
      </c>
      <c r="B47" s="10">
        <f>180867.5+3117552.3</f>
        <v>3298419.8</v>
      </c>
      <c r="C47" s="10">
        <v>56754.47</v>
      </c>
      <c r="D47" s="11">
        <f t="shared" si="4"/>
        <v>3241665.3299999996</v>
      </c>
      <c r="E47" s="93" t="s">
        <v>9</v>
      </c>
      <c r="F47" s="15">
        <v>4125.5</v>
      </c>
      <c r="G47" s="15">
        <f>6526.02+128571.25+11052.44</f>
        <v>146149.71</v>
      </c>
      <c r="H47" s="15">
        <f>15000+25900+201600+100000+75000+54000+27678+93640.4+64538+45000+31293+140000+32000+85000+150000+50000+30915+75700+30000+80000+70000+31844+100000+50000+35000+14685+23000+94000+70000+28923+45500+35000+31505+130000+120000+41000+11115+10303.5+53228.5+800+49851.5+37000+61748.5+3551+75000+15000+105000+23500+65000+29294.5+37176+6753+8690+35000+4300+5605.5+44300+8693.5+72778.3</f>
        <v>3091410.1999999997</v>
      </c>
      <c r="I47" s="37">
        <f t="shared" si="5"/>
        <v>3241685.4099999997</v>
      </c>
      <c r="J47" s="15">
        <f t="shared" si="3"/>
        <v>20.080000000074506</v>
      </c>
      <c r="L47" s="60" t="s">
        <v>137</v>
      </c>
      <c r="M47" s="60"/>
      <c r="N47" s="60"/>
      <c r="O47" s="60"/>
    </row>
    <row r="48" spans="1:17" s="4" customFormat="1" ht="15.75" x14ac:dyDescent="0.25">
      <c r="A48" s="9">
        <v>42040</v>
      </c>
      <c r="B48" s="10">
        <f>231769.1+440197.5</f>
        <v>671966.6</v>
      </c>
      <c r="C48" s="10">
        <f>18257.5+112562.5+5+52500</f>
        <v>183325</v>
      </c>
      <c r="D48" s="11">
        <f t="shared" si="4"/>
        <v>488641.6</v>
      </c>
      <c r="E48" s="93" t="s">
        <v>9</v>
      </c>
      <c r="F48" s="15">
        <v>1316</v>
      </c>
      <c r="G48" s="15">
        <v>0</v>
      </c>
      <c r="H48" s="15">
        <f>91500+150000+40000+35600+150000+20225.2</f>
        <v>487325.2</v>
      </c>
      <c r="I48" s="37">
        <f t="shared" si="5"/>
        <v>488641.2</v>
      </c>
      <c r="J48" s="15">
        <f t="shared" si="3"/>
        <v>-0.3999999999650754</v>
      </c>
      <c r="K48" s="4" t="s">
        <v>140</v>
      </c>
    </row>
    <row r="49" spans="1:24" s="4" customFormat="1" ht="15.75" x14ac:dyDescent="0.25">
      <c r="A49" s="9">
        <v>42041</v>
      </c>
      <c r="B49" s="10">
        <f>448125.23+659148.67</f>
        <v>1107273.8999999999</v>
      </c>
      <c r="C49" s="10">
        <f>42165.1+315+5000+2238+109250.6</f>
        <v>158968.70000000001</v>
      </c>
      <c r="D49" s="11">
        <f t="shared" si="4"/>
        <v>948305.2</v>
      </c>
      <c r="E49" s="93" t="s">
        <v>9</v>
      </c>
      <c r="F49" s="15">
        <v>0</v>
      </c>
      <c r="G49" s="15">
        <f>145306.47+8833.6+9300+19300.8+58005.22+8064</f>
        <v>248810.09</v>
      </c>
      <c r="H49" s="15">
        <f>18900+32600+77720+70000+150000+66400+18479.2+5500.56+13272+20218.7+18774.4+6120+104515.8+15894.8+60628.6+21760</f>
        <v>700784.06</v>
      </c>
      <c r="I49" s="37">
        <f t="shared" si="5"/>
        <v>949594.15</v>
      </c>
      <c r="J49" s="15">
        <f t="shared" si="3"/>
        <v>1288.9500000000698</v>
      </c>
      <c r="L49" s="60" t="s">
        <v>136</v>
      </c>
      <c r="M49" s="60"/>
      <c r="N49" s="60"/>
      <c r="O49" s="60"/>
    </row>
    <row r="50" spans="1:24" s="4" customFormat="1" ht="15.75" x14ac:dyDescent="0.25">
      <c r="A50" s="9">
        <v>42042</v>
      </c>
      <c r="B50" s="10">
        <f>428192.85+1389031.04</f>
        <v>1817223.8900000001</v>
      </c>
      <c r="C50" s="10">
        <f>17556.78+16548+115272.7</f>
        <v>149377.47999999998</v>
      </c>
      <c r="D50" s="11">
        <f t="shared" si="4"/>
        <v>1667846.4100000001</v>
      </c>
      <c r="E50" s="93" t="s">
        <v>9</v>
      </c>
      <c r="F50" s="15">
        <v>2112.8000000000002</v>
      </c>
      <c r="G50" s="15">
        <f>33580.6+38262.4+38129.6+90183.5+8984.6+18123.6+121681.51+101377</f>
        <v>450322.81</v>
      </c>
      <c r="H50" s="15">
        <f>161770+13000+60000+70000+28000+5794+69000+80000+45250+51000+2711.2+9291.76+3020.16+14290.8+26087.6+168268+24492+133000+14000+69500+40000+22631+20000+36500+24000+22573.5</f>
        <v>1214180.02</v>
      </c>
      <c r="I50" s="37">
        <f t="shared" si="5"/>
        <v>1666615.6300000001</v>
      </c>
      <c r="J50" s="15">
        <f t="shared" si="3"/>
        <v>-1230.7800000000279</v>
      </c>
      <c r="L50" s="60" t="s">
        <v>135</v>
      </c>
      <c r="M50" s="60"/>
      <c r="N50" s="60"/>
      <c r="O50" s="60"/>
      <c r="P50" s="60"/>
      <c r="Q50" s="60"/>
    </row>
    <row r="51" spans="1:24" s="4" customFormat="1" ht="15.75" x14ac:dyDescent="0.25">
      <c r="A51" s="9">
        <v>42043</v>
      </c>
      <c r="B51" s="10">
        <f>170495.79+135841.5</f>
        <v>306337.29000000004</v>
      </c>
      <c r="C51" s="10">
        <f>2143+14282.4</f>
        <v>16425.400000000001</v>
      </c>
      <c r="D51" s="11">
        <f t="shared" si="4"/>
        <v>289911.89</v>
      </c>
      <c r="E51" s="93" t="s">
        <v>9</v>
      </c>
      <c r="F51" s="15">
        <v>1670.4</v>
      </c>
      <c r="G51" s="15">
        <v>0</v>
      </c>
      <c r="H51" s="15">
        <f>100000+40000+66000+61000+21242</f>
        <v>288242</v>
      </c>
      <c r="I51" s="37">
        <f t="shared" si="5"/>
        <v>289912.40000000002</v>
      </c>
      <c r="J51" s="15">
        <f t="shared" si="3"/>
        <v>0.51000000000931323</v>
      </c>
    </row>
    <row r="52" spans="1:24" s="4" customFormat="1" ht="15.75" x14ac:dyDescent="0.25">
      <c r="A52" s="9">
        <v>42044</v>
      </c>
      <c r="B52" s="10">
        <f>348333.55+417127.03</f>
        <v>765460.58000000007</v>
      </c>
      <c r="C52" s="10">
        <f>9223.56+107616</f>
        <v>116839.56</v>
      </c>
      <c r="D52" s="11">
        <f t="shared" si="4"/>
        <v>648621.02</v>
      </c>
      <c r="E52" s="93" t="s">
        <v>9</v>
      </c>
      <c r="F52" s="15">
        <v>2214.4</v>
      </c>
      <c r="G52" s="15">
        <v>16783</v>
      </c>
      <c r="H52" s="15">
        <f>56100+49200+100000+120000+107200+40000+40800+96850+19473</f>
        <v>629623</v>
      </c>
      <c r="I52" s="37">
        <f t="shared" si="5"/>
        <v>648620.4</v>
      </c>
      <c r="J52" s="15">
        <f t="shared" si="3"/>
        <v>-0.61999999999534339</v>
      </c>
      <c r="U52" s="288" t="s">
        <v>156</v>
      </c>
      <c r="V52" s="289"/>
      <c r="W52" s="290"/>
    </row>
    <row r="53" spans="1:24" s="4" customFormat="1" ht="15.75" x14ac:dyDescent="0.25">
      <c r="A53" s="9">
        <v>42045</v>
      </c>
      <c r="B53" s="10">
        <f>277785.05+479770.83</f>
        <v>757555.88</v>
      </c>
      <c r="C53" s="10">
        <f>170650.62+71044.9</f>
        <v>241695.52</v>
      </c>
      <c r="D53" s="11">
        <f t="shared" si="4"/>
        <v>515860.36</v>
      </c>
      <c r="E53" s="93" t="s">
        <v>9</v>
      </c>
      <c r="F53" s="15">
        <v>4351.8500000000004</v>
      </c>
      <c r="G53" s="15">
        <v>20465.2</v>
      </c>
      <c r="H53" s="15">
        <f>27000+70000+60000+36300+15320+4485+239.4+704+3300+209059.65+6400+7200+6400+3300+3300+28035+10000</f>
        <v>491043.05</v>
      </c>
      <c r="I53" s="37">
        <f t="shared" si="5"/>
        <v>515860.1</v>
      </c>
      <c r="J53" s="15">
        <f t="shared" si="3"/>
        <v>-0.26000000000931323</v>
      </c>
      <c r="U53" s="291"/>
      <c r="V53" s="292"/>
      <c r="W53" s="293"/>
    </row>
    <row r="54" spans="1:24" s="4" customFormat="1" ht="15.75" x14ac:dyDescent="0.25">
      <c r="A54" s="9">
        <v>42046</v>
      </c>
      <c r="B54" s="10">
        <f>349172.26+1444633.42</f>
        <v>1793805.68</v>
      </c>
      <c r="C54" s="10">
        <f>6102+1200+6213+20478</f>
        <v>33993</v>
      </c>
      <c r="D54" s="11">
        <f t="shared" si="4"/>
        <v>1759812.68</v>
      </c>
      <c r="E54" s="93" t="s">
        <v>9</v>
      </c>
      <c r="F54" s="15">
        <v>1039.5</v>
      </c>
      <c r="G54" s="15">
        <f>12710.25+174099.53+7584.48+136276.36</f>
        <v>330670.62</v>
      </c>
      <c r="H54" s="15">
        <f>25000+185000+29100+86000+100000+100000+60000+80000+126326+242000+4930+7554+163000+56000+8581+57000+44000+29000+24612</f>
        <v>1428103</v>
      </c>
      <c r="I54" s="37">
        <f t="shared" si="5"/>
        <v>1759813.12</v>
      </c>
      <c r="J54" s="15">
        <f t="shared" si="3"/>
        <v>0.44000000017695129</v>
      </c>
      <c r="U54" s="95">
        <v>42056</v>
      </c>
      <c r="V54" s="94" t="s">
        <v>160</v>
      </c>
      <c r="W54" s="96">
        <v>8000</v>
      </c>
    </row>
    <row r="55" spans="1:24" s="4" customFormat="1" ht="15.75" x14ac:dyDescent="0.25">
      <c r="A55" s="9">
        <v>42047</v>
      </c>
      <c r="B55" s="10">
        <f>293448.22+822659.17</f>
        <v>1116107.3900000001</v>
      </c>
      <c r="C55" s="10">
        <f>8820+2281.49+95+135559.9</f>
        <v>146756.38999999998</v>
      </c>
      <c r="D55" s="11">
        <f t="shared" si="4"/>
        <v>969351.00000000012</v>
      </c>
      <c r="E55" s="93" t="s">
        <v>9</v>
      </c>
      <c r="F55" s="15">
        <v>4102.8</v>
      </c>
      <c r="G55" s="15">
        <f>161748+8010+8400</f>
        <v>178158</v>
      </c>
      <c r="H55" s="15">
        <f>100000+60000+36500+27500+34400+100000+37494.8+11864+39331+177140+1159.2+35000+63058+26947.26+17642.74+13365+5688</f>
        <v>787090</v>
      </c>
      <c r="I55" s="37">
        <f t="shared" si="5"/>
        <v>969350.8</v>
      </c>
      <c r="J55" s="15">
        <f t="shared" si="3"/>
        <v>-0.20000000006984919</v>
      </c>
      <c r="U55" s="95">
        <v>42091</v>
      </c>
      <c r="V55" s="94" t="s">
        <v>160</v>
      </c>
      <c r="W55" s="96">
        <v>12000</v>
      </c>
    </row>
    <row r="56" spans="1:24" s="4" customFormat="1" ht="15.75" x14ac:dyDescent="0.25">
      <c r="A56" s="9">
        <v>42048</v>
      </c>
      <c r="B56" s="10">
        <f>391421.52+1903745.84</f>
        <v>2295167.3600000003</v>
      </c>
      <c r="C56" s="10">
        <f>9577+300+470+200000</f>
        <v>210347</v>
      </c>
      <c r="D56" s="11">
        <f t="shared" si="4"/>
        <v>2084820.3600000003</v>
      </c>
      <c r="E56" s="93" t="s">
        <v>9</v>
      </c>
      <c r="F56" s="15">
        <v>7005.6</v>
      </c>
      <c r="G56" s="15">
        <f>8970.4+8500+9239.2+4207.4</f>
        <v>30917</v>
      </c>
      <c r="H56" s="15">
        <f>40000+51800+79500+50000+45930+70000+48600+100000+49535.5+60000+65000+17668+50000+14843+20000+34000+40000+19000+20000+16427+21585.5+30000+45000+35000+18388+85000+43500+20000+50000+30811+20000+40000+50000+7145.5+23088+5301.5+2512+33850+7361.5+5366.5+25600+38415.5+3276.5+5448.5+130+29750+32832+53119+47000+30452+46537+110000+37618+75000+17048+28464</f>
        <v>2046903.5</v>
      </c>
      <c r="I56" s="37">
        <f t="shared" si="5"/>
        <v>2084826.1</v>
      </c>
      <c r="J56" s="15">
        <f t="shared" si="3"/>
        <v>5.7399999997578561</v>
      </c>
      <c r="U56" s="95">
        <v>42122</v>
      </c>
      <c r="V56" s="94" t="s">
        <v>160</v>
      </c>
      <c r="W56" s="96">
        <v>4000</v>
      </c>
      <c r="X56" s="4" t="s">
        <v>219</v>
      </c>
    </row>
    <row r="57" spans="1:24" s="4" customFormat="1" ht="15.75" x14ac:dyDescent="0.25">
      <c r="A57" s="9">
        <v>42049</v>
      </c>
      <c r="B57" s="10">
        <f>395711.02+1328067.71</f>
        <v>1723778.73</v>
      </c>
      <c r="C57" s="10">
        <f>9258.1+250+2022+92252.44</f>
        <v>103782.54000000001</v>
      </c>
      <c r="D57" s="11">
        <f t="shared" si="4"/>
        <v>1619996.19</v>
      </c>
      <c r="E57" s="93" t="s">
        <v>9</v>
      </c>
      <c r="F57" s="15">
        <v>578</v>
      </c>
      <c r="G57" s="15">
        <f>41777.2+102943.6+36298.2+15744+19428.8+1440</f>
        <v>217631.8</v>
      </c>
      <c r="H57" s="15">
        <f>120000+80000+187700+18190+105100+93600+19154.96+18484.12+4250+184500+25000+1802+117000+19810+46000+35868+138000+12200+54492.1+80328.1+10320.8+2944.89+27036</f>
        <v>1401780.9700000002</v>
      </c>
      <c r="I57" s="37">
        <f t="shared" si="5"/>
        <v>1619990.7700000003</v>
      </c>
      <c r="J57" s="15">
        <f t="shared" si="3"/>
        <v>-5.4199999996926636</v>
      </c>
      <c r="U57" s="95">
        <v>42122</v>
      </c>
      <c r="V57" s="94" t="s">
        <v>160</v>
      </c>
      <c r="W57" s="96">
        <v>6000</v>
      </c>
      <c r="X57" s="4" t="s">
        <v>220</v>
      </c>
    </row>
    <row r="58" spans="1:24" s="4" customFormat="1" ht="15.75" x14ac:dyDescent="0.25">
      <c r="A58" s="9">
        <v>42050</v>
      </c>
      <c r="B58" s="10">
        <f>229792.11+146395.5</f>
        <v>376187.61</v>
      </c>
      <c r="C58" s="10">
        <v>17386.599999999999</v>
      </c>
      <c r="D58" s="11">
        <f t="shared" si="4"/>
        <v>358801.01</v>
      </c>
      <c r="E58" s="93" t="s">
        <v>9</v>
      </c>
      <c r="F58" s="15">
        <v>0</v>
      </c>
      <c r="G58" s="15">
        <v>0</v>
      </c>
      <c r="H58" s="15">
        <f>50000+120000+50000+70000+25000+43801</f>
        <v>358801</v>
      </c>
      <c r="I58" s="37">
        <f t="shared" si="5"/>
        <v>358801</v>
      </c>
      <c r="J58" s="15">
        <f t="shared" si="3"/>
        <v>-1.0000000009313226E-2</v>
      </c>
      <c r="U58" s="95">
        <v>42156</v>
      </c>
      <c r="V58" s="94" t="s">
        <v>160</v>
      </c>
      <c r="W58" s="96">
        <v>2000</v>
      </c>
      <c r="X58" s="4" t="s">
        <v>315</v>
      </c>
    </row>
    <row r="59" spans="1:24" s="4" customFormat="1" ht="15.75" x14ac:dyDescent="0.25">
      <c r="A59" s="9">
        <v>42051</v>
      </c>
      <c r="B59" s="10">
        <f>176223.63+3333922.98</f>
        <v>3510146.61</v>
      </c>
      <c r="C59" s="10">
        <f>47844+36762</f>
        <v>84606</v>
      </c>
      <c r="D59" s="11">
        <f t="shared" si="4"/>
        <v>3425540.61</v>
      </c>
      <c r="E59" s="93" t="s">
        <v>9</v>
      </c>
      <c r="F59" s="15">
        <v>52743.91</v>
      </c>
      <c r="G59" s="15">
        <v>0</v>
      </c>
      <c r="H59" s="15">
        <f>95000+100000+69300+33400+18819+56000+45000+17109+47000+30000+23240.5+33000+75000+66000+192000+37511+18500+48000+83365+47800+27200+12450+30271.5+3172+5981+5606+4945.5+24950+6293.5+6442.5+18978.5+6482+4612+7420+17100+5244.5+10189+13580.5+19650+5699.5+47200+12600+35884+80000+20000+50000+50000+60000+31371+60000+65000+110000+105000+50000+35334.5+30000+15000+35560+40000+45000+45000+60000+60000+37328+65000+70000+28185+70000+45000+100000+130000+15000+72000+70000+80000+24871+34151+16000</f>
        <v>3372797</v>
      </c>
      <c r="I59" s="37">
        <f t="shared" si="5"/>
        <v>3425540.91</v>
      </c>
      <c r="J59" s="15">
        <f t="shared" si="3"/>
        <v>0.30000000027939677</v>
      </c>
      <c r="L59" s="4" t="s">
        <v>145</v>
      </c>
      <c r="U59" s="95">
        <v>42161</v>
      </c>
      <c r="V59" s="94" t="s">
        <v>160</v>
      </c>
      <c r="W59" s="96">
        <v>2000</v>
      </c>
      <c r="X59" s="4" t="s">
        <v>316</v>
      </c>
    </row>
    <row r="60" spans="1:24" s="4" customFormat="1" ht="15.75" x14ac:dyDescent="0.25">
      <c r="A60" s="9">
        <v>42052</v>
      </c>
      <c r="B60" s="10">
        <f>146629.24+553805.83</f>
        <v>700435.07</v>
      </c>
      <c r="C60" s="10">
        <f>1655+1875+93593.5</f>
        <v>97123.5</v>
      </c>
      <c r="D60" s="11">
        <f t="shared" si="4"/>
        <v>603311.56999999995</v>
      </c>
      <c r="E60" s="93" t="s">
        <v>9</v>
      </c>
      <c r="F60" s="15">
        <v>31986.46</v>
      </c>
      <c r="G60" s="15">
        <f>11023.8+6047.46</f>
        <v>17071.259999999998</v>
      </c>
      <c r="H60" s="15">
        <f>30000+150000+100000+100000+40700+91256+30000+12298</f>
        <v>554254</v>
      </c>
      <c r="I60" s="37">
        <f t="shared" si="5"/>
        <v>603311.72</v>
      </c>
      <c r="J60" s="15">
        <f t="shared" si="3"/>
        <v>0.15000000002328306</v>
      </c>
      <c r="L60" s="60" t="s">
        <v>241</v>
      </c>
      <c r="M60" s="60"/>
      <c r="N60" s="60"/>
      <c r="O60" s="60"/>
      <c r="U60" s="95">
        <v>42170</v>
      </c>
      <c r="V60" s="94" t="s">
        <v>160</v>
      </c>
      <c r="W60" s="96">
        <v>2000</v>
      </c>
      <c r="X60" s="4" t="s">
        <v>317</v>
      </c>
    </row>
    <row r="61" spans="1:24" s="4" customFormat="1" ht="15.75" x14ac:dyDescent="0.25">
      <c r="A61" s="9">
        <v>42053</v>
      </c>
      <c r="B61" s="10">
        <f>204410.14+736600.7</f>
        <v>941010.84</v>
      </c>
      <c r="C61" s="10">
        <f>12095.96+197298.9</f>
        <v>209394.86</v>
      </c>
      <c r="D61" s="11">
        <f t="shared" si="4"/>
        <v>731615.98</v>
      </c>
      <c r="E61" s="93" t="s">
        <v>9</v>
      </c>
      <c r="F61" s="15">
        <v>3880.14</v>
      </c>
      <c r="G61" s="15">
        <f>100105.94+36899.4+146671.45+5412+17514.9</f>
        <v>306603.69000000006</v>
      </c>
      <c r="H61" s="15">
        <f>145000+78000+22930+1014.6+64577.1+46697+7455.6+22455.8+33002</f>
        <v>421132.1</v>
      </c>
      <c r="I61" s="37">
        <f t="shared" si="5"/>
        <v>731615.93</v>
      </c>
      <c r="J61" s="15">
        <f t="shared" si="3"/>
        <v>-4.9999999930150807E-2</v>
      </c>
      <c r="U61" s="95">
        <v>42175</v>
      </c>
      <c r="V61" s="94" t="s">
        <v>160</v>
      </c>
      <c r="W61" s="96">
        <v>2000</v>
      </c>
      <c r="X61" s="4" t="s">
        <v>318</v>
      </c>
    </row>
    <row r="62" spans="1:24" s="4" customFormat="1" ht="15.75" x14ac:dyDescent="0.25">
      <c r="A62" s="9">
        <v>42054</v>
      </c>
      <c r="B62" s="10">
        <f>356828.8+412201.62</f>
        <v>769030.41999999993</v>
      </c>
      <c r="C62" s="10">
        <f>15707+92760</f>
        <v>108467</v>
      </c>
      <c r="D62" s="11">
        <f t="shared" si="4"/>
        <v>660563.41999999993</v>
      </c>
      <c r="E62" s="93" t="s">
        <v>9</v>
      </c>
      <c r="F62" s="15">
        <v>4054.5</v>
      </c>
      <c r="G62" s="15">
        <f>2424+6324.8+8114.4</f>
        <v>16863.199999999997</v>
      </c>
      <c r="H62" s="15">
        <f>80000+80551+125000+80000+75900+53100+41095+104000</f>
        <v>639646</v>
      </c>
      <c r="I62" s="37">
        <f t="shared" si="5"/>
        <v>660563.69999999995</v>
      </c>
      <c r="J62" s="15">
        <f t="shared" si="3"/>
        <v>0.28000000002793968</v>
      </c>
      <c r="U62" s="95">
        <v>42189</v>
      </c>
      <c r="V62" s="94" t="s">
        <v>160</v>
      </c>
      <c r="W62" s="96">
        <v>4000</v>
      </c>
      <c r="X62" s="4" t="s">
        <v>391</v>
      </c>
    </row>
    <row r="63" spans="1:24" s="4" customFormat="1" ht="15.75" x14ac:dyDescent="0.25">
      <c r="A63" s="9">
        <v>42055</v>
      </c>
      <c r="B63" s="10">
        <f>255954.19+1596305.85</f>
        <v>1852260.04</v>
      </c>
      <c r="C63" s="10">
        <f>4113+250+65126.65</f>
        <v>69489.649999999994</v>
      </c>
      <c r="D63" s="11">
        <f t="shared" si="4"/>
        <v>1782770.3900000001</v>
      </c>
      <c r="E63" s="93" t="s">
        <v>9</v>
      </c>
      <c r="F63" s="15">
        <v>3167.88</v>
      </c>
      <c r="G63" s="15">
        <f>5146.8+8323+9323</f>
        <v>22792.799999999999</v>
      </c>
      <c r="H63" s="15">
        <f>43353+110000+100000+43000+50000+42034.92+1507.5+8580+17846.1+16530.5+1504.8+6000+46220+25673.61+76596.68+40542.7+15000+4720+40121+69725.5+23187+38554+28127+57589.5+89942.5+28176+500+29496+37516+26200+27762+18266.7+20440+90000+60000+105000+135000+44000+17544.5+30124+45471.5+44956.5</f>
        <v>1756809.5099999998</v>
      </c>
      <c r="I63" s="37">
        <f t="shared" si="5"/>
        <v>1782770.1899999997</v>
      </c>
      <c r="J63" s="15">
        <f t="shared" si="3"/>
        <v>-0.20000000041909516</v>
      </c>
      <c r="U63" s="95">
        <v>42203</v>
      </c>
      <c r="V63" s="94" t="s">
        <v>160</v>
      </c>
      <c r="W63" s="96">
        <v>4000</v>
      </c>
      <c r="X63" s="4" t="s">
        <v>392</v>
      </c>
    </row>
    <row r="64" spans="1:24" s="4" customFormat="1" ht="15.75" x14ac:dyDescent="0.25">
      <c r="A64" s="9">
        <v>42056</v>
      </c>
      <c r="B64" s="10">
        <f>414730.76+804791.32+1000</f>
        <v>1220522.08</v>
      </c>
      <c r="C64" s="10">
        <f>26946.8+53856</f>
        <v>80802.8</v>
      </c>
      <c r="D64" s="11">
        <f t="shared" si="4"/>
        <v>1139719.28</v>
      </c>
      <c r="E64" s="93" t="s">
        <v>9</v>
      </c>
      <c r="F64" s="15">
        <v>12093</v>
      </c>
      <c r="G64" s="15">
        <f>7199+17933.2+43455.26+43834.5+93519.9+41144+130192.97</f>
        <v>377278.82999999996</v>
      </c>
      <c r="H64" s="15">
        <f>106400+150000+47150+100000+70130+90000+73750+21100+15698.4+25408.72+49710+1000</f>
        <v>750347.12</v>
      </c>
      <c r="I64" s="37">
        <f t="shared" si="5"/>
        <v>1139718.95</v>
      </c>
      <c r="J64" s="15">
        <f t="shared" si="3"/>
        <v>-0.33000000007450581</v>
      </c>
      <c r="U64" s="95">
        <v>42210</v>
      </c>
      <c r="V64" s="94" t="s">
        <v>160</v>
      </c>
      <c r="W64" s="96">
        <v>2000</v>
      </c>
      <c r="X64" s="4" t="s">
        <v>394</v>
      </c>
    </row>
    <row r="65" spans="1:30" s="4" customFormat="1" ht="15.75" x14ac:dyDescent="0.25">
      <c r="A65" s="9">
        <v>42057</v>
      </c>
      <c r="B65" s="10">
        <f>142912.47+330224.64+17815.5+28137.23</f>
        <v>519089.83999999997</v>
      </c>
      <c r="C65" s="10">
        <f>12032+16949</f>
        <v>28981</v>
      </c>
      <c r="D65" s="11">
        <f t="shared" si="4"/>
        <v>490108.83999999997</v>
      </c>
      <c r="E65" s="93" t="s">
        <v>9</v>
      </c>
      <c r="F65" s="15">
        <v>2292</v>
      </c>
      <c r="G65" s="15">
        <f>50000+4950+4950+8204+117470</f>
        <v>185574</v>
      </c>
      <c r="H65" s="15">
        <f>40000+97000+35000+11584+75000+31166+12495</f>
        <v>302245</v>
      </c>
      <c r="I65" s="37">
        <f t="shared" si="5"/>
        <v>490111</v>
      </c>
      <c r="J65" s="15">
        <f t="shared" si="3"/>
        <v>2.1600000000325963</v>
      </c>
      <c r="U65" s="95">
        <v>42216</v>
      </c>
      <c r="V65" s="94" t="s">
        <v>160</v>
      </c>
      <c r="W65" s="96">
        <v>2000</v>
      </c>
      <c r="X65" s="4" t="s">
        <v>413</v>
      </c>
    </row>
    <row r="66" spans="1:30" s="4" customFormat="1" ht="15.75" x14ac:dyDescent="0.25">
      <c r="A66" s="9">
        <v>42058</v>
      </c>
      <c r="B66" s="10">
        <f>403533.16+1206462.44</f>
        <v>1609995.5999999999</v>
      </c>
      <c r="C66" s="10">
        <f>36474.7+2500+23667</f>
        <v>62641.7</v>
      </c>
      <c r="D66" s="11">
        <f t="shared" si="4"/>
        <v>1547353.9</v>
      </c>
      <c r="E66" s="93" t="s">
        <v>9</v>
      </c>
      <c r="F66" s="15">
        <v>9833.5</v>
      </c>
      <c r="G66" s="15">
        <v>0</v>
      </c>
      <c r="H66" s="15">
        <f>2433+24800+60000+90000+100000+41000+49000+32300+10126.4+102612+37400+60000+103000+271000+46500+28650+119500+117500+33000+22900+148758+15700</f>
        <v>1516179.4</v>
      </c>
      <c r="I66" s="37">
        <f t="shared" si="5"/>
        <v>1526012.9</v>
      </c>
      <c r="J66" s="15">
        <f t="shared" si="3"/>
        <v>-21341</v>
      </c>
      <c r="L66" s="46" t="s">
        <v>288</v>
      </c>
      <c r="M66" s="46"/>
      <c r="N66" s="46"/>
      <c r="O66" s="46"/>
      <c r="U66" s="95">
        <v>42223</v>
      </c>
      <c r="V66" s="94" t="s">
        <v>160</v>
      </c>
      <c r="W66" s="96">
        <v>2000</v>
      </c>
      <c r="X66" s="4" t="s">
        <v>436</v>
      </c>
    </row>
    <row r="67" spans="1:30" s="4" customFormat="1" ht="15.75" x14ac:dyDescent="0.25">
      <c r="A67" s="9">
        <v>42059</v>
      </c>
      <c r="B67" s="10">
        <f>130323.15+236989+74951.85+65000</f>
        <v>507264</v>
      </c>
      <c r="C67" s="10">
        <f>2954+135+5322.35+49249.5</f>
        <v>57660.85</v>
      </c>
      <c r="D67" s="11">
        <f t="shared" si="4"/>
        <v>449603.15</v>
      </c>
      <c r="E67" s="93" t="s">
        <v>9</v>
      </c>
      <c r="F67" s="15">
        <f>780+585.6</f>
        <v>1365.6</v>
      </c>
      <c r="G67" s="15">
        <v>38227</v>
      </c>
      <c r="H67" s="15">
        <f>100000+60000+41170+2000+57367.9+84300+361</f>
        <v>345198.9</v>
      </c>
      <c r="I67" s="37">
        <f t="shared" si="5"/>
        <v>384791.5</v>
      </c>
      <c r="J67" s="15">
        <f t="shared" si="3"/>
        <v>-64811.650000000023</v>
      </c>
      <c r="L67" s="60" t="s">
        <v>165</v>
      </c>
      <c r="M67" s="60"/>
      <c r="N67" s="46"/>
      <c r="O67" s="46"/>
      <c r="P67" s="46"/>
      <c r="U67" s="95">
        <v>42231</v>
      </c>
      <c r="V67" s="94" t="s">
        <v>160</v>
      </c>
      <c r="W67" s="96">
        <v>2000</v>
      </c>
      <c r="X67" s="4" t="s">
        <v>446</v>
      </c>
    </row>
    <row r="68" spans="1:30" s="4" customFormat="1" ht="15.75" x14ac:dyDescent="0.25">
      <c r="A68" s="9">
        <v>42060</v>
      </c>
      <c r="B68" s="79">
        <f>321089.22+1400089.68</f>
        <v>1721178.9</v>
      </c>
      <c r="C68" s="80">
        <f>20634.2+77796.18</f>
        <v>98430.37999999999</v>
      </c>
      <c r="D68" s="11">
        <f t="shared" si="4"/>
        <v>1622748.52</v>
      </c>
      <c r="E68" s="93" t="s">
        <v>9</v>
      </c>
      <c r="F68" s="15">
        <v>44495.199999999997</v>
      </c>
      <c r="G68" s="15">
        <f>2808.2+300000+148157.19+17016.8+3972</f>
        <v>471954.19</v>
      </c>
      <c r="H68" s="15">
        <f>22000+64000+82500+55000+60000+34000+187000+41600+19296+49792.8+37618.35+2786.94+7585+41470+26500+76500+4933+16882.5+15834.5+5711+25189+4663+10284.9+6584.4+3134+7000+5292.5+4444+59816+7200+61009.5+4957+2604+23640.54+20000+9471</f>
        <v>1106299.9300000002</v>
      </c>
      <c r="I68" s="37">
        <f t="shared" si="5"/>
        <v>1622749.32</v>
      </c>
      <c r="J68" s="15">
        <f t="shared" si="3"/>
        <v>0.80000000004656613</v>
      </c>
      <c r="U68" s="95">
        <v>42237</v>
      </c>
      <c r="V68" s="94" t="s">
        <v>160</v>
      </c>
      <c r="W68" s="96">
        <v>2000</v>
      </c>
      <c r="X68" s="4" t="s">
        <v>516</v>
      </c>
    </row>
    <row r="69" spans="1:30" s="4" customFormat="1" ht="15.75" x14ac:dyDescent="0.25">
      <c r="A69" s="9">
        <v>42061</v>
      </c>
      <c r="B69" s="10">
        <f>237762.59+646348.97</f>
        <v>884111.55999999994</v>
      </c>
      <c r="C69" s="10">
        <v>21988.560000000001</v>
      </c>
      <c r="D69" s="11">
        <f t="shared" si="4"/>
        <v>862122.99999999988</v>
      </c>
      <c r="E69" s="93" t="s">
        <v>9</v>
      </c>
      <c r="F69" s="15">
        <v>115.2</v>
      </c>
      <c r="G69" s="15">
        <f>8307.2+5797.2</f>
        <v>14104.400000000001</v>
      </c>
      <c r="H69" s="15">
        <f>17000+150000+80000+40000+30000+41000+42900+19000+153000+139631+66953.7+31281.6+25291.6+8322.4+3523</f>
        <v>847903.29999999993</v>
      </c>
      <c r="I69" s="37">
        <f t="shared" si="5"/>
        <v>862122.89999999991</v>
      </c>
      <c r="J69" s="15">
        <f t="shared" si="3"/>
        <v>-9.9999999976716936E-2</v>
      </c>
      <c r="U69" s="95">
        <v>42245</v>
      </c>
      <c r="V69" s="94" t="s">
        <v>160</v>
      </c>
      <c r="W69" s="96">
        <v>3000</v>
      </c>
      <c r="X69" s="4" t="s">
        <v>517</v>
      </c>
    </row>
    <row r="70" spans="1:30" s="4" customFormat="1" ht="15.75" x14ac:dyDescent="0.25">
      <c r="A70" s="9">
        <v>42062</v>
      </c>
      <c r="B70" s="10">
        <f>231789.77+6771575.78</f>
        <v>7003365.5499999998</v>
      </c>
      <c r="C70" s="10">
        <f>6166+139426</f>
        <v>145592</v>
      </c>
      <c r="D70" s="11">
        <f t="shared" si="4"/>
        <v>6857773.5499999998</v>
      </c>
      <c r="E70" s="93" t="s">
        <v>9</v>
      </c>
      <c r="F70" s="15">
        <v>1365.8</v>
      </c>
      <c r="G70" s="15">
        <f>8740.4+4314.6+11049.2</f>
        <v>24104.2</v>
      </c>
      <c r="H70" s="15">
        <f>13900+64000+50000+65400+60000+21970+60000+25000+33000+20575+54228+90000+25000+50000+48000+70000+50000+24702.5+56012+65000+25000+22289+26000+77000+26281+46500+95000+11625+31572.5+30000+50000+30000+33000+26134.5+7997.5+35000+15000+55000+50000+40000+75000+70633.5+1933+1278.5+1527+27900+800+22060.5+2238+64447+39700+22451+42650+50933+33719+27613+64000+65000+80000+23884+30000+50000+63000+49000+23857.5+20000+75000+15000+130000+26453+45000+45000+65000+50000+24698+80000+166800+26700+80000+100000+105000+85000+57000+80000+41000+24250+70000+60000+82107.9+178163.42+351550+100000+86500+100300+50000+71800.08+250000+230000+70000+350000+100000+190000+526025.6+10143</f>
        <v>6832303</v>
      </c>
      <c r="I70" s="37">
        <f t="shared" si="5"/>
        <v>6857773</v>
      </c>
      <c r="J70" s="15">
        <f t="shared" si="3"/>
        <v>-0.54999999981373549</v>
      </c>
      <c r="U70" s="95">
        <v>42252</v>
      </c>
      <c r="V70" s="94" t="s">
        <v>160</v>
      </c>
      <c r="W70" s="96">
        <v>2500</v>
      </c>
      <c r="X70" s="4" t="s">
        <v>544</v>
      </c>
    </row>
    <row r="71" spans="1:30" s="4" customFormat="1" ht="15.75" x14ac:dyDescent="0.25">
      <c r="A71" s="9">
        <v>42063</v>
      </c>
      <c r="B71" s="10">
        <f>343245.19+3835788.99+500</f>
        <v>4179534.18</v>
      </c>
      <c r="C71" s="10">
        <f>13336.41+250+301774.47</f>
        <v>315360.87999999995</v>
      </c>
      <c r="D71" s="11">
        <f t="shared" si="4"/>
        <v>3864173.3000000003</v>
      </c>
      <c r="E71" s="93" t="s">
        <v>9</v>
      </c>
      <c r="F71" s="15">
        <v>2637.04</v>
      </c>
      <c r="G71" s="15">
        <f>9020.4+8500+4170.4+12361.8+18990.8+25528+93951.4+103918.2+31192.2+115152.62+32180</f>
        <v>454965.82</v>
      </c>
      <c r="H71" s="15">
        <f>70000+35800+75010+69900+100+90000+85000+87500+21696.96+180000+22993+115000+80000+93000+22505+80000+80000+66000+22005.5+85000+32500+56000+24553+51000+60000+60000+30000+19396+55000+90000+108000+40000+25457+40000+67000+80000+20000+24000+70000+78000+24223+74000+2247.5+4848+7307.5+7299.5+8992+19858.5+32770+7402.5+17901+3850+31632.5+24116.5+7010.5+11185+4905.5+18083+5187.5+26429.5+3881.5+15500+5071.5+11273+29865+80627+68085+10315.5+61850+83185+12583.6+242662.6+9345.42+9531.92+7960+500</f>
        <v>3403903</v>
      </c>
      <c r="I71" s="37">
        <f t="shared" si="5"/>
        <v>3861505.86</v>
      </c>
      <c r="J71" s="15">
        <f t="shared" si="3"/>
        <v>-2667.4400000004098</v>
      </c>
      <c r="L71" s="60" t="s">
        <v>164</v>
      </c>
      <c r="M71" s="60"/>
      <c r="N71" s="60"/>
      <c r="O71" s="60"/>
      <c r="P71" s="60"/>
      <c r="U71" s="95">
        <v>42257</v>
      </c>
      <c r="V71" s="94" t="s">
        <v>160</v>
      </c>
      <c r="W71" s="96">
        <v>2500</v>
      </c>
      <c r="X71" s="4" t="s">
        <v>601</v>
      </c>
    </row>
    <row r="72" spans="1:30" s="4" customFormat="1" ht="15.75" x14ac:dyDescent="0.25">
      <c r="A72" s="9"/>
      <c r="B72" s="10"/>
      <c r="C72" s="10"/>
      <c r="D72" s="11">
        <f t="shared" si="4"/>
        <v>0</v>
      </c>
      <c r="F72" s="15"/>
      <c r="G72" s="15"/>
      <c r="H72" s="15"/>
      <c r="I72" s="37">
        <f t="shared" si="5"/>
        <v>0</v>
      </c>
      <c r="J72" s="15">
        <f t="shared" si="3"/>
        <v>0</v>
      </c>
      <c r="U72" s="95">
        <v>42264</v>
      </c>
      <c r="V72" s="94" t="s">
        <v>160</v>
      </c>
      <c r="W72" s="96">
        <v>2500</v>
      </c>
      <c r="X72" s="4" t="s">
        <v>622</v>
      </c>
    </row>
    <row r="73" spans="1:30" s="4" customFormat="1" ht="15.75" x14ac:dyDescent="0.25">
      <c r="A73" s="9"/>
      <c r="B73" s="10"/>
      <c r="C73" s="10"/>
      <c r="D73" s="11">
        <f t="shared" si="4"/>
        <v>0</v>
      </c>
      <c r="F73" s="15"/>
      <c r="G73" s="15"/>
      <c r="H73" s="15"/>
      <c r="I73" s="37">
        <f t="shared" si="5"/>
        <v>0</v>
      </c>
      <c r="J73" s="15">
        <f t="shared" si="3"/>
        <v>0</v>
      </c>
      <c r="U73" s="95">
        <v>42272</v>
      </c>
      <c r="V73" s="94" t="s">
        <v>160</v>
      </c>
      <c r="W73" s="96">
        <v>1900</v>
      </c>
      <c r="X73" s="4" t="s">
        <v>672</v>
      </c>
    </row>
    <row r="74" spans="1:30" s="4" customFormat="1" ht="15.75" x14ac:dyDescent="0.25">
      <c r="A74" s="9"/>
      <c r="B74" s="10"/>
      <c r="C74" s="10"/>
      <c r="D74" s="11">
        <f t="shared" si="4"/>
        <v>0</v>
      </c>
      <c r="F74" s="15"/>
      <c r="G74" s="15"/>
      <c r="H74" s="15"/>
      <c r="J74" s="15">
        <f t="shared" si="3"/>
        <v>0</v>
      </c>
      <c r="U74" s="95">
        <v>42280</v>
      </c>
      <c r="V74" s="94" t="s">
        <v>160</v>
      </c>
      <c r="W74" s="96">
        <v>2500</v>
      </c>
      <c r="X74" s="4" t="s">
        <v>691</v>
      </c>
    </row>
    <row r="75" spans="1:30" s="4" customFormat="1" ht="15.75" x14ac:dyDescent="0.25">
      <c r="A75" s="9"/>
      <c r="B75" s="10"/>
      <c r="C75" s="10"/>
      <c r="D75" s="11">
        <f t="shared" si="4"/>
        <v>0</v>
      </c>
      <c r="E75" s="189" t="s">
        <v>9</v>
      </c>
      <c r="G75" s="15"/>
      <c r="H75" s="15"/>
      <c r="J75" s="15">
        <f t="shared" si="3"/>
        <v>0</v>
      </c>
      <c r="U75" s="95">
        <v>42287</v>
      </c>
      <c r="V75" s="94" t="s">
        <v>160</v>
      </c>
      <c r="W75" s="96">
        <v>2500</v>
      </c>
      <c r="X75" s="4" t="s">
        <v>725</v>
      </c>
    </row>
    <row r="76" spans="1:30" s="4" customFormat="1" ht="16.5" thickBot="1" x14ac:dyDescent="0.3">
      <c r="A76" s="14"/>
      <c r="B76" s="10"/>
      <c r="C76" s="10"/>
      <c r="D76" s="11">
        <f t="shared" si="4"/>
        <v>0</v>
      </c>
      <c r="G76" s="15"/>
      <c r="H76" s="15"/>
      <c r="J76" s="15">
        <f t="shared" si="3"/>
        <v>0</v>
      </c>
      <c r="U76" s="95">
        <v>42292</v>
      </c>
      <c r="V76" s="94" t="s">
        <v>160</v>
      </c>
      <c r="W76" s="96">
        <v>2500</v>
      </c>
      <c r="X76" s="4" t="s">
        <v>763</v>
      </c>
    </row>
    <row r="77" spans="1:30" s="4" customFormat="1" ht="16.5" thickBot="1" x14ac:dyDescent="0.3">
      <c r="A77" s="14"/>
      <c r="B77" s="13"/>
      <c r="C77" s="10"/>
      <c r="D77" s="11">
        <f t="shared" si="4"/>
        <v>0</v>
      </c>
      <c r="G77" s="15"/>
      <c r="H77" s="15"/>
      <c r="J77" s="15">
        <f t="shared" si="3"/>
        <v>0</v>
      </c>
      <c r="U77" s="95">
        <v>42299</v>
      </c>
      <c r="V77" s="94" t="s">
        <v>160</v>
      </c>
      <c r="W77" s="96">
        <v>7500</v>
      </c>
      <c r="X77" s="4" t="s">
        <v>764</v>
      </c>
      <c r="Z77" s="285" t="s">
        <v>434</v>
      </c>
      <c r="AA77" s="286"/>
      <c r="AB77" s="287"/>
    </row>
    <row r="78" spans="1:30" s="4" customFormat="1" ht="16.5" thickBot="1" x14ac:dyDescent="0.3">
      <c r="A78" s="14"/>
      <c r="B78" s="10"/>
      <c r="C78" s="10"/>
      <c r="D78" s="11">
        <f t="shared" si="4"/>
        <v>0</v>
      </c>
      <c r="G78" s="15"/>
      <c r="H78" s="15"/>
      <c r="J78" s="15">
        <f t="shared" si="3"/>
        <v>0</v>
      </c>
      <c r="U78" s="95">
        <v>42322</v>
      </c>
      <c r="V78" s="94" t="s">
        <v>160</v>
      </c>
      <c r="W78" s="96">
        <v>2500</v>
      </c>
      <c r="X78" s="4" t="s">
        <v>864</v>
      </c>
      <c r="Z78" s="158">
        <v>42222</v>
      </c>
      <c r="AA78" s="159">
        <v>11893</v>
      </c>
      <c r="AB78" s="161" t="s">
        <v>433</v>
      </c>
      <c r="AC78" s="162"/>
      <c r="AD78" s="163">
        <f>AA78-AC78</f>
        <v>11893</v>
      </c>
    </row>
    <row r="79" spans="1:30" s="4" customFormat="1" ht="16.5" thickBot="1" x14ac:dyDescent="0.3">
      <c r="A79" s="14"/>
      <c r="B79" s="10">
        <f>SUM(B44:B78)</f>
        <v>44354630.649999991</v>
      </c>
      <c r="C79" s="10">
        <f>SUM(C44:C78)</f>
        <v>2903226.69</v>
      </c>
      <c r="D79" s="11">
        <f t="shared" si="4"/>
        <v>41451403.959999993</v>
      </c>
      <c r="F79" s="15"/>
      <c r="G79" s="15"/>
      <c r="H79" s="15"/>
      <c r="J79" s="15">
        <f t="shared" si="3"/>
        <v>-41451403.959999993</v>
      </c>
      <c r="U79" s="95">
        <v>42329</v>
      </c>
      <c r="V79" s="94" t="s">
        <v>160</v>
      </c>
      <c r="W79" s="96">
        <v>2500</v>
      </c>
      <c r="X79" s="4" t="s">
        <v>886</v>
      </c>
      <c r="Z79" s="156"/>
      <c r="AA79" s="160"/>
      <c r="AB79" s="164"/>
      <c r="AC79" s="162"/>
      <c r="AD79" s="163">
        <f>AA78-AC79</f>
        <v>11893</v>
      </c>
    </row>
    <row r="80" spans="1:30" ht="15.75" thickBot="1" x14ac:dyDescent="0.3">
      <c r="U80" s="94"/>
      <c r="V80" s="94"/>
      <c r="W80" s="96"/>
      <c r="X80" s="4"/>
      <c r="Z80" s="99"/>
      <c r="AA80" s="120"/>
      <c r="AB80" s="165"/>
      <c r="AC80" s="151"/>
      <c r="AD80" s="163">
        <f t="shared" ref="AD80:AD95" si="6">AD79-AC80</f>
        <v>11893</v>
      </c>
    </row>
    <row r="81" spans="1:30" s="4" customFormat="1" ht="19.5" thickBot="1" x14ac:dyDescent="0.35">
      <c r="A81" s="1"/>
      <c r="B81" s="57" t="s">
        <v>55</v>
      </c>
      <c r="C81" s="57"/>
      <c r="D81" s="2"/>
      <c r="E81" s="3"/>
      <c r="G81" s="15"/>
      <c r="U81" s="94"/>
      <c r="V81" s="94"/>
      <c r="W81" s="96"/>
      <c r="Z81" s="156"/>
      <c r="AA81" s="160"/>
      <c r="AB81" s="157"/>
      <c r="AC81" s="162"/>
      <c r="AD81" s="163">
        <f t="shared" si="6"/>
        <v>11893</v>
      </c>
    </row>
    <row r="82" spans="1:30" s="4" customFormat="1" ht="16.5" thickBot="1" x14ac:dyDescent="0.3">
      <c r="A82" s="5"/>
      <c r="B82" s="6"/>
      <c r="C82" s="23" t="s">
        <v>6</v>
      </c>
      <c r="D82" s="7"/>
      <c r="E82" s="3"/>
      <c r="G82" s="15"/>
      <c r="U82" s="94"/>
      <c r="V82" s="94"/>
      <c r="W82" s="96"/>
      <c r="Z82" s="156"/>
      <c r="AA82" s="160"/>
      <c r="AB82" s="157"/>
      <c r="AC82" s="162"/>
      <c r="AD82" s="163">
        <f t="shared" si="6"/>
        <v>11893</v>
      </c>
    </row>
    <row r="83" spans="1:30" s="4" customFormat="1" ht="16.5" thickBot="1" x14ac:dyDescent="0.3">
      <c r="A83" s="19" t="s">
        <v>0</v>
      </c>
      <c r="B83" s="20" t="s">
        <v>1</v>
      </c>
      <c r="C83" s="21" t="s">
        <v>2</v>
      </c>
      <c r="D83" s="22" t="s">
        <v>4</v>
      </c>
      <c r="E83" s="3"/>
      <c r="F83" s="38" t="s">
        <v>19</v>
      </c>
      <c r="G83" s="32" t="s">
        <v>10</v>
      </c>
      <c r="H83" s="27" t="s">
        <v>8</v>
      </c>
      <c r="I83" s="50"/>
      <c r="J83" s="33" t="s">
        <v>11</v>
      </c>
      <c r="K83" s="34" t="s">
        <v>13</v>
      </c>
      <c r="U83" s="94"/>
      <c r="V83" s="94"/>
      <c r="W83" s="96"/>
      <c r="Z83" s="156"/>
      <c r="AA83" s="160"/>
      <c r="AB83" s="157"/>
      <c r="AC83" s="162"/>
      <c r="AD83" s="163">
        <f t="shared" si="6"/>
        <v>11893</v>
      </c>
    </row>
    <row r="84" spans="1:30" s="4" customFormat="1" ht="17.25" thickTop="1" thickBot="1" x14ac:dyDescent="0.3">
      <c r="A84" s="9">
        <v>42064</v>
      </c>
      <c r="B84" s="10">
        <f>207075.7+388328.23</f>
        <v>595403.92999999993</v>
      </c>
      <c r="C84" s="10">
        <v>11630.9</v>
      </c>
      <c r="D84" s="11">
        <f>B84-C84</f>
        <v>583773.02999999991</v>
      </c>
      <c r="E84" s="25" t="s">
        <v>9</v>
      </c>
      <c r="F84" s="15">
        <v>0</v>
      </c>
      <c r="G84" s="15">
        <v>255454.5</v>
      </c>
      <c r="H84" s="15">
        <f>70000+50000+70000+90000+43000+5320</f>
        <v>328320</v>
      </c>
      <c r="I84" s="37">
        <f>H84+G84+F84</f>
        <v>583774.5</v>
      </c>
      <c r="J84" s="15">
        <f t="shared" ref="J84:J119" si="7">H84+G84+F84-D84</f>
        <v>1.4700000000884756</v>
      </c>
      <c r="K84" s="98">
        <v>255454.5</v>
      </c>
      <c r="U84" s="94"/>
      <c r="V84" s="94"/>
      <c r="W84" s="96"/>
      <c r="Z84" s="156"/>
      <c r="AA84" s="160"/>
      <c r="AB84" s="157"/>
      <c r="AC84" s="162"/>
      <c r="AD84" s="163">
        <f t="shared" si="6"/>
        <v>11893</v>
      </c>
    </row>
    <row r="85" spans="1:30" s="4" customFormat="1" ht="16.5" thickBot="1" x14ac:dyDescent="0.3">
      <c r="A85" s="9">
        <v>42065</v>
      </c>
      <c r="B85" s="10">
        <f>231823.05+701296.96</f>
        <v>933120.01</v>
      </c>
      <c r="C85" s="10">
        <f>20312.2+69856.68</f>
        <v>90168.87999999999</v>
      </c>
      <c r="D85" s="11">
        <f t="shared" ref="D85:D119" si="8">B85-C85</f>
        <v>842951.13</v>
      </c>
      <c r="E85" s="42"/>
      <c r="F85" s="31">
        <v>0</v>
      </c>
      <c r="G85" s="31">
        <f>5411.2+2184</f>
        <v>7595.2</v>
      </c>
      <c r="H85" s="15">
        <f>17800+110000+90000+28500+42718.55+510380+29680+6177.5</f>
        <v>835256.05</v>
      </c>
      <c r="I85" s="37">
        <f t="shared" ref="I85:I114" si="9">H85+G85+F85</f>
        <v>842851.25</v>
      </c>
      <c r="J85" s="15">
        <f t="shared" si="7"/>
        <v>-99.880000000004657</v>
      </c>
      <c r="L85" s="39" t="s">
        <v>268</v>
      </c>
      <c r="U85" s="94"/>
      <c r="V85" s="94"/>
      <c r="W85" s="96"/>
      <c r="Z85" s="156"/>
      <c r="AA85" s="160"/>
      <c r="AB85" s="157"/>
      <c r="AC85" s="162"/>
      <c r="AD85" s="163">
        <f t="shared" si="6"/>
        <v>11893</v>
      </c>
    </row>
    <row r="86" spans="1:30" s="4" customFormat="1" ht="16.5" thickBot="1" x14ac:dyDescent="0.3">
      <c r="A86" s="9">
        <v>42066</v>
      </c>
      <c r="B86" s="10">
        <f>248365.09+970559.29</f>
        <v>1218924.3800000001</v>
      </c>
      <c r="C86" s="10">
        <f>23144.54+147762.1</f>
        <v>170906.64</v>
      </c>
      <c r="D86" s="11">
        <f t="shared" si="8"/>
        <v>1048017.7400000001</v>
      </c>
      <c r="E86" s="25" t="s">
        <v>9</v>
      </c>
      <c r="F86" s="15">
        <v>5331.2</v>
      </c>
      <c r="G86" s="15">
        <v>3284</v>
      </c>
      <c r="H86" s="15">
        <f>83500+74500+48300+20700+53300+65000+211000+126500+153512+9933.4+79200+65000+44850+4107</f>
        <v>1039402.4</v>
      </c>
      <c r="I86" s="37">
        <f t="shared" si="9"/>
        <v>1048017.6</v>
      </c>
      <c r="J86" s="15">
        <f t="shared" si="7"/>
        <v>-0.14000000013038516</v>
      </c>
      <c r="K86" s="43"/>
      <c r="U86" s="94"/>
      <c r="V86" s="94"/>
      <c r="W86" s="96"/>
      <c r="Z86" s="156"/>
      <c r="AA86" s="160"/>
      <c r="AB86" s="157"/>
      <c r="AC86" s="162"/>
      <c r="AD86" s="163">
        <f t="shared" si="6"/>
        <v>11893</v>
      </c>
    </row>
    <row r="87" spans="1:30" s="4" customFormat="1" ht="16.5" thickBot="1" x14ac:dyDescent="0.3">
      <c r="A87" s="9">
        <v>42067</v>
      </c>
      <c r="B87" s="10">
        <f>316121.06+565245.8</f>
        <v>881366.8600000001</v>
      </c>
      <c r="C87" s="10">
        <f>37807.11+141</f>
        <v>37948.11</v>
      </c>
      <c r="D87" s="11">
        <f t="shared" si="8"/>
        <v>843418.75000000012</v>
      </c>
      <c r="E87" s="25" t="s">
        <v>9</v>
      </c>
      <c r="F87" s="15">
        <v>762.4</v>
      </c>
      <c r="G87" s="15">
        <f>3936+29141.3+135719.59</f>
        <v>168796.89</v>
      </c>
      <c r="H87" s="15">
        <f>106000+170690+90000+85000+50300+31650+9370.8+7200+7466+47711.6+63754.5+4417+300</f>
        <v>673859.9</v>
      </c>
      <c r="I87" s="37">
        <f t="shared" si="9"/>
        <v>843419.19000000006</v>
      </c>
      <c r="J87" s="15">
        <f t="shared" si="7"/>
        <v>0.43999999994412065</v>
      </c>
      <c r="U87" s="94"/>
      <c r="V87" s="94"/>
      <c r="W87" s="96"/>
      <c r="Z87" s="156"/>
      <c r="AA87" s="160"/>
      <c r="AB87" s="157"/>
      <c r="AC87" s="162"/>
      <c r="AD87" s="163">
        <f t="shared" si="6"/>
        <v>11893</v>
      </c>
    </row>
    <row r="88" spans="1:30" s="4" customFormat="1" ht="16.5" thickBot="1" x14ac:dyDescent="0.3">
      <c r="A88" s="9">
        <v>42068</v>
      </c>
      <c r="B88" s="10">
        <f>219803.83+969169.97</f>
        <v>1188973.8</v>
      </c>
      <c r="C88" s="10">
        <f>11604.6+123573.9</f>
        <v>135178.5</v>
      </c>
      <c r="D88" s="11">
        <f t="shared" si="8"/>
        <v>1053795.3</v>
      </c>
      <c r="E88" s="25" t="s">
        <v>9</v>
      </c>
      <c r="F88" s="15">
        <v>6658.2</v>
      </c>
      <c r="G88" s="15">
        <f>11909.8+9830</f>
        <v>21739.8</v>
      </c>
      <c r="H88" s="15">
        <f>33780+108250+115000+90000+35000+52405+139000+125000+16400+50000+54500+30000+34000+60700+14650+11930+20000+34782</f>
        <v>1025397</v>
      </c>
      <c r="I88" s="37">
        <f t="shared" si="9"/>
        <v>1053795</v>
      </c>
      <c r="J88" s="15">
        <f t="shared" si="7"/>
        <v>-0.30000000004656613</v>
      </c>
      <c r="U88" s="94"/>
      <c r="V88" s="94"/>
      <c r="W88" s="96"/>
      <c r="Z88" s="156"/>
      <c r="AA88" s="160"/>
      <c r="AB88" s="157"/>
      <c r="AC88" s="162"/>
      <c r="AD88" s="163">
        <f t="shared" si="6"/>
        <v>11893</v>
      </c>
    </row>
    <row r="89" spans="1:30" s="4" customFormat="1" ht="16.5" thickBot="1" x14ac:dyDescent="0.3">
      <c r="A89" s="9">
        <v>42069</v>
      </c>
      <c r="B89" s="10">
        <f>365142.21+155785.01</f>
        <v>520927.22000000003</v>
      </c>
      <c r="C89" s="10">
        <f>9504.5+213079.35</f>
        <v>222583.85</v>
      </c>
      <c r="D89" s="11">
        <f t="shared" si="8"/>
        <v>298343.37</v>
      </c>
      <c r="E89" s="25" t="s">
        <v>9</v>
      </c>
      <c r="F89" s="15">
        <v>76</v>
      </c>
      <c r="G89" s="15">
        <f>18039.6+17541.6+120566+35369.35+8651.6+6400+8400+37469+28432.45</f>
        <v>280869.60000000003</v>
      </c>
      <c r="H89" s="15">
        <f>13117+88300+52406+25867.2+19107+19904+6988.96+49799.75+7406</f>
        <v>282895.91000000003</v>
      </c>
      <c r="I89" s="37">
        <f t="shared" si="9"/>
        <v>563841.51</v>
      </c>
      <c r="J89" s="15">
        <f t="shared" si="7"/>
        <v>265498.14</v>
      </c>
      <c r="L89" s="60" t="s">
        <v>158</v>
      </c>
      <c r="M89" s="60"/>
      <c r="U89" s="94"/>
      <c r="V89" s="94"/>
      <c r="W89" s="96"/>
      <c r="Z89" s="156"/>
      <c r="AA89" s="160"/>
      <c r="AB89" s="157"/>
      <c r="AC89" s="162"/>
      <c r="AD89" s="163">
        <f t="shared" si="6"/>
        <v>11893</v>
      </c>
    </row>
    <row r="90" spans="1:30" s="4" customFormat="1" ht="16.5" thickBot="1" x14ac:dyDescent="0.3">
      <c r="A90" s="9">
        <v>42070</v>
      </c>
      <c r="B90" s="10">
        <f>503811.18+1017094.66+15000</f>
        <v>1535905.84</v>
      </c>
      <c r="C90" s="10">
        <f>23734.94+126126.5</f>
        <v>149861.44</v>
      </c>
      <c r="D90" s="11">
        <f t="shared" si="8"/>
        <v>1386044.4000000001</v>
      </c>
      <c r="E90" s="25" t="s">
        <v>9</v>
      </c>
      <c r="F90" s="15">
        <v>8320.08</v>
      </c>
      <c r="G90" s="15">
        <f>24420+17541.6+120566+35369.35+8651.6+6400+8400+37469+28432.45+149774.93+49871.25</f>
        <v>486896.18</v>
      </c>
      <c r="H90" s="15">
        <f>56000+50000+130200+94390+70000+56000+41200+46300+40450+52500+157000+4778.12+19449.6+7682.8+17373.6+30000+2503+7500+7500</f>
        <v>890827.12</v>
      </c>
      <c r="I90" s="37">
        <f t="shared" si="9"/>
        <v>1386043.3800000001</v>
      </c>
      <c r="J90" s="15">
        <f t="shared" si="7"/>
        <v>-1.0200000000186265</v>
      </c>
      <c r="K90" s="97">
        <v>49871.25</v>
      </c>
      <c r="U90" s="94"/>
      <c r="V90" s="94"/>
      <c r="W90" s="96"/>
      <c r="Z90" s="156"/>
      <c r="AA90" s="160"/>
      <c r="AB90" s="157"/>
      <c r="AC90" s="162"/>
      <c r="AD90" s="163">
        <f t="shared" si="6"/>
        <v>11893</v>
      </c>
    </row>
    <row r="91" spans="1:30" s="4" customFormat="1" ht="16.5" thickBot="1" x14ac:dyDescent="0.3">
      <c r="A91" s="9">
        <v>42071</v>
      </c>
      <c r="B91" s="10">
        <f>161080.2+150706.87</f>
        <v>311787.07</v>
      </c>
      <c r="C91" s="10">
        <v>88871</v>
      </c>
      <c r="D91" s="11">
        <f t="shared" si="8"/>
        <v>222916.07</v>
      </c>
      <c r="E91" s="25" t="s">
        <v>9</v>
      </c>
      <c r="F91" s="15">
        <v>14910.66</v>
      </c>
      <c r="G91" s="15">
        <v>3575.1</v>
      </c>
      <c r="H91" s="15">
        <f>31000+74700+18400+80+946.8+22047.6+7408.14+680.4+49167</f>
        <v>204429.94</v>
      </c>
      <c r="I91" s="37">
        <f t="shared" si="9"/>
        <v>222915.7</v>
      </c>
      <c r="J91" s="15">
        <f t="shared" si="7"/>
        <v>-0.36999999999534339</v>
      </c>
      <c r="U91" s="94"/>
      <c r="V91" s="94"/>
      <c r="W91" s="96"/>
      <c r="Z91" s="156"/>
      <c r="AA91" s="160"/>
      <c r="AB91" s="157"/>
      <c r="AC91" s="162"/>
      <c r="AD91" s="163">
        <f t="shared" si="6"/>
        <v>11893</v>
      </c>
    </row>
    <row r="92" spans="1:30" s="4" customFormat="1" ht="16.5" thickBot="1" x14ac:dyDescent="0.3">
      <c r="A92" s="9">
        <v>42072</v>
      </c>
      <c r="B92" s="10">
        <f>287618.96+98533.3+500</f>
        <v>386652.26</v>
      </c>
      <c r="C92" s="10">
        <f>25981.89+787+164537.2</f>
        <v>191306.09000000003</v>
      </c>
      <c r="D92" s="11">
        <f t="shared" si="8"/>
        <v>195346.16999999998</v>
      </c>
      <c r="E92" s="25" t="s">
        <v>9</v>
      </c>
      <c r="F92" s="15">
        <v>105</v>
      </c>
      <c r="G92" s="15">
        <v>0</v>
      </c>
      <c r="H92" s="15">
        <f>56300+11180+100000+27261+500</f>
        <v>195241</v>
      </c>
      <c r="I92" s="37">
        <f t="shared" si="9"/>
        <v>195346</v>
      </c>
      <c r="J92" s="15">
        <f t="shared" si="7"/>
        <v>-0.16999999998370185</v>
      </c>
      <c r="U92" s="94"/>
      <c r="V92" s="94"/>
      <c r="W92" s="96"/>
      <c r="Z92" s="156"/>
      <c r="AA92" s="160"/>
      <c r="AB92" s="157"/>
      <c r="AC92" s="162"/>
      <c r="AD92" s="163">
        <f t="shared" si="6"/>
        <v>11893</v>
      </c>
    </row>
    <row r="93" spans="1:30" s="4" customFormat="1" ht="16.5" thickBot="1" x14ac:dyDescent="0.3">
      <c r="A93" s="9">
        <v>42073</v>
      </c>
      <c r="B93" s="10">
        <f>354240.15+303811.39</f>
        <v>658051.54</v>
      </c>
      <c r="C93" s="10">
        <f>44946.52+6515.55+155720.4</f>
        <v>207182.47</v>
      </c>
      <c r="D93" s="11">
        <f t="shared" si="8"/>
        <v>450869.07000000007</v>
      </c>
      <c r="E93" s="25" t="s">
        <v>9</v>
      </c>
      <c r="F93" s="15">
        <v>334</v>
      </c>
      <c r="G93" s="15">
        <f>12645.4+18056.35</f>
        <v>30701.75</v>
      </c>
      <c r="H93" s="15">
        <f>21000+14100+67110+52000+110000+53259.8+20000+65718.05+16647</f>
        <v>419834.85</v>
      </c>
      <c r="I93" s="37">
        <f t="shared" si="9"/>
        <v>450870.6</v>
      </c>
      <c r="J93" s="15">
        <f t="shared" si="7"/>
        <v>1.5299999999115244</v>
      </c>
      <c r="U93" s="94"/>
      <c r="V93" s="94"/>
      <c r="W93" s="96"/>
      <c r="Z93" s="156"/>
      <c r="AA93" s="160"/>
      <c r="AB93" s="157"/>
      <c r="AC93" s="162"/>
      <c r="AD93" s="163">
        <f t="shared" si="6"/>
        <v>11893</v>
      </c>
    </row>
    <row r="94" spans="1:30" s="4" customFormat="1" ht="16.5" thickBot="1" x14ac:dyDescent="0.3">
      <c r="A94" s="9">
        <v>42074</v>
      </c>
      <c r="B94" s="10">
        <f>354424.86+2919427.69</f>
        <v>3273852.55</v>
      </c>
      <c r="C94" s="10">
        <v>21439.4</v>
      </c>
      <c r="D94" s="11">
        <f t="shared" si="8"/>
        <v>3252413.15</v>
      </c>
      <c r="E94" s="25" t="s">
        <v>9</v>
      </c>
      <c r="F94" s="15">
        <v>5668</v>
      </c>
      <c r="G94" s="15">
        <f>134378.65+12337.2+544.8+143601.41</f>
        <v>290862.06</v>
      </c>
      <c r="H94" s="15">
        <f>45800+104800+121050+20400+87575+105100+48000+85000+60000+2726.5+35870+4297.5+33950+34533+32642.5+38123+45370.5+52040+630.5+48200+56350+4792+33550+4119+28484.5+32051+40000+40000+75000+25550+81000+21356.5+60000+70000+90000+50000+50000+65000+46000+22516+22990+95000+40000+50000+98500+28087+20000+59000+23829+50000+57000+82000+26420+75000+80000+100000+81000+31195+4752.51+4702.5+962.49+23570</f>
        <v>2955886</v>
      </c>
      <c r="I94" s="37">
        <f t="shared" si="9"/>
        <v>3252416.06</v>
      </c>
      <c r="J94" s="15">
        <f t="shared" si="7"/>
        <v>2.9100000001490116</v>
      </c>
      <c r="Z94" s="156"/>
      <c r="AA94" s="160"/>
      <c r="AB94" s="157"/>
      <c r="AC94" s="162"/>
      <c r="AD94" s="163">
        <f t="shared" si="6"/>
        <v>11893</v>
      </c>
    </row>
    <row r="95" spans="1:30" s="4" customFormat="1" ht="16.5" thickBot="1" x14ac:dyDescent="0.3">
      <c r="A95" s="9">
        <v>42075</v>
      </c>
      <c r="B95" s="10">
        <f>274624+2518621.3</f>
        <v>2793245.3</v>
      </c>
      <c r="C95" s="10">
        <f>2631+34648.56</f>
        <v>37279.56</v>
      </c>
      <c r="D95" s="11">
        <f t="shared" si="8"/>
        <v>2755965.7399999998</v>
      </c>
      <c r="E95" s="25" t="s">
        <v>9</v>
      </c>
      <c r="F95" s="15">
        <v>500000</v>
      </c>
      <c r="G95" s="15">
        <v>19183.75</v>
      </c>
      <c r="H95" s="15">
        <f>13220+123300+93500+85000+14685.4+31500+7711.5+129000+17000+50000+152000+101500+100000+123500+22000+30000+4592+40000+65000+22700+60000+35000+65000+19812+37000+14229.5+17000+60000+60000+13716+37000+45000+8610.5+17555+15000+49263+27484.5+13000+23548.5+21500+8476.5+50000+30000+19607.5+24000+32243+40000+55000+60000+8910.8+42617</f>
        <v>2236782.6999999997</v>
      </c>
      <c r="I95" s="37">
        <f t="shared" si="9"/>
        <v>2755966.4499999997</v>
      </c>
      <c r="J95" s="15">
        <f t="shared" si="7"/>
        <v>0.7099999999627471</v>
      </c>
      <c r="Z95" s="156"/>
      <c r="AA95" s="160"/>
      <c r="AB95" s="157"/>
      <c r="AC95" s="162"/>
      <c r="AD95" s="163">
        <f t="shared" si="6"/>
        <v>11893</v>
      </c>
    </row>
    <row r="96" spans="1:30" s="4" customFormat="1" ht="16.5" thickBot="1" x14ac:dyDescent="0.3">
      <c r="A96" s="9">
        <v>42076</v>
      </c>
      <c r="B96" s="10">
        <f>244993.6+65660.4</f>
        <v>310654</v>
      </c>
      <c r="C96" s="10">
        <f>9004.67+47729.85</f>
        <v>56734.52</v>
      </c>
      <c r="D96" s="11">
        <f t="shared" si="8"/>
        <v>253919.48</v>
      </c>
      <c r="E96" s="25" t="s">
        <v>9</v>
      </c>
      <c r="F96" s="15">
        <v>0</v>
      </c>
      <c r="G96" s="15">
        <v>0</v>
      </c>
      <c r="H96" s="15">
        <f>155000+31100+22200+45619.5</f>
        <v>253919.5</v>
      </c>
      <c r="I96" s="37">
        <f t="shared" si="9"/>
        <v>253919.5</v>
      </c>
      <c r="J96" s="15">
        <f t="shared" si="7"/>
        <v>1.9999999989522621E-2</v>
      </c>
      <c r="Z96" s="156"/>
      <c r="AA96" s="160"/>
      <c r="AB96" s="157"/>
      <c r="AC96" s="162"/>
      <c r="AD96" s="163">
        <f t="shared" ref="AD96:AD109" si="10">AA95-AC96</f>
        <v>0</v>
      </c>
    </row>
    <row r="97" spans="1:30" s="4" customFormat="1" ht="16.5" thickBot="1" x14ac:dyDescent="0.3">
      <c r="A97" s="9">
        <v>42077</v>
      </c>
      <c r="B97" s="10">
        <f>423964.7+1432478.35+1000</f>
        <v>1857443.05</v>
      </c>
      <c r="C97" s="10">
        <f>17473.5+1000+70831.7</f>
        <v>89305.2</v>
      </c>
      <c r="D97" s="11">
        <f t="shared" si="8"/>
        <v>1768137.85</v>
      </c>
      <c r="E97" s="25" t="s">
        <v>9</v>
      </c>
      <c r="F97" s="15">
        <v>193</v>
      </c>
      <c r="G97" s="15">
        <f>7200+6214.8+8966.8+18527.8+ 88669+24184+31765.95+24124</f>
        <v>209652.35</v>
      </c>
      <c r="H97" s="15">
        <f>46700+94266+106200+80000+42000+67600+66144.25+24122.2+101680+54500+50000+36000+39896+54000+64900+10814+5311.7+20000+10936+54000+12230+6000+972+10000+15062.5+30946.5+4700+42300+4000+37762+5646.5+19932.5+15015.5+2812+8287+6045.5+12705+4177.5+24631+6058+25799+23500+7122.5+5587.5+7102+3564.5+29116+3864+5305.5+40264.5+5383.5+39249.5+29325.84+7675.98+10570+1111</f>
        <v>1542894.97</v>
      </c>
      <c r="I97" s="37">
        <f t="shared" si="9"/>
        <v>1752740.32</v>
      </c>
      <c r="J97" s="15">
        <f t="shared" si="7"/>
        <v>-15397.530000000028</v>
      </c>
      <c r="L97" s="60" t="s">
        <v>269</v>
      </c>
      <c r="M97" s="60"/>
      <c r="N97" s="60"/>
      <c r="O97" s="60"/>
      <c r="P97" s="60"/>
      <c r="Q97" s="60"/>
      <c r="R97" s="60"/>
      <c r="Z97" s="156"/>
      <c r="AA97" s="160"/>
      <c r="AB97" s="157"/>
      <c r="AC97" s="162"/>
      <c r="AD97" s="163">
        <f t="shared" si="10"/>
        <v>0</v>
      </c>
    </row>
    <row r="98" spans="1:30" s="4" customFormat="1" ht="16.5" thickBot="1" x14ac:dyDescent="0.3">
      <c r="A98" s="9">
        <v>42078</v>
      </c>
      <c r="B98" s="10">
        <f>235289.79+515358.34</f>
        <v>750648.13</v>
      </c>
      <c r="C98" s="10">
        <f>9799+56839.2</f>
        <v>66638.2</v>
      </c>
      <c r="D98" s="11">
        <f t="shared" si="8"/>
        <v>684009.93</v>
      </c>
      <c r="E98" s="25" t="s">
        <v>9</v>
      </c>
      <c r="F98" s="15">
        <v>0</v>
      </c>
      <c r="G98" s="15">
        <f>243261.14+148809.15</f>
        <v>392070.29000000004</v>
      </c>
      <c r="H98" s="15">
        <f>53500+100000+65500+72500+15837</f>
        <v>307337</v>
      </c>
      <c r="I98" s="37">
        <f t="shared" si="9"/>
        <v>699407.29</v>
      </c>
      <c r="J98" s="15">
        <f t="shared" si="7"/>
        <v>15397.359999999986</v>
      </c>
      <c r="L98" s="60" t="s">
        <v>163</v>
      </c>
      <c r="M98" s="60"/>
      <c r="N98" s="60"/>
      <c r="O98" s="60"/>
      <c r="P98" s="60"/>
      <c r="Z98" s="156"/>
      <c r="AA98" s="160"/>
      <c r="AB98" s="157"/>
      <c r="AC98" s="162"/>
      <c r="AD98" s="163">
        <f t="shared" si="10"/>
        <v>0</v>
      </c>
    </row>
    <row r="99" spans="1:30" s="4" customFormat="1" ht="16.5" thickBot="1" x14ac:dyDescent="0.3">
      <c r="A99" s="9">
        <v>42079</v>
      </c>
      <c r="B99" s="10">
        <f>203199.95+368384.63</f>
        <v>571584.58000000007</v>
      </c>
      <c r="C99" s="10">
        <f>12107.68+109365.35</f>
        <v>121473.03</v>
      </c>
      <c r="D99" s="11">
        <f t="shared" si="8"/>
        <v>450111.55000000005</v>
      </c>
      <c r="E99" s="25" t="s">
        <v>9</v>
      </c>
      <c r="F99" s="15">
        <v>0</v>
      </c>
      <c r="G99" s="15">
        <f>22558.8+26856.12+14299.2</f>
        <v>63714.119999999995</v>
      </c>
      <c r="H99" s="15">
        <f>52700+110000+90000+48500+79000+6198</f>
        <v>386398</v>
      </c>
      <c r="I99" s="37">
        <f t="shared" si="9"/>
        <v>450112.12</v>
      </c>
      <c r="J99" s="15">
        <f t="shared" si="7"/>
        <v>0.56999999994877726</v>
      </c>
      <c r="Z99" s="156"/>
      <c r="AA99" s="160"/>
      <c r="AB99" s="157"/>
      <c r="AC99" s="162"/>
      <c r="AD99" s="163">
        <f t="shared" si="10"/>
        <v>0</v>
      </c>
    </row>
    <row r="100" spans="1:30" s="4" customFormat="1" ht="16.5" thickBot="1" x14ac:dyDescent="0.3">
      <c r="A100" s="9">
        <v>42080</v>
      </c>
      <c r="B100" s="10">
        <f>291781.14+254956.48</f>
        <v>546737.62</v>
      </c>
      <c r="C100" s="10">
        <f>8572.69+21562.2</f>
        <v>30134.89</v>
      </c>
      <c r="D100" s="11">
        <f t="shared" si="8"/>
        <v>516602.73</v>
      </c>
      <c r="E100" s="25" t="s">
        <v>9</v>
      </c>
      <c r="F100" s="15">
        <v>708.4</v>
      </c>
      <c r="G100" s="15">
        <v>20477.8</v>
      </c>
      <c r="H100" s="15">
        <f>84000+52103+110000+90000+56600+69800+1284+31630</f>
        <v>495417</v>
      </c>
      <c r="I100" s="37">
        <f t="shared" si="9"/>
        <v>516603.2</v>
      </c>
      <c r="J100" s="15">
        <f t="shared" si="7"/>
        <v>0.47000000003026798</v>
      </c>
      <c r="Z100" s="156"/>
      <c r="AA100" s="160"/>
      <c r="AB100" s="157"/>
      <c r="AC100" s="162"/>
      <c r="AD100" s="163">
        <f t="shared" si="10"/>
        <v>0</v>
      </c>
    </row>
    <row r="101" spans="1:30" s="4" customFormat="1" ht="16.5" thickBot="1" x14ac:dyDescent="0.3">
      <c r="A101" s="9">
        <v>42081</v>
      </c>
      <c r="B101" s="10">
        <f>291885.02+3504163.31</f>
        <v>3796048.33</v>
      </c>
      <c r="C101" s="10">
        <f>5810.84</f>
        <v>5810.84</v>
      </c>
      <c r="D101" s="11">
        <f t="shared" si="8"/>
        <v>3790237.49</v>
      </c>
      <c r="E101" s="25" t="s">
        <v>9</v>
      </c>
      <c r="F101" s="15">
        <v>51716.1</v>
      </c>
      <c r="G101" s="15">
        <f>32552.8+14668+80086.84</f>
        <v>127307.64</v>
      </c>
      <c r="H101" s="15">
        <f>95000+11600+12600+64200+79090+50000+34300+7657.76+19988.75+22952.5+7583.28+158000+33100+50600+47000+129000+26496+42900+5083+73000+35138.5+33200+4722.5+19060+3137+37900+30150+2873+30500+5050+2459.5+49221.5+24650+1472.5+31100+33530+44000+125000+23421+25000+40000+65000+80000+30000+4629+203000+442.5+10000+4830+40365+69960+69856.5+22592+78000+90000+25000+22833+20000+110000+45000+87500+26602+50000+40000+34000+60000+22119+45000+60000+100000+80000+60000+70000+29104+13645+80000+100000+90000</f>
        <v>3611214.79</v>
      </c>
      <c r="I101" s="37">
        <f t="shared" si="9"/>
        <v>3790238.5300000003</v>
      </c>
      <c r="J101" s="15">
        <f t="shared" si="7"/>
        <v>1.0400000000372529</v>
      </c>
      <c r="L101" s="60" t="s">
        <v>198</v>
      </c>
      <c r="M101" s="60"/>
      <c r="N101" s="60"/>
      <c r="O101" s="60"/>
      <c r="P101" s="60"/>
      <c r="Q101" s="60"/>
      <c r="R101" s="60"/>
      <c r="Z101" s="156"/>
      <c r="AA101" s="160"/>
      <c r="AB101" s="157"/>
      <c r="AC101" s="162"/>
      <c r="AD101" s="163">
        <f t="shared" si="10"/>
        <v>0</v>
      </c>
    </row>
    <row r="102" spans="1:30" s="4" customFormat="1" ht="16.5" thickBot="1" x14ac:dyDescent="0.3">
      <c r="A102" s="9">
        <v>42082</v>
      </c>
      <c r="B102" s="10">
        <f>262439.6+451429.8</f>
        <v>713869.39999999991</v>
      </c>
      <c r="C102" s="10">
        <f>86939.8+101904.9</f>
        <v>188844.7</v>
      </c>
      <c r="D102" s="11">
        <f t="shared" si="8"/>
        <v>525024.69999999995</v>
      </c>
      <c r="E102" s="25" t="s">
        <v>9</v>
      </c>
      <c r="F102" s="15">
        <v>0</v>
      </c>
      <c r="G102" s="15">
        <v>0</v>
      </c>
      <c r="H102" s="15">
        <f>87300+41237+40000+206487.2+150000</f>
        <v>525024.19999999995</v>
      </c>
      <c r="I102" s="37">
        <f t="shared" si="9"/>
        <v>525024.19999999995</v>
      </c>
      <c r="J102" s="15">
        <f t="shared" si="7"/>
        <v>-0.5</v>
      </c>
      <c r="L102" s="60" t="s">
        <v>225</v>
      </c>
      <c r="M102" s="60"/>
      <c r="N102" s="60"/>
      <c r="O102" s="60"/>
      <c r="Z102" s="156"/>
      <c r="AA102" s="160"/>
      <c r="AB102" s="157"/>
      <c r="AC102" s="162"/>
      <c r="AD102" s="163">
        <f t="shared" si="10"/>
        <v>0</v>
      </c>
    </row>
    <row r="103" spans="1:30" s="4" customFormat="1" ht="16.5" thickBot="1" x14ac:dyDescent="0.3">
      <c r="A103" s="9">
        <v>42083</v>
      </c>
      <c r="B103" s="10">
        <f>283968.46+90924.2</f>
        <v>374892.66000000003</v>
      </c>
      <c r="C103" s="10">
        <f>3245+271239.78</f>
        <v>274484.78000000003</v>
      </c>
      <c r="D103" s="11">
        <f t="shared" si="8"/>
        <v>100407.88</v>
      </c>
      <c r="E103" s="25" t="s">
        <v>9</v>
      </c>
      <c r="F103" s="15">
        <v>1269.68</v>
      </c>
      <c r="G103" s="15">
        <f>5042.8+8122.4+6740+9102.4</f>
        <v>29007.599999999999</v>
      </c>
      <c r="H103" s="15">
        <f>2358+7500+8900+6713+9041+1656+33963</f>
        <v>70131</v>
      </c>
      <c r="I103" s="37">
        <f t="shared" si="9"/>
        <v>100408.28</v>
      </c>
      <c r="J103" s="15">
        <f t="shared" si="7"/>
        <v>0.39999999999417923</v>
      </c>
      <c r="Z103" s="156"/>
      <c r="AA103" s="160"/>
      <c r="AB103" s="157"/>
      <c r="AC103" s="162"/>
      <c r="AD103" s="163">
        <f t="shared" si="10"/>
        <v>0</v>
      </c>
    </row>
    <row r="104" spans="1:30" s="4" customFormat="1" ht="16.5" thickBot="1" x14ac:dyDescent="0.3">
      <c r="A104" s="9">
        <v>42084</v>
      </c>
      <c r="B104" s="10">
        <f>313528.79+689479.21</f>
        <v>1003008</v>
      </c>
      <c r="C104" s="10">
        <v>19506.77</v>
      </c>
      <c r="D104" s="11">
        <f t="shared" si="8"/>
        <v>983501.23</v>
      </c>
      <c r="E104" s="25" t="s">
        <v>9</v>
      </c>
      <c r="F104" s="15">
        <v>3200</v>
      </c>
      <c r="G104" s="15">
        <v>114776.41</v>
      </c>
      <c r="H104" s="15">
        <f>125000+114700+45800+33000+110000+41800+20600+126000+20000+45958.8+67675+53581.45+64357.4+11397+10092</f>
        <v>889961.65</v>
      </c>
      <c r="I104" s="37">
        <f t="shared" si="9"/>
        <v>1007938.06</v>
      </c>
      <c r="J104" s="15">
        <f t="shared" si="7"/>
        <v>24436.830000000075</v>
      </c>
      <c r="L104" s="60" t="s">
        <v>170</v>
      </c>
      <c r="M104" s="60"/>
      <c r="N104" s="60"/>
      <c r="Z104" s="156"/>
      <c r="AA104" s="156"/>
      <c r="AB104" s="157"/>
      <c r="AC104" s="162"/>
      <c r="AD104" s="163">
        <f t="shared" si="10"/>
        <v>0</v>
      </c>
    </row>
    <row r="105" spans="1:30" s="4" customFormat="1" ht="16.5" thickBot="1" x14ac:dyDescent="0.3">
      <c r="A105" s="9">
        <v>42085</v>
      </c>
      <c r="B105" s="10">
        <f>244087.15+453846.09</f>
        <v>697933.24</v>
      </c>
      <c r="C105" s="10">
        <f>15589.4+14513</f>
        <v>30102.400000000001</v>
      </c>
      <c r="D105" s="11">
        <f t="shared" si="8"/>
        <v>667830.84</v>
      </c>
      <c r="E105" s="25" t="s">
        <v>9</v>
      </c>
      <c r="F105" s="15">
        <v>3353.6</v>
      </c>
      <c r="G105" s="15">
        <f>18761.2+78567.4</f>
        <v>97328.599999999991</v>
      </c>
      <c r="H105" s="15">
        <f>80000+22800+35000+150000+100000+81000+79000+16887.8+2461</f>
        <v>567148.80000000005</v>
      </c>
      <c r="I105" s="37">
        <f t="shared" si="9"/>
        <v>667831</v>
      </c>
      <c r="J105" s="15">
        <f t="shared" si="7"/>
        <v>0.16000000003259629</v>
      </c>
      <c r="Z105" s="156"/>
      <c r="AA105" s="156"/>
      <c r="AB105" s="157"/>
      <c r="AC105" s="162"/>
      <c r="AD105" s="163">
        <f t="shared" si="10"/>
        <v>0</v>
      </c>
    </row>
    <row r="106" spans="1:30" s="4" customFormat="1" ht="16.5" thickBot="1" x14ac:dyDescent="0.3">
      <c r="A106" s="9">
        <v>42086</v>
      </c>
      <c r="B106" s="17">
        <v>670993.78</v>
      </c>
      <c r="C106" s="10">
        <f>15095.6+173626</f>
        <v>188721.6</v>
      </c>
      <c r="D106" s="11">
        <f t="shared" si="8"/>
        <v>482272.18000000005</v>
      </c>
      <c r="E106" s="25" t="s">
        <v>9</v>
      </c>
      <c r="F106" s="15">
        <v>11254</v>
      </c>
      <c r="G106" s="15">
        <v>24522.57</v>
      </c>
      <c r="H106" s="15">
        <f>57700+57800+151062.6+50000+50000+25000+21106.6+33827</f>
        <v>446496.19999999995</v>
      </c>
      <c r="I106" s="37">
        <f t="shared" si="9"/>
        <v>482272.76999999996</v>
      </c>
      <c r="J106" s="15">
        <f t="shared" si="7"/>
        <v>0.58999999990919605</v>
      </c>
      <c r="L106" s="60" t="s">
        <v>199</v>
      </c>
      <c r="M106" s="60"/>
      <c r="N106" s="60"/>
      <c r="O106" s="60"/>
      <c r="P106" s="60"/>
      <c r="Z106" s="156"/>
      <c r="AA106" s="156"/>
      <c r="AB106" s="157"/>
      <c r="AC106" s="162"/>
      <c r="AD106" s="163">
        <f t="shared" si="10"/>
        <v>0</v>
      </c>
    </row>
    <row r="107" spans="1:30" s="4" customFormat="1" ht="16.5" thickBot="1" x14ac:dyDescent="0.3">
      <c r="A107" s="9">
        <v>42087</v>
      </c>
      <c r="B107" s="10">
        <f>213926.04+3431283.56</f>
        <v>3645209.6</v>
      </c>
      <c r="C107" s="10">
        <f>24836.51+165433.8</f>
        <v>190270.31</v>
      </c>
      <c r="D107" s="11">
        <f t="shared" si="8"/>
        <v>3454939.29</v>
      </c>
      <c r="E107" s="25" t="s">
        <v>9</v>
      </c>
      <c r="F107" s="15">
        <v>4397.5</v>
      </c>
      <c r="G107" s="15">
        <f>42950+220000</f>
        <v>262950</v>
      </c>
      <c r="H107" s="15">
        <f>58580+13720+50000+50000+98050+7758.5+19890.5+6501+5171.5+36028.5+5090.5+7640.5+13167+5526+3035+6051.5+22387.5+43925.5+71320+53685+5985+14420+5199+26726+3427+5212+6052+9599+22997+8934+26136+9189.5+10440.5+9228.5+6276.5+1464.5+24062+38000+52000+125000+28566+30000+55000+105000+50541+23000+45000+25583.5+63000+30000+25000+60000+28770+42000+21500+26540+45000+45000+60000+23670.08+44000+37701+60000+103000+105000+20000+59000+40000+64000+23000+27865+140000+106000+302400+21200+136000+23421+29961.9+20966.4+3029.52</f>
        <v>3187592.4</v>
      </c>
      <c r="I107" s="37">
        <f t="shared" si="9"/>
        <v>3454939.9</v>
      </c>
      <c r="J107" s="15">
        <f t="shared" si="7"/>
        <v>0.60999999986961484</v>
      </c>
      <c r="L107" s="60" t="s">
        <v>199</v>
      </c>
      <c r="M107" s="60"/>
      <c r="N107" s="60"/>
      <c r="O107" s="60"/>
      <c r="P107" s="60"/>
      <c r="Q107" s="60"/>
      <c r="Z107" s="156"/>
      <c r="AA107" s="156"/>
      <c r="AB107" s="157"/>
      <c r="AC107" s="162"/>
      <c r="AD107" s="163">
        <f t="shared" si="10"/>
        <v>0</v>
      </c>
    </row>
    <row r="108" spans="1:30" s="4" customFormat="1" ht="16.5" thickBot="1" x14ac:dyDescent="0.3">
      <c r="A108" s="9">
        <v>42088</v>
      </c>
      <c r="B108" s="79">
        <f>248054.65+655155.44</f>
        <v>903210.09</v>
      </c>
      <c r="C108" s="80">
        <f>9175+4113.6</f>
        <v>13288.6</v>
      </c>
      <c r="D108" s="11">
        <f t="shared" si="8"/>
        <v>889921.49</v>
      </c>
      <c r="E108" s="25" t="s">
        <v>9</v>
      </c>
      <c r="F108" s="15">
        <v>764</v>
      </c>
      <c r="G108" s="15">
        <f>117481.91+31123.6</f>
        <v>148605.51</v>
      </c>
      <c r="H108" s="15">
        <f>28938+95000+40000+59430+80000+43520+41592.5+50000+100000+21200+8970.5+32196.75+85206.5+50000+4498.2</f>
        <v>740552.45</v>
      </c>
      <c r="I108" s="37">
        <f t="shared" si="9"/>
        <v>889921.96</v>
      </c>
      <c r="J108" s="15">
        <f t="shared" si="7"/>
        <v>0.46999999997206032</v>
      </c>
      <c r="L108" s="60" t="s">
        <v>200</v>
      </c>
      <c r="M108" s="60"/>
      <c r="N108" s="60"/>
      <c r="O108" s="60"/>
      <c r="P108" s="60"/>
      <c r="Q108" s="60"/>
      <c r="Z108" s="156"/>
      <c r="AA108" s="156"/>
      <c r="AB108" s="157"/>
      <c r="AC108" s="162"/>
      <c r="AD108" s="163">
        <f t="shared" si="10"/>
        <v>0</v>
      </c>
    </row>
    <row r="109" spans="1:30" s="4" customFormat="1" ht="16.5" thickBot="1" x14ac:dyDescent="0.3">
      <c r="A109" s="9">
        <v>42089</v>
      </c>
      <c r="B109" s="10">
        <f>215693.2+4455096.22</f>
        <v>4670789.42</v>
      </c>
      <c r="C109" s="10">
        <f>8768.02+74335.95</f>
        <v>83103.97</v>
      </c>
      <c r="D109" s="11">
        <f t="shared" si="8"/>
        <v>4587685.45</v>
      </c>
      <c r="E109" s="25" t="s">
        <v>9</v>
      </c>
      <c r="F109" s="15">
        <v>0</v>
      </c>
      <c r="G109" s="15">
        <v>18274.88</v>
      </c>
      <c r="H109" s="15">
        <f>48000+5700+105000+100000+9492.8+3936.6+10800+6581.4+928.4+40000+18890.36+5464.8+20463.2+1793+26400+2554.5+26860+4901.5+19500+4490+4862+1613+50450+41460+27370+32340+199075.25+22950+219559.46+154991.2+24931.8+24536.9+363376.24+62687.95+101000+66180.01+194475+100000+155288.25+27180.2+211497.2+46100+46460+71310+138500+818+30919+29000+90000+125000+16753.5+15000+80000+16323.5+39000+57500+52976.5+40495.5+47000+21218.5+65000+30000+22171+63000+17746+30000+35000+55000+100000+44742.5+18143+50000+54000+60000+25000+60000+63064.5+9700+4517.5+50000+60000+36931+79002.5</f>
        <v>4544973.5200000005</v>
      </c>
      <c r="I109" s="37">
        <f t="shared" si="9"/>
        <v>4563248.4000000004</v>
      </c>
      <c r="J109" s="15">
        <f t="shared" si="7"/>
        <v>-24437.049999999814</v>
      </c>
      <c r="L109" s="60" t="s">
        <v>201</v>
      </c>
      <c r="M109" s="60"/>
      <c r="N109" s="60"/>
      <c r="O109" s="60"/>
      <c r="P109" s="60"/>
      <c r="Q109" s="60"/>
      <c r="R109" s="60"/>
      <c r="S109" s="60"/>
      <c r="T109" s="60"/>
      <c r="Z109" s="156"/>
      <c r="AA109" s="156"/>
      <c r="AB109" s="157"/>
      <c r="AC109" s="162"/>
      <c r="AD109" s="163">
        <f t="shared" si="10"/>
        <v>0</v>
      </c>
    </row>
    <row r="110" spans="1:30" s="4" customFormat="1" ht="15.75" x14ac:dyDescent="0.25">
      <c r="A110" s="9">
        <v>42090</v>
      </c>
      <c r="B110" s="10">
        <f>331867.02+164104.35</f>
        <v>495971.37</v>
      </c>
      <c r="C110" s="10">
        <v>24483.599999999999</v>
      </c>
      <c r="D110" s="11">
        <f t="shared" si="8"/>
        <v>471487.77</v>
      </c>
      <c r="E110" s="25" t="s">
        <v>9</v>
      </c>
      <c r="F110" s="15">
        <v>2584</v>
      </c>
      <c r="G110" s="15">
        <f>18434.08+50027.6+8972+8784</f>
        <v>86217.68</v>
      </c>
      <c r="H110" s="15">
        <f>41130+41350+16700+100000+65800+52100+43100+22506</f>
        <v>382686</v>
      </c>
      <c r="I110" s="37">
        <f t="shared" si="9"/>
        <v>471487.68</v>
      </c>
      <c r="J110" s="15">
        <f t="shared" si="7"/>
        <v>-9.0000000025611371E-2</v>
      </c>
    </row>
    <row r="111" spans="1:30" s="4" customFormat="1" ht="15.75" x14ac:dyDescent="0.25">
      <c r="A111" s="9">
        <v>42091</v>
      </c>
      <c r="B111" s="10">
        <f>428003.58+726642.78</f>
        <v>1154646.3600000001</v>
      </c>
      <c r="C111" s="10">
        <f>28994.95+87455.6</f>
        <v>116450.55</v>
      </c>
      <c r="D111" s="11">
        <f t="shared" si="8"/>
        <v>1038195.81</v>
      </c>
      <c r="E111" s="25" t="s">
        <v>9</v>
      </c>
      <c r="F111" s="15">
        <v>42348.35</v>
      </c>
      <c r="G111" s="15">
        <f>29641.25+33068.65+18610.8+41664.28+87408.45+63330.3+144188.04</f>
        <v>417911.77</v>
      </c>
      <c r="H111" s="15">
        <f>55500+40000+74650+102800+101700+22050+121980+20034+1697+19632.8+17892</f>
        <v>577935.80000000005</v>
      </c>
      <c r="I111" s="37">
        <f t="shared" si="9"/>
        <v>1038195.92</v>
      </c>
      <c r="J111" s="15">
        <f t="shared" si="7"/>
        <v>0.10999999998603016</v>
      </c>
    </row>
    <row r="112" spans="1:30" s="4" customFormat="1" ht="15.75" x14ac:dyDescent="0.25">
      <c r="A112" s="9">
        <v>42092</v>
      </c>
      <c r="B112" s="10">
        <f>254138.48+180077.5</f>
        <v>434215.98</v>
      </c>
      <c r="C112" s="10">
        <f>5250.8+77135.55</f>
        <v>82386.350000000006</v>
      </c>
      <c r="D112" s="11">
        <f t="shared" si="8"/>
        <v>351829.63</v>
      </c>
      <c r="E112" s="25" t="s">
        <v>9</v>
      </c>
      <c r="F112" s="15">
        <v>5579.6</v>
      </c>
      <c r="G112" s="15">
        <f>9520+9252</f>
        <v>18772</v>
      </c>
      <c r="H112" s="15">
        <f>44000+41750+70000+70000+20000+46000+23850+11878</f>
        <v>327478</v>
      </c>
      <c r="I112" s="37">
        <f t="shared" si="9"/>
        <v>351829.6</v>
      </c>
      <c r="J112" s="15">
        <f t="shared" si="7"/>
        <v>-3.0000000027939677E-2</v>
      </c>
    </row>
    <row r="113" spans="1:16" s="4" customFormat="1" ht="15.75" x14ac:dyDescent="0.25">
      <c r="A113" s="9">
        <v>42093</v>
      </c>
      <c r="B113" s="10">
        <f>223752.31+1181790.83</f>
        <v>1405543.1400000001</v>
      </c>
      <c r="C113" s="10">
        <f>62614.17+38162.65</f>
        <v>100776.82</v>
      </c>
      <c r="D113" s="11">
        <f t="shared" si="8"/>
        <v>1304766.32</v>
      </c>
      <c r="E113" s="25" t="s">
        <v>9</v>
      </c>
      <c r="F113" s="15">
        <v>0</v>
      </c>
      <c r="G113" s="15">
        <v>15247.75</v>
      </c>
      <c r="H113" s="15">
        <f>22750+68000+70000+28200+2335.5+54550+3801.5+1739+2164.5+1000+14452+55000+15000+80000+12154.5+35000+15000+42000+7397+30000+50000+19770+50000+25000+14016.5+100000+9062.5+20000+75000+50000+8705+12471+22319+30605+5323+37753+6107.5+30500+1000+7861.5+2650+6698+4279+5991+26009+20198.17+6291.5+21801.83+17490.22+444+13555.2+28073</f>
        <v>1289518.92</v>
      </c>
      <c r="I113" s="37">
        <f t="shared" si="9"/>
        <v>1304766.67</v>
      </c>
      <c r="J113" s="15">
        <f t="shared" si="7"/>
        <v>0.34999999986030161</v>
      </c>
      <c r="K113" s="109">
        <v>15247.75</v>
      </c>
      <c r="L113" s="4" t="s">
        <v>22</v>
      </c>
    </row>
    <row r="114" spans="1:16" s="4" customFormat="1" ht="15.75" x14ac:dyDescent="0.25">
      <c r="A114" s="9">
        <v>42094</v>
      </c>
      <c r="B114" s="10">
        <f>298680+1916234.54</f>
        <v>2214914.54</v>
      </c>
      <c r="C114" s="10">
        <f>34596.01+5988.88+34285</f>
        <v>74869.89</v>
      </c>
      <c r="D114" s="11">
        <f t="shared" si="8"/>
        <v>2140044.65</v>
      </c>
      <c r="E114" s="25"/>
      <c r="F114" s="15">
        <v>15966.9</v>
      </c>
      <c r="G114" s="15">
        <v>176195</v>
      </c>
      <c r="H114" s="15">
        <f>56400+28083+100000+121000+10700+53400+47621.5+71257.6+36982.3+5786+50000+64000+79000+25565+57500+80000+100000+23772+75000+60000+50000+41000+25409+60000+30000+34274+65000+28455+34100+70000+90000+30000+30603+20000+10000+33273.5+80000+55379+14334.5</f>
        <v>1947895.4</v>
      </c>
      <c r="I114" s="37">
        <f t="shared" si="9"/>
        <v>2140057.2999999998</v>
      </c>
      <c r="J114" s="15">
        <f t="shared" si="7"/>
        <v>12.649999999906868</v>
      </c>
      <c r="K114" s="109">
        <v>176195.21</v>
      </c>
      <c r="L114" s="4" t="s">
        <v>205</v>
      </c>
    </row>
    <row r="115" spans="1:16" s="4" customFormat="1" ht="15.75" x14ac:dyDescent="0.25">
      <c r="A115" s="9"/>
      <c r="B115" s="10"/>
      <c r="C115" s="10"/>
      <c r="D115" s="11">
        <f t="shared" si="8"/>
        <v>0</v>
      </c>
      <c r="G115" s="15"/>
      <c r="H115" s="15"/>
      <c r="J115" s="15">
        <f t="shared" si="7"/>
        <v>0</v>
      </c>
    </row>
    <row r="116" spans="1:16" s="4" customFormat="1" ht="15.75" x14ac:dyDescent="0.25">
      <c r="A116" s="14"/>
      <c r="B116" s="10"/>
      <c r="C116" s="10"/>
      <c r="D116" s="11">
        <f t="shared" si="8"/>
        <v>0</v>
      </c>
      <c r="G116" s="15"/>
      <c r="H116" s="15"/>
      <c r="J116" s="15">
        <f t="shared" si="7"/>
        <v>0</v>
      </c>
    </row>
    <row r="117" spans="1:16" s="4" customFormat="1" ht="15.75" x14ac:dyDescent="0.25">
      <c r="A117" s="14"/>
      <c r="B117" s="13"/>
      <c r="C117" s="10"/>
      <c r="D117" s="11">
        <f t="shared" si="8"/>
        <v>0</v>
      </c>
      <c r="G117" s="15"/>
      <c r="H117" s="15"/>
      <c r="J117" s="15">
        <f t="shared" si="7"/>
        <v>0</v>
      </c>
    </row>
    <row r="118" spans="1:16" s="4" customFormat="1" ht="15.75" x14ac:dyDescent="0.25">
      <c r="A118" s="14"/>
      <c r="B118" s="10"/>
      <c r="C118" s="10"/>
      <c r="D118" s="11">
        <f t="shared" si="8"/>
        <v>0</v>
      </c>
      <c r="G118" s="15"/>
      <c r="H118" s="15"/>
      <c r="J118" s="15">
        <f t="shared" si="7"/>
        <v>0</v>
      </c>
    </row>
    <row r="119" spans="1:16" s="4" customFormat="1" ht="15.75" x14ac:dyDescent="0.25">
      <c r="A119" s="14"/>
      <c r="B119" s="10">
        <f>SUM(B84:B118)</f>
        <v>40516524.049999997</v>
      </c>
      <c r="C119" s="10">
        <f>SUM(C84:C118)</f>
        <v>3121743.8600000003</v>
      </c>
      <c r="D119" s="11">
        <f t="shared" si="8"/>
        <v>37394780.189999998</v>
      </c>
      <c r="F119" s="15"/>
      <c r="G119" s="15"/>
      <c r="H119" s="15"/>
      <c r="J119" s="15">
        <f t="shared" si="7"/>
        <v>-37394780.189999998</v>
      </c>
    </row>
    <row r="121" spans="1:16" s="4" customFormat="1" ht="18.75" x14ac:dyDescent="0.3">
      <c r="A121" s="1"/>
      <c r="B121" s="57" t="s">
        <v>56</v>
      </c>
      <c r="C121" s="57"/>
      <c r="D121" s="2"/>
      <c r="E121" s="3"/>
      <c r="G121" s="15"/>
    </row>
    <row r="122" spans="1:16" s="4" customFormat="1" ht="15.75" x14ac:dyDescent="0.25">
      <c r="A122" s="5"/>
      <c r="B122" s="6"/>
      <c r="C122" s="23" t="s">
        <v>6</v>
      </c>
      <c r="D122" s="7"/>
      <c r="E122" s="3"/>
      <c r="G122" s="15"/>
    </row>
    <row r="123" spans="1:16" s="4" customFormat="1" ht="16.5" thickBot="1" x14ac:dyDescent="0.3">
      <c r="A123" s="19" t="s">
        <v>0</v>
      </c>
      <c r="B123" s="20" t="s">
        <v>1</v>
      </c>
      <c r="C123" s="21" t="s">
        <v>2</v>
      </c>
      <c r="D123" s="22" t="s">
        <v>4</v>
      </c>
      <c r="E123" s="3"/>
      <c r="F123" s="38" t="s">
        <v>19</v>
      </c>
      <c r="G123" s="32" t="s">
        <v>10</v>
      </c>
      <c r="H123" s="27" t="s">
        <v>8</v>
      </c>
      <c r="I123" s="50"/>
      <c r="J123" s="33" t="s">
        <v>11</v>
      </c>
      <c r="K123" s="34" t="s">
        <v>13</v>
      </c>
    </row>
    <row r="124" spans="1:16" s="4" customFormat="1" ht="16.5" thickTop="1" x14ac:dyDescent="0.25">
      <c r="A124" s="9">
        <v>42095</v>
      </c>
      <c r="B124" s="10">
        <f>332681.14+1123524.31</f>
        <v>1456205.4500000002</v>
      </c>
      <c r="C124" s="10">
        <f>11871+500+220+83995</f>
        <v>96586</v>
      </c>
      <c r="D124" s="11">
        <f>B124-C124</f>
        <v>1359619.4500000002</v>
      </c>
      <c r="E124" s="93" t="s">
        <v>9</v>
      </c>
      <c r="F124" s="15">
        <v>5803.1</v>
      </c>
      <c r="G124" s="15">
        <f>7968.4+151917.62+98457.5+26552.08</f>
        <v>284895.59999999998</v>
      </c>
      <c r="H124" s="15">
        <f>105200+130300+133000+45360+5296.8+30999.4+50059.6+68050+28000+7352+53360+81000+213100+100000+17843</f>
        <v>1068920.8</v>
      </c>
      <c r="I124" s="37">
        <f>H124+G124+F124</f>
        <v>1359619.5</v>
      </c>
      <c r="J124" s="15">
        <f t="shared" ref="J124:J159" si="11">H124+G124+F124-D124</f>
        <v>4.9999999813735485E-2</v>
      </c>
      <c r="L124" s="60" t="s">
        <v>210</v>
      </c>
      <c r="M124" s="60" t="s">
        <v>181</v>
      </c>
      <c r="N124" s="60"/>
      <c r="O124" s="60"/>
      <c r="P124" s="60"/>
    </row>
    <row r="125" spans="1:16" s="4" customFormat="1" ht="15.75" x14ac:dyDescent="0.25">
      <c r="A125" s="9">
        <v>42096</v>
      </c>
      <c r="B125" s="10">
        <f>207677.91+417073.53</f>
        <v>624751.44000000006</v>
      </c>
      <c r="C125" s="10">
        <f>7727.2+52209.84</f>
        <v>59937.039999999994</v>
      </c>
      <c r="D125" s="11">
        <f t="shared" ref="D125:D159" si="12">B125-C125</f>
        <v>564814.4</v>
      </c>
      <c r="E125" s="92"/>
      <c r="F125" s="15">
        <f>2772.7+1350+374+10380</f>
        <v>14876.7</v>
      </c>
      <c r="G125" s="31">
        <v>2205.6</v>
      </c>
      <c r="H125" s="15">
        <f>60190+2210+50000+82200+66000+63000+45200+36729.6+35890.46+64302.25+20000+10496</f>
        <v>536218.31000000006</v>
      </c>
      <c r="I125" s="37">
        <f t="shared" ref="I125:I153" si="13">H125+G125+F125</f>
        <v>553300.61</v>
      </c>
      <c r="J125" s="15">
        <f t="shared" si="11"/>
        <v>-11513.790000000037</v>
      </c>
      <c r="L125" s="39" t="s">
        <v>231</v>
      </c>
    </row>
    <row r="126" spans="1:16" s="4" customFormat="1" ht="15.75" x14ac:dyDescent="0.25">
      <c r="A126" s="9">
        <v>42097</v>
      </c>
      <c r="B126" s="276" t="s">
        <v>187</v>
      </c>
      <c r="C126" s="278"/>
      <c r="D126" s="66" t="e">
        <f t="shared" si="12"/>
        <v>#VALUE!</v>
      </c>
      <c r="E126" s="114"/>
      <c r="F126" s="296" t="s">
        <v>187</v>
      </c>
      <c r="G126" s="296"/>
      <c r="H126" s="296"/>
      <c r="I126" s="111" t="e">
        <f t="shared" si="13"/>
        <v>#VALUE!</v>
      </c>
      <c r="J126" s="30" t="e">
        <f t="shared" si="11"/>
        <v>#VALUE!</v>
      </c>
      <c r="K126" s="112"/>
      <c r="L126" s="24"/>
    </row>
    <row r="127" spans="1:16" s="4" customFormat="1" ht="15.75" x14ac:dyDescent="0.25">
      <c r="A127" s="9">
        <v>42098</v>
      </c>
      <c r="B127" s="10">
        <f>1150941.37+479680.44</f>
        <v>1630621.81</v>
      </c>
      <c r="C127" s="10">
        <f>11212.09+190+43882.45</f>
        <v>55284.539999999994</v>
      </c>
      <c r="D127" s="11">
        <f t="shared" si="12"/>
        <v>1575337.27</v>
      </c>
      <c r="E127" s="93" t="s">
        <v>9</v>
      </c>
      <c r="F127" s="15">
        <v>3185.7</v>
      </c>
      <c r="G127" s="15">
        <f>20396.2</f>
        <v>20396.2</v>
      </c>
      <c r="H127" s="15">
        <f>100000+142200+8700+80000+81400+120000+112700+325920+318800+13300+15000+53000+113000+108000+19490+64000+7270</f>
        <v>1682780</v>
      </c>
      <c r="I127" s="37">
        <f t="shared" si="13"/>
        <v>1706361.9</v>
      </c>
      <c r="J127" s="15">
        <f t="shared" si="11"/>
        <v>131024.62999999989</v>
      </c>
      <c r="L127" s="60" t="s">
        <v>203</v>
      </c>
      <c r="M127" s="60"/>
      <c r="N127" s="60"/>
      <c r="O127" s="60"/>
      <c r="P127" s="60"/>
    </row>
    <row r="128" spans="1:16" s="4" customFormat="1" ht="15.75" x14ac:dyDescent="0.25">
      <c r="A128" s="9">
        <v>42099</v>
      </c>
      <c r="B128" s="10">
        <f>278729.94+180104.35</f>
        <v>458834.29000000004</v>
      </c>
      <c r="C128" s="10">
        <f>11772.33+218226.5</f>
        <v>229998.83</v>
      </c>
      <c r="D128" s="11">
        <f t="shared" si="12"/>
        <v>228835.46000000005</v>
      </c>
      <c r="E128" s="93" t="s">
        <v>9</v>
      </c>
      <c r="F128" s="15">
        <v>429.6</v>
      </c>
      <c r="G128" s="15">
        <f>42868.6+16812</f>
        <v>59680.6</v>
      </c>
      <c r="H128" s="15">
        <f>22800+21000+32900+52500+39500</f>
        <v>168700</v>
      </c>
      <c r="I128" s="37">
        <f t="shared" si="13"/>
        <v>228810.2</v>
      </c>
      <c r="J128" s="15">
        <f t="shared" si="11"/>
        <v>-25.260000000038417</v>
      </c>
      <c r="L128" s="60" t="s">
        <v>202</v>
      </c>
      <c r="M128" s="60"/>
      <c r="N128" s="60"/>
    </row>
    <row r="129" spans="1:19" s="4" customFormat="1" ht="15.75" x14ac:dyDescent="0.25">
      <c r="A129" s="9">
        <v>42100</v>
      </c>
      <c r="B129" s="10">
        <f>401074.02+88539.48</f>
        <v>489613.5</v>
      </c>
      <c r="C129" s="10">
        <f>23221.48+94+254+115902.25</f>
        <v>139471.73000000001</v>
      </c>
      <c r="D129" s="11">
        <f t="shared" si="12"/>
        <v>350141.77</v>
      </c>
      <c r="E129" s="93" t="s">
        <v>9</v>
      </c>
      <c r="F129" s="15">
        <v>1770</v>
      </c>
      <c r="G129" s="15">
        <f>35232.75+32088.25</f>
        <v>67321</v>
      </c>
      <c r="H129" s="15">
        <f>53150+90000+108400+19259.28+10241.5</f>
        <v>281050.78000000003</v>
      </c>
      <c r="I129" s="37">
        <f t="shared" si="13"/>
        <v>350141.78</v>
      </c>
      <c r="J129" s="15">
        <f t="shared" si="11"/>
        <v>1.0000000009313226E-2</v>
      </c>
    </row>
    <row r="130" spans="1:19" s="4" customFormat="1" ht="15.75" x14ac:dyDescent="0.25">
      <c r="A130" s="9">
        <v>42101</v>
      </c>
      <c r="B130" s="10">
        <f>233424.6+1171908.84</f>
        <v>1405333.4400000002</v>
      </c>
      <c r="C130" s="10">
        <f>47064.04+155.9+128383.82</f>
        <v>175603.76</v>
      </c>
      <c r="D130" s="11">
        <f t="shared" si="12"/>
        <v>1229729.6800000002</v>
      </c>
      <c r="E130" s="93" t="s">
        <v>9</v>
      </c>
      <c r="F130" s="15">
        <v>4749.5</v>
      </c>
      <c r="G130" s="15">
        <f>42316.7+9358.3+129000+35110</f>
        <v>215785</v>
      </c>
      <c r="H130" s="15">
        <f>32255.5+119500+93300+120000+24700+60639.84+10712.2+8587.24+8367.6+11323.2+14824.6+7380.8+18493.2+55688.68+310000+45221.6+55000+13118</f>
        <v>1009112.46</v>
      </c>
      <c r="I130" s="37">
        <f t="shared" si="13"/>
        <v>1229646.96</v>
      </c>
      <c r="J130" s="15">
        <f t="shared" si="11"/>
        <v>-82.720000000204891</v>
      </c>
      <c r="L130" s="60" t="s">
        <v>209</v>
      </c>
      <c r="M130" s="60"/>
      <c r="N130" s="60"/>
      <c r="O130" s="60"/>
      <c r="P130" s="60"/>
      <c r="Q130" s="60"/>
      <c r="R130" s="60"/>
      <c r="S130" s="60"/>
    </row>
    <row r="131" spans="1:19" s="4" customFormat="1" ht="15.75" x14ac:dyDescent="0.25">
      <c r="A131" s="9">
        <v>42102</v>
      </c>
      <c r="B131" s="10">
        <f>393807.94+1450624.84</f>
        <v>1844432.78</v>
      </c>
      <c r="C131" s="10">
        <f>12875.31+152294.74</f>
        <v>165170.04999999999</v>
      </c>
      <c r="D131" s="11">
        <f t="shared" si="12"/>
        <v>1679262.73</v>
      </c>
      <c r="E131" s="93" t="s">
        <v>9</v>
      </c>
      <c r="F131" s="15">
        <v>78006.3</v>
      </c>
      <c r="G131" s="15">
        <v>93774.34</v>
      </c>
      <c r="H131" s="15">
        <f>75600+103600+40100+145000+34250+115850+96200+3808.8+588+39150.3+19565.7+34685.7+48583.4+547.2+210500+205500+70600+153000+16180</f>
        <v>1413309.1</v>
      </c>
      <c r="I131" s="37">
        <f t="shared" si="13"/>
        <v>1585089.7400000002</v>
      </c>
      <c r="J131" s="15">
        <f t="shared" si="11"/>
        <v>-94172.989999999758</v>
      </c>
      <c r="L131" s="60" t="s">
        <v>212</v>
      </c>
      <c r="M131" s="60"/>
      <c r="N131" s="60"/>
      <c r="O131" s="60"/>
      <c r="P131" s="60"/>
      <c r="Q131" s="60"/>
      <c r="R131" s="60"/>
    </row>
    <row r="132" spans="1:19" s="4" customFormat="1" ht="15.75" x14ac:dyDescent="0.25">
      <c r="A132" s="9">
        <v>42103</v>
      </c>
      <c r="B132" s="10">
        <f>349571.27+137266.83</f>
        <v>486838.1</v>
      </c>
      <c r="C132" s="17">
        <f>13188.8+57342.4</f>
        <v>70531.199999999997</v>
      </c>
      <c r="D132" s="11">
        <f t="shared" si="12"/>
        <v>416306.89999999997</v>
      </c>
      <c r="E132" s="93" t="s">
        <v>9</v>
      </c>
      <c r="F132" s="31">
        <v>0</v>
      </c>
      <c r="G132" s="31">
        <v>0</v>
      </c>
      <c r="H132" s="31">
        <f>66700+69895.5+49000+140000+24715+18418.18+25578+2000+20000</f>
        <v>416306.68</v>
      </c>
      <c r="I132" s="37">
        <f t="shared" si="13"/>
        <v>416306.68</v>
      </c>
      <c r="J132" s="15">
        <f t="shared" si="11"/>
        <v>-0.21999999997206032</v>
      </c>
    </row>
    <row r="133" spans="1:19" s="4" customFormat="1" ht="15.75" x14ac:dyDescent="0.25">
      <c r="A133" s="9">
        <v>42104</v>
      </c>
      <c r="B133" s="10">
        <f>430907.21+2313485.79</f>
        <v>2744393</v>
      </c>
      <c r="C133" s="10">
        <f>9944.63+130326.93</f>
        <v>140271.56</v>
      </c>
      <c r="D133" s="11">
        <f t="shared" si="12"/>
        <v>2604121.44</v>
      </c>
      <c r="E133" s="93" t="s">
        <v>9</v>
      </c>
      <c r="F133" s="15">
        <v>874.25</v>
      </c>
      <c r="G133" s="15">
        <f>12414+20198.2+83384.35+39131.95+70455.5+36893.2+36158.7+14815.95</f>
        <v>313451.85000000003</v>
      </c>
      <c r="H133" s="15">
        <f>15500+94550+71050+78750+48200+71190+2179+26210+771.5+25340+25053+21600+2150.5+66700+39550+4250+2547+26740+25530+15482+27372+80000+34000+8568+40000+60000+25000+13133+45836+55000+44148+43000+35000+1209+50000+25073+28000+40000+4977+50000+39080+17823+49000+50000+24000+50000+78090+50000+35000+36000+29964.5+565+2000+7344+3950+16360+5178+12000+13000+2500+35047+2593.5+8076.4+6365+28535+5900+1498+3507+14686+6364+39450+5980.5+35053.5+20565+5471.5+7814+6283.5+36000+8121.5+18142.5+6606+6874.96+4205.8+37065.6+5656.68+26721.4+11697</f>
        <v>2289794.84</v>
      </c>
      <c r="I133" s="37">
        <f t="shared" si="13"/>
        <v>2604120.94</v>
      </c>
      <c r="J133" s="15">
        <f t="shared" si="11"/>
        <v>-0.5</v>
      </c>
    </row>
    <row r="134" spans="1:19" s="4" customFormat="1" ht="15.75" x14ac:dyDescent="0.25">
      <c r="A134" s="9">
        <v>42105</v>
      </c>
      <c r="B134" s="10">
        <f>302801.81+732770.08</f>
        <v>1035571.8899999999</v>
      </c>
      <c r="C134" s="10">
        <v>35309.769999999997</v>
      </c>
      <c r="D134" s="11">
        <f t="shared" si="12"/>
        <v>1000262.1199999999</v>
      </c>
      <c r="E134" s="93" t="s">
        <v>9</v>
      </c>
      <c r="F134" s="15">
        <v>49.8</v>
      </c>
      <c r="G134" s="15">
        <v>125186.98</v>
      </c>
      <c r="H134" s="15">
        <f>171760+26600+69250+130000+57800+81900+53000+34700+200250+2016+20769+25207+1442</f>
        <v>874694</v>
      </c>
      <c r="I134" s="37">
        <f t="shared" si="13"/>
        <v>999930.78</v>
      </c>
      <c r="J134" s="15">
        <f t="shared" si="11"/>
        <v>-331.33999999985099</v>
      </c>
      <c r="L134" s="60" t="s">
        <v>228</v>
      </c>
      <c r="M134" s="60"/>
      <c r="N134" s="60"/>
      <c r="O134" s="60"/>
      <c r="P134" s="60"/>
      <c r="Q134" s="60"/>
      <c r="R134" s="60"/>
    </row>
    <row r="135" spans="1:19" s="4" customFormat="1" ht="15.75" x14ac:dyDescent="0.25">
      <c r="A135" s="9">
        <v>42106</v>
      </c>
      <c r="B135" s="10">
        <f>244014.02+178516.2</f>
        <v>422530.22</v>
      </c>
      <c r="C135" s="10">
        <f>5164.7+83191.5</f>
        <v>88356.2</v>
      </c>
      <c r="D135" s="11">
        <f t="shared" si="12"/>
        <v>334174.01999999996</v>
      </c>
      <c r="E135" s="93" t="s">
        <v>9</v>
      </c>
      <c r="F135" s="15">
        <v>0</v>
      </c>
      <c r="G135" s="15">
        <f>8940+9329.2+18952+8065.6</f>
        <v>45286.799999999996</v>
      </c>
      <c r="H135" s="15">
        <f>43887+70000+70000+75000+30000</f>
        <v>288887</v>
      </c>
      <c r="I135" s="37">
        <f t="shared" si="13"/>
        <v>334173.8</v>
      </c>
      <c r="J135" s="15">
        <f t="shared" si="11"/>
        <v>-0.21999999997206032</v>
      </c>
    </row>
    <row r="136" spans="1:19" s="4" customFormat="1" ht="15.75" x14ac:dyDescent="0.25">
      <c r="A136" s="9">
        <v>42107</v>
      </c>
      <c r="B136" s="10">
        <f>449057.15+711188.46</f>
        <v>1160245.6099999999</v>
      </c>
      <c r="C136" s="10">
        <f>6373+6150</f>
        <v>12523</v>
      </c>
      <c r="D136" s="11">
        <f t="shared" si="12"/>
        <v>1147722.6099999999</v>
      </c>
      <c r="E136" s="93" t="s">
        <v>9</v>
      </c>
      <c r="F136" s="15">
        <v>80624.899999999994</v>
      </c>
      <c r="G136" s="15">
        <v>16615</v>
      </c>
      <c r="H136" s="15">
        <f>79363+55000+79000+71500+100000+130000+68100+48350+56800+67555+78998+54876.5+54738.15+38821.64+60112.3+7268</f>
        <v>1050482.5900000001</v>
      </c>
      <c r="I136" s="37">
        <f t="shared" si="13"/>
        <v>1147722.49</v>
      </c>
      <c r="J136" s="15">
        <f t="shared" si="11"/>
        <v>-0.11999999987892807</v>
      </c>
    </row>
    <row r="137" spans="1:19" s="4" customFormat="1" ht="15.75" x14ac:dyDescent="0.25">
      <c r="A137" s="9">
        <v>42108</v>
      </c>
      <c r="B137" s="10">
        <f>230534.68+2935728.56</f>
        <v>3166263.24</v>
      </c>
      <c r="C137" s="10">
        <f>24456.46+200318.82</f>
        <v>224775.28</v>
      </c>
      <c r="D137" s="11">
        <f t="shared" si="12"/>
        <v>2941487.9600000004</v>
      </c>
      <c r="E137" s="93" t="s">
        <v>9</v>
      </c>
      <c r="F137" s="15">
        <v>0</v>
      </c>
      <c r="G137" s="15">
        <v>0</v>
      </c>
      <c r="H137" s="15">
        <f>56100+180000+106947+145200+187000+191000+31150+30100+52500+34600+54316.4+32755+55000+40000+61000+39000+25050+65000+90000+28515+75000+40000+22000+39844+25290+75000+50000+45000+28526+38550+12852.5+82581.8+51800+18200+23600+13245+80000+50000+666.5+25290+31500+28663.5+29220+75000+100000+40000+56000+27099.5+25000+25000+70000+28593+65936+36777+20</f>
        <v>2941488.2</v>
      </c>
      <c r="I137" s="37">
        <f t="shared" si="13"/>
        <v>2941488.2</v>
      </c>
      <c r="J137" s="15">
        <f t="shared" si="11"/>
        <v>0.23999999975785613</v>
      </c>
    </row>
    <row r="138" spans="1:19" s="4" customFormat="1" ht="15.75" x14ac:dyDescent="0.25">
      <c r="A138" s="9">
        <v>42109</v>
      </c>
      <c r="B138" s="10">
        <f>376876.36+705490.45</f>
        <v>1082366.81</v>
      </c>
      <c r="C138" s="10">
        <f>14403.6+470+135429.4</f>
        <v>150303</v>
      </c>
      <c r="D138" s="11">
        <f t="shared" si="12"/>
        <v>932063.81</v>
      </c>
      <c r="E138" s="93" t="s">
        <v>9</v>
      </c>
      <c r="F138" s="15">
        <v>63917.5</v>
      </c>
      <c r="G138" s="15">
        <f>31417.05+14861+11742.7+113004.12</f>
        <v>171024.87</v>
      </c>
      <c r="H138" s="15">
        <f>41263+6550+16200+189200+49700+101300+85000+30000+140712.1+36576.98+3394+10000</f>
        <v>709896.08</v>
      </c>
      <c r="I138" s="37">
        <f t="shared" si="13"/>
        <v>944838.45</v>
      </c>
      <c r="J138" s="15">
        <f t="shared" si="11"/>
        <v>12774.639999999898</v>
      </c>
      <c r="L138" s="60" t="s">
        <v>213</v>
      </c>
      <c r="M138" s="60"/>
      <c r="N138" s="60"/>
    </row>
    <row r="139" spans="1:19" s="4" customFormat="1" ht="15.75" x14ac:dyDescent="0.25">
      <c r="A139" s="9">
        <v>42110</v>
      </c>
      <c r="B139" s="10">
        <f>311933.18+209801.49</f>
        <v>521734.67</v>
      </c>
      <c r="C139" s="10">
        <f>15429.97+117170.5</f>
        <v>132600.47</v>
      </c>
      <c r="D139" s="11">
        <f t="shared" si="12"/>
        <v>389134.19999999995</v>
      </c>
      <c r="E139" s="93" t="s">
        <v>9</v>
      </c>
      <c r="F139" s="15">
        <v>822.5</v>
      </c>
      <c r="G139" s="15">
        <v>15224.6</v>
      </c>
      <c r="H139" s="15">
        <f>26300+11000+50000+50000+150000+54160+31627.5</f>
        <v>373087.5</v>
      </c>
      <c r="I139" s="37">
        <f t="shared" si="13"/>
        <v>389134.6</v>
      </c>
      <c r="J139" s="15">
        <f t="shared" si="11"/>
        <v>0.40000000002328306</v>
      </c>
    </row>
    <row r="140" spans="1:19" s="4" customFormat="1" ht="15.75" x14ac:dyDescent="0.25">
      <c r="A140" s="9">
        <v>42111</v>
      </c>
      <c r="B140" s="10">
        <f>314659.19+839865.87</f>
        <v>1154525.06</v>
      </c>
      <c r="C140" s="10">
        <f>22862.19+14091</f>
        <v>36953.19</v>
      </c>
      <c r="D140" s="11">
        <f t="shared" si="12"/>
        <v>1117571.8700000001</v>
      </c>
      <c r="E140" s="93" t="s">
        <v>9</v>
      </c>
      <c r="F140" s="15">
        <v>2525.3000000000002</v>
      </c>
      <c r="G140" s="15">
        <f>22603.7</f>
        <v>22603.7</v>
      </c>
      <c r="H140" s="15">
        <f>28000+148700+97000+79700+36729.6+68437+156750+155000+25283+159000+74587.9+42000+21255.5</f>
        <v>1092443</v>
      </c>
      <c r="I140" s="37">
        <f t="shared" si="13"/>
        <v>1117572</v>
      </c>
      <c r="J140" s="15">
        <f t="shared" si="11"/>
        <v>0.12999999988824129</v>
      </c>
    </row>
    <row r="141" spans="1:19" s="4" customFormat="1" ht="15.75" x14ac:dyDescent="0.25">
      <c r="A141" s="9">
        <v>42112</v>
      </c>
      <c r="B141" s="10">
        <f>705556.08+659407.14</f>
        <v>1364963.22</v>
      </c>
      <c r="C141" s="10">
        <f>21859+1601.08+348+480+261683.16</f>
        <v>285971.24</v>
      </c>
      <c r="D141" s="11">
        <f t="shared" si="12"/>
        <v>1078991.98</v>
      </c>
      <c r="E141" s="93" t="s">
        <v>9</v>
      </c>
      <c r="F141" s="15">
        <v>202.8</v>
      </c>
      <c r="G141" s="15">
        <f>21037.13+9625.2+8270.4+21322+8070.4+60+31442.4+18084.2+16015.1+70860+25435.9</f>
        <v>230222.72999999998</v>
      </c>
      <c r="H141" s="15">
        <f>23100+70000+115800+78000+99950+272500+33500+94300+38857.6+27772</f>
        <v>853779.6</v>
      </c>
      <c r="I141" s="37">
        <f t="shared" si="13"/>
        <v>1084205.1300000001</v>
      </c>
      <c r="J141" s="15">
        <f t="shared" si="11"/>
        <v>5213.1500000001397</v>
      </c>
      <c r="L141" s="60" t="s">
        <v>245</v>
      </c>
      <c r="M141" s="60"/>
      <c r="N141" s="60"/>
      <c r="O141" s="60"/>
      <c r="P141" s="60"/>
      <c r="Q141" s="60"/>
      <c r="R141" s="60"/>
      <c r="S141" s="60"/>
    </row>
    <row r="142" spans="1:19" s="4" customFormat="1" ht="15.75" x14ac:dyDescent="0.25">
      <c r="A142" s="9">
        <v>42113</v>
      </c>
      <c r="B142" s="10">
        <f>206681.3+219572</f>
        <v>426253.3</v>
      </c>
      <c r="C142" s="10">
        <v>4203.01</v>
      </c>
      <c r="D142" s="11">
        <f t="shared" si="12"/>
        <v>422050.29</v>
      </c>
      <c r="E142" s="93" t="s">
        <v>9</v>
      </c>
      <c r="F142" s="15">
        <v>7760.85</v>
      </c>
      <c r="G142" s="15">
        <v>0</v>
      </c>
      <c r="H142" s="15">
        <f>120000+117500+67340+82050+10000+17400</f>
        <v>414290</v>
      </c>
      <c r="I142" s="37">
        <f t="shared" si="13"/>
        <v>422050.85</v>
      </c>
      <c r="J142" s="15">
        <f t="shared" si="11"/>
        <v>0.55999999999767169</v>
      </c>
    </row>
    <row r="143" spans="1:19" s="4" customFormat="1" ht="15.75" x14ac:dyDescent="0.25">
      <c r="A143" s="9">
        <v>42114</v>
      </c>
      <c r="B143" s="10">
        <f>213852.79+277365.36</f>
        <v>491218.15</v>
      </c>
      <c r="C143" s="10">
        <f>5687.51+134222.55</f>
        <v>139910.06</v>
      </c>
      <c r="D143" s="11">
        <f t="shared" si="12"/>
        <v>351308.09</v>
      </c>
      <c r="E143" s="92"/>
      <c r="F143" s="15">
        <v>7034.84</v>
      </c>
      <c r="G143" s="15">
        <f>17009.6+12654</f>
        <v>29663.599999999999</v>
      </c>
      <c r="H143" s="15">
        <f>60000+179450+17255.84+20251+22142.4+14907</f>
        <v>314006.24</v>
      </c>
      <c r="I143" s="37">
        <f t="shared" si="13"/>
        <v>350704.68</v>
      </c>
      <c r="J143" s="15">
        <f t="shared" si="11"/>
        <v>-603.4100000000326</v>
      </c>
      <c r="L143" s="39" t="s">
        <v>229</v>
      </c>
    </row>
    <row r="144" spans="1:19" s="4" customFormat="1" ht="15.75" x14ac:dyDescent="0.25">
      <c r="A144" s="9">
        <v>42115</v>
      </c>
      <c r="B144" s="10">
        <f>394690.43+4186557.82</f>
        <v>4581248.25</v>
      </c>
      <c r="C144" s="10">
        <f>10046.43+251946.32</f>
        <v>261992.75</v>
      </c>
      <c r="D144" s="11">
        <f t="shared" si="12"/>
        <v>4319255.5</v>
      </c>
      <c r="E144" s="93" t="s">
        <v>9</v>
      </c>
      <c r="F144" s="15">
        <v>1016.5</v>
      </c>
      <c r="G144" s="15">
        <v>0</v>
      </c>
      <c r="H144" s="15">
        <f>120000+16365+6129+23315+17388+23226.65+17271+4232+74740+78748+5035.2+181687+121942.5+56872.9+64038.9+89645.4+255442.61+19973.14+104068.8+120000+94000+100000+320000+64831.79+20746.75+60000+120000+192340.47+20894.01+118000+46439.55+14999.92+57500+326000+29488+67000+85000+26578+65000+60000+34000+50515+22999+70000+13700+50000+55000+55000+65000+39000+25086+27278.5+29478+55000+40000+50000+30000+10731.5+40000+127000+75000+12000+26425+25782</f>
        <v>4317934.59</v>
      </c>
      <c r="I144" s="37">
        <f t="shared" si="13"/>
        <v>4318951.09</v>
      </c>
      <c r="J144" s="15">
        <f t="shared" si="11"/>
        <v>-304.41000000014901</v>
      </c>
      <c r="L144" s="60" t="s">
        <v>214</v>
      </c>
      <c r="M144" s="60"/>
      <c r="N144" s="60"/>
      <c r="O144" s="60"/>
      <c r="P144" s="60"/>
    </row>
    <row r="145" spans="1:16" s="4" customFormat="1" ht="15.75" x14ac:dyDescent="0.25">
      <c r="A145" s="9">
        <v>42116</v>
      </c>
      <c r="B145" s="10">
        <f>440701.9+631211.05</f>
        <v>1071912.9500000002</v>
      </c>
      <c r="C145" s="10">
        <f>22040.74+29451</f>
        <v>51491.740000000005</v>
      </c>
      <c r="D145" s="11">
        <f t="shared" si="12"/>
        <v>1020421.2100000002</v>
      </c>
      <c r="E145" s="93" t="s">
        <v>9</v>
      </c>
      <c r="F145" s="15">
        <v>1133</v>
      </c>
      <c r="G145" s="15">
        <f>24591.6+38992.3+108383.25+63776.14+24873.08</f>
        <v>260616.37</v>
      </c>
      <c r="H145" s="15">
        <f>75000+62000+50000+20000+15000+15000+10000+30000+5000+5000+5000+5000+5000+10000+5000+10000+86200+150600+62060+36044.15+26766.6+31848.1+31585.8+6566.5</f>
        <v>758671.15</v>
      </c>
      <c r="I145" s="37">
        <f t="shared" si="13"/>
        <v>1020420.52</v>
      </c>
      <c r="J145" s="15">
        <f t="shared" si="11"/>
        <v>-0.69000000017695129</v>
      </c>
    </row>
    <row r="146" spans="1:16" s="4" customFormat="1" ht="15.75" x14ac:dyDescent="0.25">
      <c r="A146" s="9">
        <v>42117</v>
      </c>
      <c r="B146" s="10">
        <f>429871.06+2782125.27</f>
        <v>3211996.33</v>
      </c>
      <c r="C146" s="10">
        <f>16282.78+2395.4+402+3289.5</f>
        <v>22369.68</v>
      </c>
      <c r="D146" s="11">
        <f t="shared" si="12"/>
        <v>3189626.65</v>
      </c>
      <c r="E146" s="93" t="s">
        <v>9</v>
      </c>
      <c r="F146" s="15">
        <v>604790.49</v>
      </c>
      <c r="G146" s="15">
        <v>0</v>
      </c>
      <c r="H146" s="15">
        <f>9858+30000+15000+111400+8800+104850+147640+1800+123000+151500+126200+100000+57181+15676+40000+50000+27552.5+15000+24000+17520+71500+23845.5+24816+22766+11516+40000+6750+23000+14000+12485+54000+16047+39000+12000+7500+19796.5+45248.5+20000+70000+15350+5351+39070+7030.5+37840+51890+6161+1191+29470+20+2254+44800+50462+2042.5+67300+2567+31400+1059+34350+3263+15093.5+14503+10767.5+5403.5+6962.5+4078+7698+16511.5+6649+8000+29000+2037+55657+6453+790+5651.5+11485.5+20533.5+20829.5+5279+18347+31174+6305.5+1835+25569.5+5880+7012.5+13083+721.5+3500+7500+47939.37+27507</f>
        <v>2593875.87</v>
      </c>
      <c r="I146" s="37">
        <f t="shared" si="13"/>
        <v>3198666.3600000003</v>
      </c>
      <c r="J146" s="15">
        <f t="shared" si="11"/>
        <v>9039.7100000004284</v>
      </c>
      <c r="L146" s="60" t="s">
        <v>319</v>
      </c>
      <c r="M146" s="60"/>
    </row>
    <row r="147" spans="1:16" s="4" customFormat="1" ht="15.75" x14ac:dyDescent="0.25">
      <c r="A147" s="9">
        <v>42118</v>
      </c>
      <c r="B147" s="10">
        <f>295613.83+305332.71</f>
        <v>600946.54</v>
      </c>
      <c r="C147" s="10">
        <f>19435.49</f>
        <v>19435.490000000002</v>
      </c>
      <c r="D147" s="11">
        <f t="shared" si="12"/>
        <v>581511.05000000005</v>
      </c>
      <c r="E147" s="93" t="s">
        <v>9</v>
      </c>
      <c r="F147" s="15">
        <v>2594.5</v>
      </c>
      <c r="G147" s="15">
        <v>17880</v>
      </c>
      <c r="H147" s="15">
        <f>12650+73350+42300+48070+23450+165000+27000+47205+50865+23397.4+10564.76+8424.6+24353.5+4406</f>
        <v>561036.26</v>
      </c>
      <c r="I147" s="37">
        <f t="shared" si="13"/>
        <v>581510.76</v>
      </c>
      <c r="J147" s="15">
        <f t="shared" si="11"/>
        <v>-0.2900000000372529</v>
      </c>
    </row>
    <row r="148" spans="1:16" s="4" customFormat="1" ht="15.75" x14ac:dyDescent="0.25">
      <c r="A148" s="9">
        <v>42119</v>
      </c>
      <c r="B148" s="79">
        <f>369954.2+999334.25</f>
        <v>1369288.45</v>
      </c>
      <c r="C148" s="80">
        <f>28979.52+480+127999</f>
        <v>157458.51999999999</v>
      </c>
      <c r="D148" s="11">
        <f t="shared" si="12"/>
        <v>1211829.93</v>
      </c>
      <c r="E148" s="93" t="s">
        <v>9</v>
      </c>
      <c r="F148" s="15">
        <v>20898.349999999999</v>
      </c>
      <c r="G148" s="15">
        <f>34927.8+64441.2+70944.2+8300+9186.8+8220.4+110295.61+79574.1+18528</f>
        <v>404418.11</v>
      </c>
      <c r="H148" s="15">
        <f>15200+50000+33300+103400+100000+165000+1000+86650+18710.3+49914.55+56486.6+34000+57268.05+13301+2284.56</f>
        <v>786515.06000000017</v>
      </c>
      <c r="I148" s="37">
        <f>H148+G148+F148</f>
        <v>1211831.5200000003</v>
      </c>
      <c r="J148" s="15">
        <f t="shared" si="11"/>
        <v>1.5900000003166497</v>
      </c>
    </row>
    <row r="149" spans="1:16" s="4" customFormat="1" ht="15.75" x14ac:dyDescent="0.25">
      <c r="A149" s="9">
        <v>42120</v>
      </c>
      <c r="B149" s="10">
        <f>122400.13+26487.3</f>
        <v>148887.43</v>
      </c>
      <c r="C149" s="10">
        <f>8522+300+20956.86</f>
        <v>29778.86</v>
      </c>
      <c r="D149" s="11">
        <f t="shared" si="12"/>
        <v>119108.56999999999</v>
      </c>
      <c r="E149" s="93" t="s">
        <v>9</v>
      </c>
      <c r="F149" s="15">
        <v>45</v>
      </c>
      <c r="G149" s="15">
        <v>25242.5</v>
      </c>
      <c r="H149" s="15">
        <f>17450+371+30000+46000</f>
        <v>93821</v>
      </c>
      <c r="I149" s="37">
        <f t="shared" si="13"/>
        <v>119108.5</v>
      </c>
      <c r="J149" s="15">
        <f t="shared" si="11"/>
        <v>-6.9999999992433004E-2</v>
      </c>
    </row>
    <row r="150" spans="1:16" s="4" customFormat="1" ht="15.75" x14ac:dyDescent="0.25">
      <c r="A150" s="9">
        <v>42121</v>
      </c>
      <c r="B150" s="10">
        <f>305774.33+283214.22</f>
        <v>588988.55000000005</v>
      </c>
      <c r="C150" s="10">
        <f>14967.66+120072.92</f>
        <v>135040.57999999999</v>
      </c>
      <c r="D150" s="11">
        <f t="shared" si="12"/>
        <v>453947.97000000009</v>
      </c>
      <c r="E150" s="93" t="s">
        <v>9</v>
      </c>
      <c r="F150" s="15">
        <v>526.79999999999995</v>
      </c>
      <c r="G150" s="15">
        <v>0</v>
      </c>
      <c r="H150" s="15">
        <f>19000+30000+100000+28000+50400+135750+76200+3396+10675.5</f>
        <v>453421.5</v>
      </c>
      <c r="I150" s="37">
        <f t="shared" si="13"/>
        <v>453948.3</v>
      </c>
      <c r="J150" s="15">
        <f t="shared" si="11"/>
        <v>0.32999999989988282</v>
      </c>
    </row>
    <row r="151" spans="1:16" s="4" customFormat="1" ht="15.75" x14ac:dyDescent="0.25">
      <c r="A151" s="9">
        <v>42122</v>
      </c>
      <c r="B151" s="10">
        <f>247808.54+950689</f>
        <v>1198497.54</v>
      </c>
      <c r="C151" s="10">
        <f>29321.1+145247.96</f>
        <v>174569.06</v>
      </c>
      <c r="D151" s="11">
        <f t="shared" si="12"/>
        <v>1023928.48</v>
      </c>
      <c r="E151" s="93" t="s">
        <v>9</v>
      </c>
      <c r="F151" s="15">
        <v>713.2</v>
      </c>
      <c r="G151" s="15">
        <v>10976.6</v>
      </c>
      <c r="H151" s="15">
        <f>16500+100560+88750+57300+21000+51000+42462+6250+17026+57800+46900+70360+184000+146280+31800+37000+18000+4701</f>
        <v>997689</v>
      </c>
      <c r="I151" s="37">
        <f t="shared" si="13"/>
        <v>1009378.7999999999</v>
      </c>
      <c r="J151" s="15">
        <f t="shared" si="11"/>
        <v>-14549.680000000051</v>
      </c>
      <c r="L151" s="60" t="s">
        <v>226</v>
      </c>
      <c r="M151" s="60"/>
      <c r="N151" s="60"/>
      <c r="O151" s="60"/>
      <c r="P151" s="60"/>
    </row>
    <row r="152" spans="1:16" s="4" customFormat="1" ht="15.75" x14ac:dyDescent="0.25">
      <c r="A152" s="9">
        <v>42123</v>
      </c>
      <c r="B152" s="10">
        <f>714173.93+710230.8</f>
        <v>1424404.73</v>
      </c>
      <c r="C152" s="10">
        <v>31136.09</v>
      </c>
      <c r="D152" s="11">
        <f t="shared" si="12"/>
        <v>1393268.64</v>
      </c>
      <c r="E152" s="92"/>
      <c r="F152" s="15">
        <v>7300</v>
      </c>
      <c r="G152" s="15"/>
      <c r="H152" s="15">
        <f>175460+25000+68200+10000+53700+135000+79800+28423.5+79800+10766.8+4681.5+122500+193000+125889+24252.53+25026.6+22545.93+53132.23</f>
        <v>1237178.0900000001</v>
      </c>
      <c r="I152" s="37">
        <f t="shared" si="13"/>
        <v>1244478.0900000001</v>
      </c>
      <c r="J152" s="15">
        <f t="shared" si="11"/>
        <v>-148790.54999999981</v>
      </c>
      <c r="L152" s="39" t="s">
        <v>230</v>
      </c>
    </row>
    <row r="153" spans="1:16" s="4" customFormat="1" ht="15.75" x14ac:dyDescent="0.25">
      <c r="A153" s="9">
        <v>42124</v>
      </c>
      <c r="B153" s="10">
        <f>356520.93+448891.8</f>
        <v>805412.73</v>
      </c>
      <c r="C153" s="10">
        <f>4260+254+1500+250+81238</f>
        <v>87502</v>
      </c>
      <c r="D153" s="11">
        <f t="shared" si="12"/>
        <v>717910.73</v>
      </c>
      <c r="E153" s="93" t="s">
        <v>9</v>
      </c>
      <c r="F153" s="15">
        <v>0</v>
      </c>
      <c r="G153" s="15">
        <f>19251.6+16677.97+82540</f>
        <v>118469.57</v>
      </c>
      <c r="H153" s="15">
        <f>96000+78500+70000+134050+66917.2+52226.8+68695.18+33052</f>
        <v>599441.17999999993</v>
      </c>
      <c r="I153" s="37">
        <f t="shared" si="13"/>
        <v>717910.75</v>
      </c>
      <c r="J153" s="15">
        <f t="shared" si="11"/>
        <v>2.0000000018626451E-2</v>
      </c>
    </row>
    <row r="154" spans="1:16" s="4" customFormat="1" ht="15.75" x14ac:dyDescent="0.25">
      <c r="A154" s="9"/>
      <c r="B154" s="10"/>
      <c r="C154" s="10"/>
      <c r="D154" s="11">
        <f t="shared" si="12"/>
        <v>0</v>
      </c>
      <c r="E154" s="93"/>
      <c r="F154" s="15"/>
      <c r="G154" s="15"/>
      <c r="H154" s="15"/>
      <c r="J154" s="15">
        <f t="shared" si="11"/>
        <v>0</v>
      </c>
    </row>
    <row r="155" spans="1:16" s="4" customFormat="1" ht="15.75" x14ac:dyDescent="0.25">
      <c r="A155" s="9"/>
      <c r="B155" s="10"/>
      <c r="C155" s="10"/>
      <c r="D155" s="11">
        <f t="shared" si="12"/>
        <v>0</v>
      </c>
      <c r="G155" s="15"/>
      <c r="H155" s="15"/>
      <c r="J155" s="15">
        <f t="shared" si="11"/>
        <v>0</v>
      </c>
    </row>
    <row r="156" spans="1:16" s="4" customFormat="1" ht="15.75" x14ac:dyDescent="0.25">
      <c r="A156" s="14"/>
      <c r="B156" s="10"/>
      <c r="C156" s="10"/>
      <c r="D156" s="11">
        <f t="shared" si="12"/>
        <v>0</v>
      </c>
      <c r="G156" s="15"/>
      <c r="H156" s="15"/>
      <c r="J156" s="15">
        <f t="shared" si="11"/>
        <v>0</v>
      </c>
    </row>
    <row r="157" spans="1:16" s="4" customFormat="1" ht="15.75" x14ac:dyDescent="0.25">
      <c r="A157" s="14"/>
      <c r="B157" s="13"/>
      <c r="C157" s="10"/>
      <c r="D157" s="11">
        <f t="shared" si="12"/>
        <v>0</v>
      </c>
      <c r="G157" s="15"/>
      <c r="H157" s="15"/>
      <c r="J157" s="15">
        <f t="shared" si="11"/>
        <v>0</v>
      </c>
    </row>
    <row r="158" spans="1:16" s="4" customFormat="1" ht="15.75" x14ac:dyDescent="0.25">
      <c r="A158" s="14"/>
      <c r="B158" s="10"/>
      <c r="C158" s="10"/>
      <c r="D158" s="11">
        <f t="shared" si="12"/>
        <v>0</v>
      </c>
      <c r="G158" s="15"/>
      <c r="H158" s="15"/>
      <c r="J158" s="15">
        <f t="shared" si="11"/>
        <v>0</v>
      </c>
    </row>
    <row r="159" spans="1:16" s="4" customFormat="1" ht="15.75" x14ac:dyDescent="0.25">
      <c r="A159" s="14"/>
      <c r="B159" s="10">
        <f>SUM(B124:B158)</f>
        <v>36968279.479999989</v>
      </c>
      <c r="C159" s="10">
        <f>SUM(C124:C158)</f>
        <v>3214534.7</v>
      </c>
      <c r="D159" s="11">
        <f t="shared" si="12"/>
        <v>33753744.779999986</v>
      </c>
      <c r="F159" s="15"/>
      <c r="G159" s="15"/>
      <c r="H159" s="15"/>
      <c r="J159" s="15">
        <f t="shared" si="11"/>
        <v>-33753744.779999986</v>
      </c>
    </row>
    <row r="161" spans="1:19" s="4" customFormat="1" ht="18.75" x14ac:dyDescent="0.3">
      <c r="A161" s="1"/>
      <c r="B161" s="57" t="s">
        <v>57</v>
      </c>
      <c r="C161" s="57"/>
      <c r="D161" s="2"/>
      <c r="E161" s="3"/>
      <c r="G161" s="15"/>
    </row>
    <row r="162" spans="1:19" s="4" customFormat="1" ht="15.75" x14ac:dyDescent="0.25">
      <c r="A162" s="5"/>
      <c r="B162" s="6"/>
      <c r="C162" s="23" t="s">
        <v>6</v>
      </c>
      <c r="D162" s="7"/>
      <c r="E162" s="3"/>
      <c r="G162" s="15"/>
    </row>
    <row r="163" spans="1:19" s="4" customFormat="1" ht="16.5" thickBot="1" x14ac:dyDescent="0.3">
      <c r="A163" s="19" t="s">
        <v>0</v>
      </c>
      <c r="B163" s="20" t="s">
        <v>1</v>
      </c>
      <c r="C163" s="21" t="s">
        <v>2</v>
      </c>
      <c r="D163" s="22" t="s">
        <v>4</v>
      </c>
      <c r="E163" s="3"/>
      <c r="F163" s="38" t="s">
        <v>19</v>
      </c>
      <c r="G163" s="32" t="s">
        <v>10</v>
      </c>
      <c r="H163" s="27" t="s">
        <v>8</v>
      </c>
      <c r="I163" s="50"/>
      <c r="J163" s="33" t="s">
        <v>11</v>
      </c>
      <c r="K163" s="34" t="s">
        <v>13</v>
      </c>
    </row>
    <row r="164" spans="1:19" s="4" customFormat="1" ht="16.5" thickTop="1" x14ac:dyDescent="0.25">
      <c r="A164" s="9">
        <v>42125</v>
      </c>
      <c r="B164" s="10">
        <f>455448.79+2211843.29</f>
        <v>2667292.08</v>
      </c>
      <c r="C164" s="10">
        <f>23726.26+175868.15</f>
        <v>199594.41</v>
      </c>
      <c r="D164" s="11">
        <f>B164-C164</f>
        <v>2467697.67</v>
      </c>
      <c r="E164" s="25" t="s">
        <v>9</v>
      </c>
      <c r="F164" s="15">
        <v>0</v>
      </c>
      <c r="G164" s="15">
        <v>9665.6</v>
      </c>
      <c r="H164" s="15">
        <f>14200+90000+110000+87800+115400+15377+4693+3596+3409+37300+5068.5+45690+24440+6148.5+25210+5720+19550+7631+6080+22720+5179+26850+47101+54220+5443+25595+55000+30000+60000+23079+40000+25000+19573+32033+75000+26517.5+30000+20000+52210+27306+50000+22435+43000+50000+78310+20000+85000+48000+20000+27405+35000+36068.5+120000+30000+90000+48000+27213+28000+24628.5+1664+29890+23644+28897.5+26472+70000+49611+25000+33324</f>
        <v>2501702</v>
      </c>
      <c r="I164" s="37">
        <f>H164+G164+F164</f>
        <v>2511367.6</v>
      </c>
      <c r="J164" s="15">
        <f t="shared" ref="J164:J199" si="14">H164+G164+F164-D164</f>
        <v>43669.930000000168</v>
      </c>
      <c r="L164" s="60" t="s">
        <v>224</v>
      </c>
      <c r="M164" s="60"/>
    </row>
    <row r="165" spans="1:19" s="4" customFormat="1" ht="15.75" x14ac:dyDescent="0.25">
      <c r="A165" s="9">
        <v>42126</v>
      </c>
      <c r="B165" s="10">
        <f>469469+2665492.34+2000</f>
        <v>3136961.34</v>
      </c>
      <c r="C165" s="10">
        <f>16478+7955.77+480+18838.4</f>
        <v>43752.17</v>
      </c>
      <c r="D165" s="11">
        <f t="shared" ref="D165:D199" si="15">B165-C165</f>
        <v>3093209.17</v>
      </c>
      <c r="E165" s="25" t="s">
        <v>9</v>
      </c>
      <c r="F165" s="31">
        <v>50154</v>
      </c>
      <c r="G165" s="31">
        <v>113035.35</v>
      </c>
      <c r="H165" s="15">
        <f>144700+153920+36500+150000+120000+20000+119050+65800+58000+4810+6254.5+28235.5+6465.5+24934.5+6680.5+2008+24000+60478.5+5493+17578+4928+10201+13056+13912+10344+4381+5643+56007+15218.5+5611.5+21270+3910+20235+7691+6454+3757+7691.5+20141.5+1614.5+21185.5+16251.5+22575.5+6266.5+5245.5+23050+33404.5+4893.5+35288+9318.5+5186.5+14597+33216.5+13243.5+32000+30000+37000+15858+35000+33000+20691.5+45000+25000+40000+40000+50000+8526+20000+30000+40000+25446.5+43000+25721+23500+45000+12000+40000+27000+15802.5+19000+16970+20500+26000+20256.5+28000+50000+20000+19113+35000+18000+45000+55000+5658.5+25000+35000+46000+25256+57000+17254+10000+2000</f>
        <v>2886250.5</v>
      </c>
      <c r="I165" s="37">
        <f t="shared" ref="I165:I194" si="16">H165+G165+F165</f>
        <v>3049439.85</v>
      </c>
      <c r="J165" s="15">
        <f t="shared" si="14"/>
        <v>-43769.319999999832</v>
      </c>
      <c r="K165" s="4" t="s">
        <v>232</v>
      </c>
      <c r="L165" s="60" t="s">
        <v>246</v>
      </c>
      <c r="M165" s="60"/>
      <c r="N165" s="60"/>
      <c r="O165" s="60"/>
      <c r="P165" s="60"/>
      <c r="Q165" s="60"/>
      <c r="R165" s="60"/>
      <c r="S165" s="60"/>
    </row>
    <row r="166" spans="1:19" s="4" customFormat="1" ht="15.75" x14ac:dyDescent="0.25">
      <c r="A166" s="9">
        <v>42127</v>
      </c>
      <c r="B166" s="10">
        <f>235899.02+149516.5</f>
        <v>385415.52</v>
      </c>
      <c r="C166" s="10">
        <f>13537.4+15424.2</f>
        <v>28961.599999999999</v>
      </c>
      <c r="D166" s="11">
        <f t="shared" si="15"/>
        <v>356453.92000000004</v>
      </c>
      <c r="E166" s="25" t="s">
        <v>9</v>
      </c>
      <c r="F166" s="15">
        <v>0</v>
      </c>
      <c r="G166" s="15">
        <v>0</v>
      </c>
      <c r="H166" s="15">
        <f>33154+90000+50000+70000+70000+43300</f>
        <v>356454</v>
      </c>
      <c r="I166" s="37">
        <f t="shared" si="16"/>
        <v>356454</v>
      </c>
      <c r="J166" s="15">
        <f t="shared" si="14"/>
        <v>7.9999999958090484E-2</v>
      </c>
      <c r="K166" s="43"/>
    </row>
    <row r="167" spans="1:19" s="4" customFormat="1" ht="15.75" x14ac:dyDescent="0.25">
      <c r="A167" s="9">
        <v>42128</v>
      </c>
      <c r="B167" s="10">
        <f>377603.12+1652715.48</f>
        <v>2030318.6</v>
      </c>
      <c r="C167" s="10">
        <f>33707.1+113995</f>
        <v>147702.1</v>
      </c>
      <c r="D167" s="11">
        <f t="shared" si="15"/>
        <v>1882616.5</v>
      </c>
      <c r="E167" s="25" t="s">
        <v>9</v>
      </c>
      <c r="F167" s="15">
        <v>507.4</v>
      </c>
      <c r="G167" s="15">
        <f>8235+9022.32+50007.35+25073.5</f>
        <v>92338.17</v>
      </c>
      <c r="H167" s="15">
        <f>58000+42000+151200+37200+24306+169879+46400+37000+22100+100844+119000+61000+76450+81200.17+29941.3+80000+166000+70000+135000+189806.5+88187+4253</f>
        <v>1789766.97</v>
      </c>
      <c r="I167" s="37">
        <f t="shared" si="16"/>
        <v>1882612.5399999998</v>
      </c>
      <c r="J167" s="15">
        <f t="shared" si="14"/>
        <v>-3.9600000001955777</v>
      </c>
    </row>
    <row r="168" spans="1:19" s="4" customFormat="1" ht="15.75" x14ac:dyDescent="0.25">
      <c r="A168" s="9">
        <v>42129</v>
      </c>
      <c r="B168" s="10">
        <f>232528.54+824714.23</f>
        <v>1057242.77</v>
      </c>
      <c r="C168" s="10">
        <f>3594+254+480+297822.73</f>
        <v>302150.73</v>
      </c>
      <c r="D168" s="11">
        <f t="shared" si="15"/>
        <v>755092.04</v>
      </c>
      <c r="E168" s="25" t="s">
        <v>9</v>
      </c>
      <c r="F168" s="15">
        <v>1157.99</v>
      </c>
      <c r="G168" s="15">
        <v>21251.599999999999</v>
      </c>
      <c r="H168" s="15">
        <f>17800+80000+51798.5+24353.5+40390.4+3553.2+4088.72+53000+83000+72970+160100+67081.2+75278.15+6615</f>
        <v>740028.67</v>
      </c>
      <c r="I168" s="37">
        <f t="shared" si="16"/>
        <v>762438.26</v>
      </c>
      <c r="J168" s="15">
        <f t="shared" si="14"/>
        <v>7346.2199999999721</v>
      </c>
      <c r="L168" s="60" t="s">
        <v>247</v>
      </c>
      <c r="M168" s="60"/>
      <c r="N168" s="60"/>
    </row>
    <row r="169" spans="1:19" s="4" customFormat="1" ht="15.75" x14ac:dyDescent="0.25">
      <c r="A169" s="9">
        <v>42130</v>
      </c>
      <c r="B169" s="10">
        <f>274473.95+604326.75</f>
        <v>878800.7</v>
      </c>
      <c r="C169" s="10">
        <f>72088+88715.8</f>
        <v>160803.79999999999</v>
      </c>
      <c r="D169" s="11">
        <f t="shared" si="15"/>
        <v>717996.89999999991</v>
      </c>
      <c r="E169" s="25" t="s">
        <v>9</v>
      </c>
      <c r="F169" s="15">
        <v>103979.4</v>
      </c>
      <c r="G169" s="15">
        <v>0</v>
      </c>
      <c r="H169" s="15">
        <f>157850+50020+81600+47300+138000+33397+67380+25500+5625</f>
        <v>606672</v>
      </c>
      <c r="I169" s="37">
        <f t="shared" si="16"/>
        <v>710651.4</v>
      </c>
      <c r="J169" s="15">
        <f t="shared" si="14"/>
        <v>-7345.4999999998836</v>
      </c>
      <c r="L169" s="60" t="s">
        <v>270</v>
      </c>
      <c r="M169" s="60"/>
      <c r="N169" s="60"/>
      <c r="O169" s="60"/>
      <c r="P169" s="60"/>
    </row>
    <row r="170" spans="1:19" s="4" customFormat="1" ht="15.75" x14ac:dyDescent="0.25">
      <c r="A170" s="9">
        <v>42131</v>
      </c>
      <c r="B170" s="10">
        <f>365004.68+211927.03</f>
        <v>576931.71</v>
      </c>
      <c r="C170" s="10">
        <f>31525.27+2600+300+95+64160.66</f>
        <v>98680.930000000008</v>
      </c>
      <c r="D170" s="11">
        <f t="shared" si="15"/>
        <v>478250.77999999997</v>
      </c>
      <c r="E170" s="25" t="s">
        <v>9</v>
      </c>
      <c r="F170" s="15">
        <v>510</v>
      </c>
      <c r="G170" s="15">
        <v>11829.9</v>
      </c>
      <c r="H170" s="15">
        <f>60800+44600+75800+89700+90700+71700+32611</f>
        <v>465911</v>
      </c>
      <c r="I170" s="37">
        <f t="shared" si="16"/>
        <v>478250.9</v>
      </c>
      <c r="J170" s="15">
        <f t="shared" si="14"/>
        <v>0.12000000005355105</v>
      </c>
    </row>
    <row r="171" spans="1:19" s="4" customFormat="1" ht="15.75" x14ac:dyDescent="0.25">
      <c r="A171" s="9">
        <v>42132</v>
      </c>
      <c r="B171" s="10">
        <f>363613.71+271396.36</f>
        <v>635010.07000000007</v>
      </c>
      <c r="C171" s="10">
        <f>18128.86+28783.44</f>
        <v>46912.3</v>
      </c>
      <c r="D171" s="11">
        <f t="shared" si="15"/>
        <v>588097.77</v>
      </c>
      <c r="E171" s="25" t="s">
        <v>9</v>
      </c>
      <c r="F171" s="15">
        <v>3700.41</v>
      </c>
      <c r="G171" s="15">
        <f>9022.32+8425.55</f>
        <v>17447.87</v>
      </c>
      <c r="H171" s="15">
        <f>85400+24200+46900+52600+71100+72800+85000+39836+89142</f>
        <v>566978</v>
      </c>
      <c r="I171" s="37">
        <f t="shared" si="16"/>
        <v>588126.28</v>
      </c>
      <c r="J171" s="15">
        <f t="shared" si="14"/>
        <v>28.510000000009313</v>
      </c>
    </row>
    <row r="172" spans="1:19" s="4" customFormat="1" ht="15.75" x14ac:dyDescent="0.25">
      <c r="A172" s="9">
        <v>42133</v>
      </c>
      <c r="B172" s="10">
        <f>482827.63+1870782.78</f>
        <v>2353610.41</v>
      </c>
      <c r="C172" s="10">
        <f>51182.3+72618.6</f>
        <v>123800.90000000001</v>
      </c>
      <c r="D172" s="11">
        <f t="shared" si="15"/>
        <v>2229809.5100000002</v>
      </c>
      <c r="E172" s="25" t="s">
        <v>9</v>
      </c>
      <c r="F172" s="15">
        <v>13017.85</v>
      </c>
      <c r="G172" s="15">
        <f>66684.2+78388.65+50446.05+31635.11+23584.7+9971.35+142071.06+40619.75+132913.39+30228.25</f>
        <v>606542.51</v>
      </c>
      <c r="H172" s="15">
        <f>56600+115000+53500+125000+100000+230000+128000+25000+7420+4791.6+6726.6+3804.18+31984.35+13286.7+76750+22070+170000+42912+173000+84500+18476.5+19338.9+91951.5+60000</f>
        <v>1660112.3299999998</v>
      </c>
      <c r="I172" s="37">
        <f t="shared" si="16"/>
        <v>2279672.69</v>
      </c>
      <c r="J172" s="15">
        <f t="shared" si="14"/>
        <v>49863.179999999702</v>
      </c>
      <c r="K172" s="98">
        <v>30228.25</v>
      </c>
      <c r="L172" s="60" t="s">
        <v>271</v>
      </c>
      <c r="M172" s="60"/>
    </row>
    <row r="173" spans="1:19" s="4" customFormat="1" ht="15.75" x14ac:dyDescent="0.25">
      <c r="A173" s="9">
        <v>42134</v>
      </c>
      <c r="B173" s="10">
        <f>232839.12+197160.37</f>
        <v>429999.49</v>
      </c>
      <c r="C173" s="10">
        <f>10540+13292.4</f>
        <v>23832.400000000001</v>
      </c>
      <c r="D173" s="11">
        <f t="shared" si="15"/>
        <v>406167.08999999997</v>
      </c>
      <c r="E173" s="25" t="s">
        <v>9</v>
      </c>
      <c r="F173" s="15">
        <v>932.85</v>
      </c>
      <c r="G173" s="15">
        <v>0</v>
      </c>
      <c r="H173" s="15">
        <f>42534+60000+75000+57000+56700+54000+5200+54800</f>
        <v>405234</v>
      </c>
      <c r="I173" s="37">
        <f t="shared" si="16"/>
        <v>406166.85</v>
      </c>
      <c r="J173" s="15">
        <f t="shared" si="14"/>
        <v>-0.23999999999068677</v>
      </c>
    </row>
    <row r="174" spans="1:19" s="4" customFormat="1" ht="15.75" x14ac:dyDescent="0.25">
      <c r="A174" s="9">
        <v>42135</v>
      </c>
      <c r="B174" s="10">
        <f>310317.07+1082087.61</f>
        <v>1392404.6800000002</v>
      </c>
      <c r="C174" s="10">
        <f>4836.78+254+232735.1</f>
        <v>237825.88</v>
      </c>
      <c r="D174" s="11">
        <f t="shared" si="15"/>
        <v>1154578.8000000003</v>
      </c>
      <c r="E174" s="25" t="s">
        <v>9</v>
      </c>
      <c r="F174" s="15">
        <v>104420.4</v>
      </c>
      <c r="G174" s="15">
        <f>17974.91+41191.55</f>
        <v>59166.460000000006</v>
      </c>
      <c r="H174" s="15">
        <f>7450+18120+32800+42270+81700+34452.5+10708.8+99614+464525.11+100000+100000+8792</f>
        <v>1000432.4099999999</v>
      </c>
      <c r="I174" s="37">
        <f t="shared" si="16"/>
        <v>1164019.2699999998</v>
      </c>
      <c r="J174" s="15">
        <f t="shared" si="14"/>
        <v>9440.4699999995064</v>
      </c>
      <c r="L174" s="60" t="s">
        <v>249</v>
      </c>
      <c r="M174" s="60"/>
    </row>
    <row r="175" spans="1:19" s="4" customFormat="1" ht="15.75" x14ac:dyDescent="0.25">
      <c r="A175" s="9">
        <v>42136</v>
      </c>
      <c r="B175" s="10">
        <f>234977.57+453429.73</f>
        <v>688407.3</v>
      </c>
      <c r="C175" s="10">
        <f>13484+41839.8</f>
        <v>55323.8</v>
      </c>
      <c r="D175" s="11">
        <f t="shared" si="15"/>
        <v>633083.5</v>
      </c>
      <c r="E175" s="25" t="s">
        <v>9</v>
      </c>
      <c r="F175" s="15">
        <v>3567.35</v>
      </c>
      <c r="G175" s="15">
        <v>7503.45</v>
      </c>
      <c r="H175" s="15">
        <f>52500+95800+79800+110000+96900+91076+29000+4869.04+23586.8+38481</f>
        <v>622012.84000000008</v>
      </c>
      <c r="I175" s="37">
        <f t="shared" si="16"/>
        <v>633083.64</v>
      </c>
      <c r="J175" s="15">
        <f t="shared" si="14"/>
        <v>0.14000000001396984</v>
      </c>
    </row>
    <row r="176" spans="1:19" s="4" customFormat="1" ht="15.75" x14ac:dyDescent="0.25">
      <c r="A176" s="9">
        <v>42137</v>
      </c>
      <c r="B176" s="10">
        <f>260450.07+1326327.86</f>
        <v>1586777.9300000002</v>
      </c>
      <c r="C176" s="10">
        <f>16040.16+100+49605.62</f>
        <v>65745.78</v>
      </c>
      <c r="D176" s="11">
        <f t="shared" si="15"/>
        <v>1521032.1500000001</v>
      </c>
      <c r="E176" s="25" t="s">
        <v>9</v>
      </c>
      <c r="F176" s="15">
        <v>7185</v>
      </c>
      <c r="G176" s="15">
        <f>21383.6+8578.5+41160+727.5+158680.98</f>
        <v>230530.58000000002</v>
      </c>
      <c r="H176" s="15">
        <f>19200+36200+144940+46400+100000+20000+109400+62210.4+219970+15283.1+33293+269500+500+188700+17722.5</f>
        <v>1283319</v>
      </c>
      <c r="I176" s="37">
        <f t="shared" si="16"/>
        <v>1521034.58</v>
      </c>
      <c r="J176" s="15">
        <f t="shared" si="14"/>
        <v>2.4299999999348074</v>
      </c>
      <c r="L176" s="60" t="s">
        <v>248</v>
      </c>
      <c r="M176" s="60"/>
      <c r="N176" s="60"/>
      <c r="O176" s="60"/>
      <c r="P176" s="60"/>
      <c r="Q176" s="60"/>
    </row>
    <row r="177" spans="1:19" s="4" customFormat="1" ht="15.75" x14ac:dyDescent="0.25">
      <c r="A177" s="9">
        <v>42138</v>
      </c>
      <c r="B177" s="10">
        <f>376047.62+2228922.41</f>
        <v>2604970.0300000003</v>
      </c>
      <c r="C177" s="10">
        <f>89798.9+450+254+79393.6</f>
        <v>169896.5</v>
      </c>
      <c r="D177" s="11">
        <f t="shared" si="15"/>
        <v>2435073.5300000003</v>
      </c>
      <c r="E177" s="25" t="s">
        <v>9</v>
      </c>
      <c r="F177" s="15">
        <v>2162.4</v>
      </c>
      <c r="G177" s="15">
        <v>0</v>
      </c>
      <c r="H177" s="15">
        <f>81300+52800+100000+40000+30000+1580+20060+3960+14197.56+9881.52+22882.54+61071.9+70297.2+9216+7239+26958.8+118915+24798.24+25098.15+26167+55000+85000+63000+27828+20000+65000+26877+22245+35000+50000+51000+24776+35000+9835+60000+12776+75000+41800.5+17000+105000+40000+23031+27828+49600+20000+30000+51776.7+64500+31750+70000+90000+40000+50000+90000+50000+29153+35293+11419</f>
        <v>2432911.1100000003</v>
      </c>
      <c r="I177" s="37">
        <f t="shared" si="16"/>
        <v>2435073.5100000002</v>
      </c>
      <c r="J177" s="15">
        <f t="shared" si="14"/>
        <v>-2.0000000018626451E-2</v>
      </c>
      <c r="L177" s="60" t="s">
        <v>250</v>
      </c>
      <c r="M177" s="60"/>
      <c r="N177" s="60"/>
      <c r="O177" s="60"/>
      <c r="P177" s="60"/>
    </row>
    <row r="178" spans="1:19" s="4" customFormat="1" ht="15.75" x14ac:dyDescent="0.25">
      <c r="A178" s="9">
        <v>42139</v>
      </c>
      <c r="B178" s="10">
        <f>382946.9+508251.98</f>
        <v>891198.88</v>
      </c>
      <c r="C178" s="10">
        <f>17335.68+939+61+105080.5</f>
        <v>123416.18</v>
      </c>
      <c r="D178" s="11">
        <f t="shared" si="15"/>
        <v>767782.7</v>
      </c>
      <c r="E178" s="25" t="s">
        <v>9</v>
      </c>
      <c r="F178" s="15">
        <v>7376.2</v>
      </c>
      <c r="G178" s="15">
        <f>37271.1+55500.08+71754.05+75237+21476.94+40427.58+18950+9301.8+35233.4</f>
        <v>365151.95</v>
      </c>
      <c r="H178" s="15">
        <f>27000+121700+19400+65100+45264+17385.53+11204.8+88200</f>
        <v>395254.33</v>
      </c>
      <c r="I178" s="37">
        <f t="shared" si="16"/>
        <v>767782.48</v>
      </c>
      <c r="J178" s="15">
        <f t="shared" si="14"/>
        <v>-0.21999999997206032</v>
      </c>
    </row>
    <row r="179" spans="1:19" s="4" customFormat="1" ht="15.75" x14ac:dyDescent="0.25">
      <c r="A179" s="9">
        <v>42140</v>
      </c>
      <c r="B179" s="10">
        <f>438188.6+3563285.47</f>
        <v>4001474.0700000003</v>
      </c>
      <c r="C179" s="10">
        <f>27184.6+95220.4</f>
        <v>122405</v>
      </c>
      <c r="D179" s="11">
        <f t="shared" si="15"/>
        <v>3879069.0700000003</v>
      </c>
      <c r="E179" s="25" t="s">
        <v>9</v>
      </c>
      <c r="F179" s="15">
        <v>215</v>
      </c>
      <c r="G179" s="15">
        <f>24645.6+137904.16</f>
        <v>162549.76000000001</v>
      </c>
      <c r="H179" s="15">
        <f>122600+108650+49200+300000+144110+33851+5191.5+4047+5515.5+43500+68400+4951+5768+60450+5249.5+21910+34883+18900+5723+8378+12950+41935.5+63751+10201+51870+40470+10693+14126+22950+36440+30800+5160.5+109611.3+51896.62+21229.88+170000+96500+50000+70000+160000+62200+100000+30649.99+35127.81+120000+186000+104000+30000+58315+28750+202000+151500+189240+109400+43500+1255.8+23215.4+56294.36+31969.2+31025</f>
        <v>3716304.86</v>
      </c>
      <c r="I179" s="37">
        <f t="shared" si="16"/>
        <v>3879069.62</v>
      </c>
      <c r="J179" s="15">
        <f t="shared" si="14"/>
        <v>0.54999999981373549</v>
      </c>
    </row>
    <row r="180" spans="1:19" s="4" customFormat="1" ht="15.75" x14ac:dyDescent="0.25">
      <c r="A180" s="9">
        <v>42141</v>
      </c>
      <c r="B180" s="10">
        <f>151449.43+98581.2</f>
        <v>250030.63</v>
      </c>
      <c r="C180" s="10">
        <f>5378.5+14229.6</f>
        <v>19608.099999999999</v>
      </c>
      <c r="D180" s="11">
        <f t="shared" si="15"/>
        <v>230422.53</v>
      </c>
      <c r="E180" s="25" t="s">
        <v>9</v>
      </c>
      <c r="F180" s="15">
        <v>1239</v>
      </c>
      <c r="G180" s="15">
        <f>8291.8+8508.8</f>
        <v>16800.599999999999</v>
      </c>
      <c r="H180" s="15">
        <f>14283+42500+50000+32400+73200</f>
        <v>212383</v>
      </c>
      <c r="I180" s="37">
        <f t="shared" si="16"/>
        <v>230422.6</v>
      </c>
      <c r="J180" s="15">
        <f t="shared" si="14"/>
        <v>7.0000000006984919E-2</v>
      </c>
    </row>
    <row r="181" spans="1:19" s="4" customFormat="1" ht="15.75" x14ac:dyDescent="0.25">
      <c r="A181" s="9">
        <v>42142</v>
      </c>
      <c r="B181" s="10">
        <f>436529.64+1082157.78</f>
        <v>1518687.42</v>
      </c>
      <c r="C181" s="10">
        <f>40305.44+1002+230+2810+254+280467.4</f>
        <v>325068.84000000003</v>
      </c>
      <c r="D181" s="11">
        <f t="shared" si="15"/>
        <v>1193618.5799999998</v>
      </c>
      <c r="E181" s="25" t="s">
        <v>9</v>
      </c>
      <c r="F181" s="15">
        <v>5910</v>
      </c>
      <c r="G181" s="15">
        <f>33025.9</f>
        <v>33025.9</v>
      </c>
      <c r="H181" s="15">
        <f>100000+82400+140000+19400+52148.5+43500+12930+20000+17420+5401.5+17115+30532+17331.5+5136.5+31466+5635+17901.5+5098.5+7000+7688+5586+28236+6698+10505+19136.5+4869.5+33241+4877.5+24849+29323.5+43733+42150+5587+9390+67102+27645+4081+5564+5332.5+5899.5+9828+6162.5+36137.5+2723+5448.5+11373+26745.5+34354</f>
        <v>1154682</v>
      </c>
      <c r="I181" s="37">
        <f t="shared" si="16"/>
        <v>1193617.8999999999</v>
      </c>
      <c r="J181" s="15">
        <f t="shared" si="14"/>
        <v>-0.67999999993480742</v>
      </c>
    </row>
    <row r="182" spans="1:19" s="4" customFormat="1" ht="15.75" x14ac:dyDescent="0.25">
      <c r="A182" s="9">
        <v>42143</v>
      </c>
      <c r="B182" s="10">
        <f>725884.81+1300285.63+2500</f>
        <v>2028670.44</v>
      </c>
      <c r="C182" s="10">
        <f>12586.69+21120</f>
        <v>33706.69</v>
      </c>
      <c r="D182" s="11">
        <f t="shared" si="15"/>
        <v>1994963.75</v>
      </c>
      <c r="E182" s="25" t="s">
        <v>9</v>
      </c>
      <c r="F182" s="15">
        <v>0</v>
      </c>
      <c r="G182" s="15">
        <v>20805.599999999999</v>
      </c>
      <c r="H182" s="15">
        <f>28850+25300+44850+80700+106900+38650+15265+166500+61000+114650+63500+84000+16100+20000+74060+151000+120000+201172+186070+132036.9+91366.3+123569.54+2500+33910</f>
        <v>1981949.74</v>
      </c>
      <c r="I182" s="37">
        <f t="shared" si="16"/>
        <v>2002755.34</v>
      </c>
      <c r="J182" s="15">
        <f t="shared" si="14"/>
        <v>7791.5900000000838</v>
      </c>
      <c r="L182" s="60" t="s">
        <v>251</v>
      </c>
      <c r="M182" s="60"/>
      <c r="N182" s="60"/>
      <c r="O182" s="60"/>
      <c r="P182" s="60"/>
      <c r="Q182" s="60"/>
    </row>
    <row r="183" spans="1:19" s="4" customFormat="1" ht="15.75" x14ac:dyDescent="0.25">
      <c r="A183" s="9">
        <v>42144</v>
      </c>
      <c r="B183" s="10">
        <f>298996.67+3730063.62</f>
        <v>4029060.29</v>
      </c>
      <c r="C183" s="10">
        <v>10507</v>
      </c>
      <c r="D183" s="11">
        <f t="shared" si="15"/>
        <v>4018553.29</v>
      </c>
      <c r="E183" s="25" t="s">
        <v>9</v>
      </c>
      <c r="F183" s="15">
        <v>0</v>
      </c>
      <c r="G183" s="15">
        <v>8701.7999999999993</v>
      </c>
      <c r="H183" s="15">
        <f>110000+71000+60000+65000+90400+58000+30971+17000+40000+100000+70000+37000+24456+76105.5+19945+32755+32500+20518.5+55000+875+28782+35000+9230.78+4894.4+24494+70000+40000+45000+46783.5+22305+100000+35000+15000+80000+20901.5+23711+3289.5+75000+20000+19939+50000+42000+24496+65000+30000+43810+4480+680+2160+24496+60000+27867+680+80000+28332.5+21813.5+50000+65000+70000+55000+27000+25130+35000+47000+24928+4195.25+32851.5+7285.5+20000+28539.5+35000+25000+38282+52000+30000+100000+27509+28000+20046+50000+70000+6250+2726+27873.5+20957+50000+28000+34316+62000+8166.5+110000+130000+2243.2+18000+8400+100000+140484+25250.6+30746</f>
        <v>4009851.23</v>
      </c>
      <c r="I183" s="37">
        <f t="shared" si="16"/>
        <v>4018553.03</v>
      </c>
      <c r="J183" s="15">
        <f t="shared" si="14"/>
        <v>-0.26000000024214387</v>
      </c>
    </row>
    <row r="184" spans="1:19" s="4" customFormat="1" ht="15.75" x14ac:dyDescent="0.25">
      <c r="A184" s="9">
        <v>42145</v>
      </c>
      <c r="B184" s="10">
        <f>309661.81+675607.58</f>
        <v>985269.3899999999</v>
      </c>
      <c r="C184" s="10">
        <f>15058.06+676+125856.2</f>
        <v>141590.26</v>
      </c>
      <c r="D184" s="11">
        <f t="shared" si="15"/>
        <v>843679.12999999989</v>
      </c>
      <c r="E184" s="25" t="s">
        <v>9</v>
      </c>
      <c r="F184" s="15">
        <v>0</v>
      </c>
      <c r="G184" s="15">
        <f>1574.4+41769.4+14641.68+36090.9+25848.28+24919</f>
        <v>144843.66</v>
      </c>
      <c r="H184" s="15">
        <f>90000+90000+153580+11410+55630+55000+25543.5+101231.85+32797.15+25540.46+7815.8+31887.2+9309.6+9090</f>
        <v>698835.55999999994</v>
      </c>
      <c r="I184" s="37">
        <f t="shared" si="16"/>
        <v>843679.22</v>
      </c>
      <c r="J184" s="15">
        <f t="shared" si="14"/>
        <v>9.0000000083819032E-2</v>
      </c>
      <c r="K184" s="98">
        <v>24919</v>
      </c>
    </row>
    <row r="185" spans="1:19" s="4" customFormat="1" ht="15.75" x14ac:dyDescent="0.25">
      <c r="A185" s="9">
        <v>42146</v>
      </c>
      <c r="B185" s="10">
        <f>254251.53+496582.24</f>
        <v>750833.77</v>
      </c>
      <c r="C185" s="10">
        <f>165153.03+74370.48</f>
        <v>239523.51</v>
      </c>
      <c r="D185" s="11">
        <f t="shared" si="15"/>
        <v>511310.26</v>
      </c>
      <c r="E185" s="25" t="s">
        <v>9</v>
      </c>
      <c r="F185" s="15">
        <v>352.8</v>
      </c>
      <c r="G185" s="15">
        <f>21962.1+60745.7+52152.85</f>
        <v>134860.65</v>
      </c>
      <c r="H185" s="15">
        <f>59500+23800+80650+18828.6+137840+31000+24478.5</f>
        <v>376097.1</v>
      </c>
      <c r="I185" s="37">
        <f t="shared" si="16"/>
        <v>511310.55</v>
      </c>
      <c r="J185" s="15">
        <f t="shared" si="14"/>
        <v>0.28999999997904524</v>
      </c>
    </row>
    <row r="186" spans="1:19" s="4" customFormat="1" ht="15.75" x14ac:dyDescent="0.25">
      <c r="A186" s="9">
        <v>42147</v>
      </c>
      <c r="B186" s="10">
        <f>391000.85+1050622.65</f>
        <v>1441623.5</v>
      </c>
      <c r="C186" s="10">
        <f>20559.63+3000+88468</f>
        <v>112027.63</v>
      </c>
      <c r="D186" s="11">
        <f t="shared" si="15"/>
        <v>1329595.8700000001</v>
      </c>
      <c r="E186" s="25" t="s">
        <v>9</v>
      </c>
      <c r="F186" s="15">
        <v>166</v>
      </c>
      <c r="G186" s="15">
        <v>0</v>
      </c>
      <c r="H186" s="15">
        <f>200+138812+27500+87500+101000+118300+29484+181850+92100+32646.25+18545+4522.5+5132.5+6542+5776.5+29381.5+4696.5+22653.5+5442.5+11712+27245.5+6690+707.5+8960+19758+25584.5+5079.5+35420.5+9319+22281+9184+50204+5552+66000+105900+6437.8+6885</f>
        <v>1335005.05</v>
      </c>
      <c r="I186" s="37">
        <f t="shared" si="16"/>
        <v>1335171.05</v>
      </c>
      <c r="J186" s="15">
        <f t="shared" si="14"/>
        <v>5575.1799999999348</v>
      </c>
      <c r="L186" s="60" t="s">
        <v>272</v>
      </c>
      <c r="M186" s="60"/>
      <c r="N186" s="60"/>
      <c r="O186" s="60"/>
      <c r="P186" s="60"/>
      <c r="Q186" s="60"/>
      <c r="R186" s="60"/>
    </row>
    <row r="187" spans="1:19" s="4" customFormat="1" ht="15.75" x14ac:dyDescent="0.25">
      <c r="A187" s="9">
        <v>42148</v>
      </c>
      <c r="B187" s="10">
        <f>240856.57+258682.17</f>
        <v>499538.74</v>
      </c>
      <c r="C187" s="10">
        <f>8731.9</f>
        <v>8731.9</v>
      </c>
      <c r="D187" s="11">
        <f t="shared" si="15"/>
        <v>490806.83999999997</v>
      </c>
      <c r="E187" s="25" t="s">
        <v>9</v>
      </c>
      <c r="F187" s="15">
        <v>736.4</v>
      </c>
      <c r="G187" s="15">
        <f>19299.2+11966.15+8625.6+8456.8+9663.2</f>
        <v>58010.95</v>
      </c>
      <c r="H187" s="15">
        <f>35060+30000+55000+90000+70000+50000+27000+75000</f>
        <v>432060</v>
      </c>
      <c r="I187" s="37">
        <f t="shared" si="16"/>
        <v>490807.35000000003</v>
      </c>
      <c r="J187" s="15">
        <f t="shared" si="14"/>
        <v>0.51000000006752089</v>
      </c>
      <c r="K187" s="98">
        <v>11966.15</v>
      </c>
    </row>
    <row r="188" spans="1:19" s="4" customFormat="1" ht="15.75" x14ac:dyDescent="0.25">
      <c r="A188" s="9">
        <v>42149</v>
      </c>
      <c r="B188" s="79">
        <f>838400.96+1600865.77</f>
        <v>2439266.73</v>
      </c>
      <c r="C188" s="80">
        <f>38322.52+193344.2</f>
        <v>231666.72</v>
      </c>
      <c r="D188" s="11">
        <f t="shared" si="15"/>
        <v>2207600.0099999998</v>
      </c>
      <c r="E188" s="25" t="s">
        <v>9</v>
      </c>
      <c r="F188" s="15">
        <v>3783.8</v>
      </c>
      <c r="G188" s="15">
        <f>23674.6+27250.9+24356+10322.92+158276.14+156353.53</f>
        <v>400234.08999999997</v>
      </c>
      <c r="H188" s="15">
        <f>200.5+33750+69000+48200+15094+19000+59000+16078+25000+20000+28000+18677.5+20000+50000+20000+20000+20000+110000+22285+1230+14890+3234+26687.96+2560+5216+273810+164100+92632.9+20000+60000+21146+7423.5+20000+68000+16000+55000+38000+20818.5+20048+25000+60000+40000+15270+34000+75000+4000+4000</f>
        <v>1802351.8599999999</v>
      </c>
      <c r="I188" s="37">
        <f t="shared" si="16"/>
        <v>2206369.7499999995</v>
      </c>
      <c r="J188" s="15">
        <f t="shared" si="14"/>
        <v>-1230.2600000002421</v>
      </c>
      <c r="L188" s="60" t="s">
        <v>273</v>
      </c>
      <c r="M188" s="60"/>
    </row>
    <row r="189" spans="1:19" s="4" customFormat="1" ht="15.75" x14ac:dyDescent="0.25">
      <c r="A189" s="9">
        <v>42150</v>
      </c>
      <c r="B189" s="10">
        <f>235415.9+250310.65</f>
        <v>485726.55</v>
      </c>
      <c r="C189" s="10">
        <f>121406+172264.74</f>
        <v>293670.74</v>
      </c>
      <c r="D189" s="11">
        <f t="shared" si="15"/>
        <v>192055.81</v>
      </c>
      <c r="E189" s="25" t="s">
        <v>9</v>
      </c>
      <c r="F189" s="15">
        <v>541</v>
      </c>
      <c r="G189" s="15">
        <v>5558</v>
      </c>
      <c r="H189" s="15">
        <f>27220+50000+47000+62967</f>
        <v>187187</v>
      </c>
      <c r="I189" s="37">
        <f t="shared" si="16"/>
        <v>193286</v>
      </c>
      <c r="J189" s="15">
        <f t="shared" si="14"/>
        <v>1230.1900000000023</v>
      </c>
      <c r="L189" s="60" t="s">
        <v>274</v>
      </c>
      <c r="M189" s="60"/>
      <c r="N189" s="60"/>
    </row>
    <row r="190" spans="1:19" s="4" customFormat="1" ht="15.75" x14ac:dyDescent="0.25">
      <c r="A190" s="9">
        <v>42151</v>
      </c>
      <c r="B190" s="10">
        <f>343869.37+2576699.02</f>
        <v>2920568.39</v>
      </c>
      <c r="C190" s="10">
        <f>6784.8+2500</f>
        <v>9284.7999999999993</v>
      </c>
      <c r="D190" s="11">
        <f t="shared" si="15"/>
        <v>2911283.5900000003</v>
      </c>
      <c r="E190" s="25" t="s">
        <v>9</v>
      </c>
      <c r="F190" s="15">
        <v>2511.6999999999998</v>
      </c>
      <c r="G190" s="15">
        <f>19428.2+157658.62</f>
        <v>177086.82</v>
      </c>
      <c r="H190" s="15">
        <f>73750+178000+100000+100000+110000+70000+23553.5+66858.92+36013+13000+85000+3185.5+72000+80000+16693+24881.5+24103.5+95000+25000+79000+45000+32000+21000+33162+78000+5720.54+31000+23498+60000+4920+90000+24391.5+41014+30000+120000+89000+1270+48880+70000+7373.2+7200+80000+26187.5+81000+40000+145000+40000+29292+50000+63000+37737</f>
        <v>2731684.66</v>
      </c>
      <c r="I190" s="37">
        <f t="shared" si="16"/>
        <v>2911283.18</v>
      </c>
      <c r="J190" s="15">
        <f t="shared" si="14"/>
        <v>-0.41000000014901161</v>
      </c>
    </row>
    <row r="191" spans="1:19" s="4" customFormat="1" ht="15.75" x14ac:dyDescent="0.25">
      <c r="A191" s="9">
        <v>42152</v>
      </c>
      <c r="B191" s="10">
        <f>225838.3+1039970.59</f>
        <v>1265808.8899999999</v>
      </c>
      <c r="C191" s="10">
        <f>20581.4+157545.54</f>
        <v>178126.94</v>
      </c>
      <c r="D191" s="11">
        <f t="shared" si="15"/>
        <v>1087681.95</v>
      </c>
      <c r="E191" s="25" t="s">
        <v>9</v>
      </c>
      <c r="F191" s="15">
        <v>3585.5</v>
      </c>
      <c r="G191" s="15">
        <f>30576.6</f>
        <v>30576.6</v>
      </c>
      <c r="H191" s="15">
        <f>135000+55850+50000+45000+5564+73162+147500+109200+23500+20000+90000+69510+124000+7470+28500+50305</f>
        <v>1034561</v>
      </c>
      <c r="I191" s="37">
        <f t="shared" si="16"/>
        <v>1068723.1000000001</v>
      </c>
      <c r="J191" s="15">
        <f t="shared" si="14"/>
        <v>-18958.84999999986</v>
      </c>
      <c r="L191" s="60" t="s">
        <v>275</v>
      </c>
      <c r="M191" s="60"/>
      <c r="N191" s="60"/>
      <c r="O191" s="60"/>
      <c r="P191" s="60"/>
      <c r="Q191" s="60"/>
      <c r="R191" s="60"/>
      <c r="S191" s="60"/>
    </row>
    <row r="192" spans="1:19" s="4" customFormat="1" ht="15.75" x14ac:dyDescent="0.25">
      <c r="A192" s="9">
        <v>42153</v>
      </c>
      <c r="B192" s="10">
        <f>408933.03+5938234</f>
        <v>6347167.0300000003</v>
      </c>
      <c r="C192" s="10">
        <f>11325.99+300+35601.5</f>
        <v>47227.49</v>
      </c>
      <c r="D192" s="11">
        <f t="shared" si="15"/>
        <v>6299939.54</v>
      </c>
      <c r="E192" s="25" t="s">
        <v>9</v>
      </c>
      <c r="F192" s="15">
        <v>458191.56</v>
      </c>
      <c r="G192" s="15">
        <v>0</v>
      </c>
      <c r="H192" s="15">
        <f>59360+25000+100000+100000+100000+50000+51320+30020.4+17640.1+69365.2+13830+132250+33000+34014+32523.5+13880+58279+3462+3982+36494.55+59092+58003+20400+10880+21180+36955+60803+54885.5+6540.5+27550+6449+29950+41691.5+47436+8779+61600+40+4964.5+24200+24400+18830+32354.5+6171+22811+9067+5411+52107.5+9532+26632+25576+54422+1620+5008+24161.5+35000+37000+40000+15000+17000+28688+26114.5+45000+25000+20000+24705+50000+26233.5+35000+25000+35000+75000+14621.5+40000+20000+2417+25670+35000+21556+41000+25000+20000+54698+19976.5+40000+45000+20000+8431+20000+25000+62000+35000+15000+45000+55000+18000+24987+44000+20000+60000+40000+22331.5+55000+30331+50000+27543.5+59000+35000+32536+50000+40000+105000+15583.5+3416.5+15000+111000+28525+100000+75000+25000+25000+60000+29687.5+12995.5+55000+57000+97000+768+5340+29054+43000+100000+25006.5+21957+28783.5+24028.5+495.5+41000+16712.34+29321+55000+65000+38000+7226.61+27036+66000+76000+32000+104000+90000+20000+125000+30077+76000+98000+28971</f>
        <v>5841748.2000000002</v>
      </c>
      <c r="I192" s="37">
        <f t="shared" si="16"/>
        <v>6299939.7599999998</v>
      </c>
      <c r="J192" s="15">
        <f t="shared" si="14"/>
        <v>0.21999999973922968</v>
      </c>
      <c r="L192" s="60" t="s">
        <v>276</v>
      </c>
      <c r="M192" s="60"/>
      <c r="N192" s="60"/>
    </row>
    <row r="193" spans="1:16" s="4" customFormat="1" ht="15.75" x14ac:dyDescent="0.25">
      <c r="A193" s="9">
        <v>42154</v>
      </c>
      <c r="B193" s="10">
        <f>484528.14+1386952.12+1000</f>
        <v>1872480.2600000002</v>
      </c>
      <c r="C193" s="10">
        <f>47192.8+20823.48</f>
        <v>68016.28</v>
      </c>
      <c r="D193" s="11">
        <f t="shared" si="15"/>
        <v>1804463.9800000002</v>
      </c>
      <c r="E193" s="25" t="s">
        <v>9</v>
      </c>
      <c r="F193" s="15">
        <v>2023.9</v>
      </c>
      <c r="G193" s="15">
        <f>25300+20777.2+58090.2+58957.1+48912.6+41147.55+143477.28+54005.4+39717.6+49318.7+21289+50099.65</f>
        <v>611092.28</v>
      </c>
      <c r="H193" s="15">
        <f>212500+130000+100000+57600+145000+84200+98700+23213.64+41500+59169+187000+3805+20000+27660.5+1000</f>
        <v>1191348.1400000001</v>
      </c>
      <c r="I193" s="37">
        <f t="shared" si="16"/>
        <v>1804464.32</v>
      </c>
      <c r="J193" s="15">
        <f t="shared" si="14"/>
        <v>0.33999999985098839</v>
      </c>
    </row>
    <row r="194" spans="1:16" s="4" customFormat="1" ht="15.75" x14ac:dyDescent="0.25">
      <c r="A194" s="9">
        <v>42155</v>
      </c>
      <c r="B194" s="10">
        <f>302493.96+141758.22</f>
        <v>444252.18000000005</v>
      </c>
      <c r="C194" s="10">
        <v>8061.8</v>
      </c>
      <c r="D194" s="11">
        <f t="shared" si="15"/>
        <v>436190.38000000006</v>
      </c>
      <c r="E194" s="25" t="s">
        <v>9</v>
      </c>
      <c r="F194" s="15">
        <v>0</v>
      </c>
      <c r="G194" s="15">
        <v>0</v>
      </c>
      <c r="H194" s="15">
        <f>36150+46000+75000+64700+35000+60000+110000+9340</f>
        <v>436190</v>
      </c>
      <c r="I194" s="37">
        <f t="shared" si="16"/>
        <v>436190</v>
      </c>
      <c r="J194" s="15">
        <f t="shared" si="14"/>
        <v>-0.38000000006286427</v>
      </c>
    </row>
    <row r="195" spans="1:16" s="4" customFormat="1" ht="15.75" x14ac:dyDescent="0.25">
      <c r="A195" s="9"/>
      <c r="B195" s="10"/>
      <c r="C195" s="10"/>
      <c r="D195" s="11">
        <f t="shared" si="15"/>
        <v>0</v>
      </c>
      <c r="G195" s="15"/>
      <c r="H195" s="15"/>
      <c r="J195" s="15">
        <f t="shared" si="14"/>
        <v>0</v>
      </c>
    </row>
    <row r="196" spans="1:16" s="4" customFormat="1" ht="15.75" x14ac:dyDescent="0.25">
      <c r="A196" s="14"/>
      <c r="B196" s="10"/>
      <c r="C196" s="10"/>
      <c r="D196" s="11">
        <f t="shared" si="15"/>
        <v>0</v>
      </c>
      <c r="G196" s="15"/>
      <c r="H196" s="15"/>
      <c r="J196" s="15">
        <f t="shared" si="14"/>
        <v>0</v>
      </c>
    </row>
    <row r="197" spans="1:16" s="4" customFormat="1" ht="18.75" x14ac:dyDescent="0.3">
      <c r="A197" s="14"/>
      <c r="B197" s="13"/>
      <c r="C197" s="10"/>
      <c r="D197" s="11">
        <f t="shared" si="15"/>
        <v>0</v>
      </c>
      <c r="E197" s="244" t="s">
        <v>9</v>
      </c>
      <c r="G197" s="15"/>
      <c r="H197" s="15"/>
      <c r="J197" s="15">
        <f t="shared" si="14"/>
        <v>0</v>
      </c>
    </row>
    <row r="198" spans="1:16" s="4" customFormat="1" ht="15.75" x14ac:dyDescent="0.25">
      <c r="A198" s="14"/>
      <c r="B198" s="10"/>
      <c r="C198" s="10"/>
      <c r="D198" s="11">
        <f t="shared" si="15"/>
        <v>0</v>
      </c>
      <c r="G198" s="15"/>
      <c r="H198" s="15"/>
      <c r="J198" s="15">
        <f t="shared" si="14"/>
        <v>0</v>
      </c>
    </row>
    <row r="199" spans="1:16" s="4" customFormat="1" ht="15.75" x14ac:dyDescent="0.25">
      <c r="A199" s="14"/>
      <c r="B199" s="10">
        <f>SUM(B164:B198)</f>
        <v>52595799.789999999</v>
      </c>
      <c r="C199" s="10">
        <f>SUM(C164:C198)</f>
        <v>3677623.1799999997</v>
      </c>
      <c r="D199" s="11">
        <f t="shared" si="15"/>
        <v>48918176.609999999</v>
      </c>
      <c r="F199" s="15"/>
      <c r="G199" s="15"/>
      <c r="H199" s="15"/>
      <c r="J199" s="15">
        <f t="shared" si="14"/>
        <v>-48918176.609999999</v>
      </c>
    </row>
    <row r="201" spans="1:16" ht="18.75" x14ac:dyDescent="0.3">
      <c r="A201" s="1"/>
      <c r="B201" s="57" t="s">
        <v>261</v>
      </c>
      <c r="C201" s="57"/>
      <c r="D201" s="2"/>
      <c r="E201" s="3"/>
      <c r="F201" s="4"/>
      <c r="G201" s="15"/>
      <c r="H201" s="4"/>
      <c r="I201" s="4"/>
      <c r="J201" s="4"/>
      <c r="K201" s="4"/>
    </row>
    <row r="202" spans="1:16" ht="15.75" x14ac:dyDescent="0.25">
      <c r="A202" s="5"/>
      <c r="B202" s="6"/>
      <c r="C202" s="23" t="s">
        <v>6</v>
      </c>
      <c r="D202" s="7"/>
      <c r="E202" s="3"/>
      <c r="F202" s="4"/>
      <c r="G202" s="15"/>
      <c r="H202" s="4"/>
      <c r="I202" s="4"/>
      <c r="J202" s="4"/>
      <c r="K202" s="4"/>
    </row>
    <row r="203" spans="1:16" ht="16.5" thickBot="1" x14ac:dyDescent="0.3">
      <c r="A203" s="19" t="s">
        <v>0</v>
      </c>
      <c r="B203" s="20" t="s">
        <v>1</v>
      </c>
      <c r="C203" s="21" t="s">
        <v>2</v>
      </c>
      <c r="D203" s="22" t="s">
        <v>4</v>
      </c>
      <c r="E203" s="3"/>
      <c r="F203" s="38" t="s">
        <v>19</v>
      </c>
      <c r="G203" s="32" t="s">
        <v>10</v>
      </c>
      <c r="H203" s="27" t="s">
        <v>8</v>
      </c>
      <c r="I203" s="50"/>
      <c r="J203" s="33" t="s">
        <v>11</v>
      </c>
      <c r="K203" s="34" t="s">
        <v>13</v>
      </c>
    </row>
    <row r="204" spans="1:16" ht="16.5" thickTop="1" x14ac:dyDescent="0.25">
      <c r="A204" s="9">
        <v>42156</v>
      </c>
      <c r="B204" s="10">
        <f>352394.35+422686.26</f>
        <v>775080.61</v>
      </c>
      <c r="C204" s="10">
        <f>14716.13+149871.34</f>
        <v>164587.47</v>
      </c>
      <c r="D204" s="11">
        <f>B204-C204</f>
        <v>610493.14</v>
      </c>
      <c r="E204" s="25" t="s">
        <v>9</v>
      </c>
      <c r="F204" s="15">
        <v>0</v>
      </c>
      <c r="G204" s="15">
        <f>9561.2+8954.8+18534+8146.8+51562.7</f>
        <v>96759.5</v>
      </c>
      <c r="H204" s="15">
        <f>82500+11600+19000+46150+70000+18835+10634.68+9196.76+9994.76+6670.56+110271.9+118880.7</f>
        <v>513734.36000000004</v>
      </c>
      <c r="I204" s="37">
        <f>H204+G204+F204</f>
        <v>610493.8600000001</v>
      </c>
      <c r="J204" s="15">
        <f t="shared" ref="J204:J239" si="17">H204+G204+F204-D204</f>
        <v>0.72000000008847564</v>
      </c>
      <c r="K204" s="4"/>
      <c r="L204" s="4"/>
    </row>
    <row r="205" spans="1:16" ht="15.75" x14ac:dyDescent="0.25">
      <c r="A205" s="9">
        <v>42157</v>
      </c>
      <c r="B205" s="10">
        <f>289568.94+346740.39</f>
        <v>636309.33000000007</v>
      </c>
      <c r="C205" s="10">
        <f>105548+39480</f>
        <v>145028</v>
      </c>
      <c r="D205" s="11">
        <f t="shared" ref="D205:D239" si="18">B205-C205</f>
        <v>491281.33000000007</v>
      </c>
      <c r="E205" s="25" t="s">
        <v>9</v>
      </c>
      <c r="F205" s="31">
        <v>935</v>
      </c>
      <c r="G205" s="31">
        <v>4606</v>
      </c>
      <c r="H205" s="15">
        <f>150000+78500+17000+90000+22600+27880+41962.2+32800+25000</f>
        <v>485742.2</v>
      </c>
      <c r="I205" s="37">
        <f t="shared" ref="I205:I234" si="19">H205+G205+F205</f>
        <v>491283.20000000001</v>
      </c>
      <c r="J205" s="15">
        <f t="shared" si="17"/>
        <v>1.8699999999371357</v>
      </c>
      <c r="K205" s="4"/>
    </row>
    <row r="206" spans="1:16" ht="15.75" x14ac:dyDescent="0.25">
      <c r="A206" s="9">
        <v>42158</v>
      </c>
      <c r="B206" s="10">
        <f>702401.62+622807.66</f>
        <v>1325209.28</v>
      </c>
      <c r="C206" s="10">
        <f>17163.5+380+43661.7</f>
        <v>61205.2</v>
      </c>
      <c r="D206" s="11">
        <f t="shared" si="18"/>
        <v>1264004.08</v>
      </c>
      <c r="E206" s="25" t="s">
        <v>9</v>
      </c>
      <c r="F206" s="15">
        <v>0</v>
      </c>
      <c r="G206" s="15">
        <f>30296.68+6256+77861+96806.68</f>
        <v>211220.36</v>
      </c>
      <c r="H206" s="15">
        <f>62500+95000+73000+75000+198580+9660+163100+241825.47+128720+5418.4</f>
        <v>1052803.8699999999</v>
      </c>
      <c r="I206" s="37">
        <f t="shared" si="19"/>
        <v>1264024.23</v>
      </c>
      <c r="J206" s="15">
        <f t="shared" si="17"/>
        <v>20.149999999906868</v>
      </c>
      <c r="K206" s="43"/>
      <c r="L206" s="60" t="s">
        <v>280</v>
      </c>
      <c r="M206" s="60"/>
      <c r="N206" s="60"/>
      <c r="O206" s="60"/>
      <c r="P206" s="60"/>
    </row>
    <row r="207" spans="1:16" ht="15.75" x14ac:dyDescent="0.25">
      <c r="A207" s="9">
        <v>42159</v>
      </c>
      <c r="B207" s="10">
        <f>642456.45+1196512.09</f>
        <v>1838968.54</v>
      </c>
      <c r="C207" s="10">
        <f>10347.7+535+36448</f>
        <v>47330.7</v>
      </c>
      <c r="D207" s="11">
        <f t="shared" si="18"/>
        <v>1791637.84</v>
      </c>
      <c r="E207" s="25" t="s">
        <v>9</v>
      </c>
      <c r="F207" s="15">
        <v>7570.41</v>
      </c>
      <c r="G207" s="15">
        <f>8415+7743.8</f>
        <v>16158.8</v>
      </c>
      <c r="H207" s="15">
        <f>18700+59890+80000+137650+100000+60000+113000+92000+17553.6+123948.9+89000+176000+14298+11390+113500+73302+36050+80500+103000+65000+128000+63250+11877</f>
        <v>1767909.5</v>
      </c>
      <c r="I207" s="37">
        <f t="shared" si="19"/>
        <v>1791638.71</v>
      </c>
      <c r="J207" s="15">
        <f t="shared" si="17"/>
        <v>0.86999999987892807</v>
      </c>
      <c r="K207" s="4"/>
      <c r="L207" s="4"/>
    </row>
    <row r="208" spans="1:16" ht="15.75" x14ac:dyDescent="0.25">
      <c r="A208" s="9">
        <v>42160</v>
      </c>
      <c r="B208" s="10">
        <f>304047.44+623047.45</f>
        <v>927094.8899999999</v>
      </c>
      <c r="C208" s="10">
        <f>46508+173808.2</f>
        <v>220316.2</v>
      </c>
      <c r="D208" s="11">
        <f t="shared" si="18"/>
        <v>706778.69</v>
      </c>
      <c r="E208" s="25" t="s">
        <v>9</v>
      </c>
      <c r="F208" s="15">
        <v>2220.8000000000002</v>
      </c>
      <c r="G208" s="15">
        <f>54445.4+51972.25+48325.8+46912.4</f>
        <v>201655.85</v>
      </c>
      <c r="H208" s="15">
        <f>65500+97000+13000+26968.8+127859.4+138075.9+10000+24498</f>
        <v>502902.1</v>
      </c>
      <c r="I208" s="37">
        <f t="shared" si="19"/>
        <v>706778.75</v>
      </c>
      <c r="J208" s="15">
        <f t="shared" si="17"/>
        <v>6.0000000055879354E-2</v>
      </c>
      <c r="K208" s="4"/>
      <c r="L208" s="4"/>
    </row>
    <row r="209" spans="1:17" ht="15.75" x14ac:dyDescent="0.25">
      <c r="A209" s="9">
        <v>42161</v>
      </c>
      <c r="B209" s="10">
        <f>429783.22+499700.98</f>
        <v>929484.2</v>
      </c>
      <c r="C209" s="10">
        <v>39290.300000000003</v>
      </c>
      <c r="D209" s="11">
        <f t="shared" si="18"/>
        <v>890193.89999999991</v>
      </c>
      <c r="E209" s="25" t="s">
        <v>9</v>
      </c>
      <c r="F209" s="15">
        <v>209</v>
      </c>
      <c r="G209" s="15">
        <f>29652.7</f>
        <v>29652.7</v>
      </c>
      <c r="H209" s="15">
        <f>44200+100000+135410+26400+64800+115000+60000+87900+109000+9532+69284.45+38806</f>
        <v>860332.45</v>
      </c>
      <c r="I209" s="37">
        <f t="shared" si="19"/>
        <v>890194.14999999991</v>
      </c>
      <c r="J209" s="15">
        <f t="shared" si="17"/>
        <v>0.25</v>
      </c>
      <c r="K209" s="4"/>
      <c r="L209" s="4"/>
    </row>
    <row r="210" spans="1:17" ht="15.75" x14ac:dyDescent="0.25">
      <c r="A210" s="9">
        <v>42162</v>
      </c>
      <c r="B210" s="10">
        <f>202160.07+106263.7</f>
        <v>308423.77</v>
      </c>
      <c r="C210" s="10">
        <f>8398.04+18905.86</f>
        <v>27303.9</v>
      </c>
      <c r="D210" s="11">
        <f t="shared" si="18"/>
        <v>281119.87</v>
      </c>
      <c r="E210" s="25" t="s">
        <v>9</v>
      </c>
      <c r="F210" s="15">
        <v>217</v>
      </c>
      <c r="G210" s="15">
        <f>43873.8+14694.6</f>
        <v>58568.4</v>
      </c>
      <c r="H210" s="15">
        <f>54985+31150+17200+119000</f>
        <v>222335</v>
      </c>
      <c r="I210" s="37">
        <f t="shared" si="19"/>
        <v>281120.40000000002</v>
      </c>
      <c r="J210" s="15">
        <f t="shared" si="17"/>
        <v>0.53000000002793968</v>
      </c>
      <c r="K210" s="4"/>
      <c r="L210" s="60" t="s">
        <v>285</v>
      </c>
      <c r="M210" s="60"/>
      <c r="N210" s="60"/>
      <c r="O210" s="60"/>
      <c r="P210" s="60"/>
    </row>
    <row r="211" spans="1:17" ht="15.75" x14ac:dyDescent="0.25">
      <c r="A211" s="9">
        <v>42163</v>
      </c>
      <c r="B211" s="10">
        <f>380290.94+214773.8</f>
        <v>595064.74</v>
      </c>
      <c r="C211" s="10">
        <f>20336+470+254+127524.28</f>
        <v>148584.28</v>
      </c>
      <c r="D211" s="11">
        <f t="shared" si="18"/>
        <v>446480.45999999996</v>
      </c>
      <c r="E211" s="25" t="s">
        <v>9</v>
      </c>
      <c r="F211" s="15">
        <v>0</v>
      </c>
      <c r="G211" s="15">
        <f>8100+8900+19041.7+9488</f>
        <v>45529.7</v>
      </c>
      <c r="H211" s="15">
        <f>76750+94260+51800+59491+150+20000+98500</f>
        <v>400951</v>
      </c>
      <c r="I211" s="37">
        <f t="shared" si="19"/>
        <v>446480.7</v>
      </c>
      <c r="J211" s="15">
        <f t="shared" si="17"/>
        <v>0.24000000004889444</v>
      </c>
      <c r="K211" s="4"/>
      <c r="L211" s="4"/>
    </row>
    <row r="212" spans="1:17" ht="15.75" x14ac:dyDescent="0.25">
      <c r="A212" s="9">
        <v>42164</v>
      </c>
      <c r="B212" s="10">
        <f>237462.88+1442390.28</f>
        <v>1679853.1600000001</v>
      </c>
      <c r="C212" s="10">
        <f>18576.9+91802.3</f>
        <v>110379.20000000001</v>
      </c>
      <c r="D212" s="11">
        <f t="shared" si="18"/>
        <v>1569473.9600000002</v>
      </c>
      <c r="E212" s="25" t="s">
        <v>9</v>
      </c>
      <c r="F212" s="15">
        <v>0</v>
      </c>
      <c r="G212" s="15">
        <v>0</v>
      </c>
      <c r="H212" s="15">
        <f>25550+128000+19910+65450+33136+55000+247000+170000+6850+31225+34500+181000+96000+86570+98113+95389.4+60876.9+120944.29+13960</f>
        <v>1569474.5899999999</v>
      </c>
      <c r="I212" s="37">
        <f t="shared" si="19"/>
        <v>1569474.5899999999</v>
      </c>
      <c r="J212" s="15">
        <f t="shared" si="17"/>
        <v>0.62999999965541065</v>
      </c>
      <c r="K212" s="4"/>
    </row>
    <row r="213" spans="1:17" ht="15.75" x14ac:dyDescent="0.25">
      <c r="A213" s="9">
        <v>42165</v>
      </c>
      <c r="B213" s="122">
        <f>338159.29+4026558.91</f>
        <v>4364718.2</v>
      </c>
      <c r="C213" s="122">
        <f>117616.97+487+300+200+6200+1820+287040</f>
        <v>413663.97</v>
      </c>
      <c r="D213" s="11">
        <f t="shared" si="18"/>
        <v>3951054.2300000004</v>
      </c>
      <c r="E213" s="25" t="s">
        <v>9</v>
      </c>
      <c r="F213" s="31">
        <v>508.4</v>
      </c>
      <c r="G213" s="31">
        <f>22401.58+6581.8+9879+7076.6+149553.8+173026.7</f>
        <v>368519.48</v>
      </c>
      <c r="H213" s="31">
        <f>53500+105600+8686+12000+103935.42+167150+130000+137720+97583+1304+11043.5+5768.5+6884+7136+68864+8904+10213+55733+6007.5+11112+3445.5+27585+6341+2864+25358.5+10286.5+6405.5+8002.5+23292+6520+3996+23165.5+7330.5+8132.5+19369.5+10592.5+55618.5+3079+6885.5+27190+6914.5+22464+47071.5+6225+329+2815+22200+30000+6447.5+24499.5+3715+17878+6125.5+20234.5+40000+60000+30000+65000+20000+21732+162000+1314.56+70000+40000+28693+16120+40186.5+60000+85000+3680+31387+65000+58000+130000+15502+1522.12+65000+60000+71100+519+31250+42500+57000+28942+30000+90000+77000+7626.06+25810.5+65000+75000+77000+30621+91000+100000</f>
        <v>3582028.66</v>
      </c>
      <c r="I213" s="37">
        <f t="shared" si="19"/>
        <v>3951056.54</v>
      </c>
      <c r="J213" s="15">
        <f t="shared" si="17"/>
        <v>2.3099999995902181</v>
      </c>
      <c r="K213" s="98">
        <v>149553.79999999999</v>
      </c>
      <c r="L213" s="4" t="s">
        <v>339</v>
      </c>
    </row>
    <row r="214" spans="1:17" ht="15.75" x14ac:dyDescent="0.25">
      <c r="A214" s="9">
        <v>42166</v>
      </c>
      <c r="B214" s="10">
        <f>340985.11+701758.75</f>
        <v>1042743.86</v>
      </c>
      <c r="C214" s="10">
        <f>78078.66+196322.06</f>
        <v>274400.71999999997</v>
      </c>
      <c r="D214" s="11">
        <f t="shared" si="18"/>
        <v>768343.14</v>
      </c>
      <c r="E214" s="25" t="s">
        <v>9</v>
      </c>
      <c r="F214" s="15">
        <v>3406.6</v>
      </c>
      <c r="G214" s="15">
        <v>2224.3000000000002</v>
      </c>
      <c r="H214" s="15">
        <f>42300+100800+31000+114450+5140+70466+14428+20500+66500+39100+150500+25850+81678.5</f>
        <v>762712.5</v>
      </c>
      <c r="I214" s="37">
        <f t="shared" si="19"/>
        <v>768343.4</v>
      </c>
      <c r="J214" s="15">
        <f t="shared" si="17"/>
        <v>0.26000000000931323</v>
      </c>
      <c r="K214" s="4"/>
      <c r="L214" s="60" t="s">
        <v>291</v>
      </c>
      <c r="M214" s="60"/>
    </row>
    <row r="215" spans="1:17" ht="15.75" x14ac:dyDescent="0.25">
      <c r="A215" s="9">
        <v>42167</v>
      </c>
      <c r="B215" s="10">
        <f>344479.31+332193.06</f>
        <v>676672.37</v>
      </c>
      <c r="C215" s="10">
        <f>120606.8+204683.6</f>
        <v>325290.40000000002</v>
      </c>
      <c r="D215" s="11">
        <f t="shared" si="18"/>
        <v>351381.97</v>
      </c>
      <c r="E215" s="25" t="s">
        <v>9</v>
      </c>
      <c r="F215" s="15">
        <v>4289.3</v>
      </c>
      <c r="G215" s="15">
        <v>0</v>
      </c>
      <c r="H215" s="15">
        <f>61000+50000+70650+28000+5715+28170.81+25097.93+49479.5+6355.8+22623.6</f>
        <v>347092.63999999996</v>
      </c>
      <c r="I215" s="37">
        <f t="shared" si="19"/>
        <v>351381.93999999994</v>
      </c>
      <c r="J215" s="15">
        <f t="shared" si="17"/>
        <v>-3.0000000027939677E-2</v>
      </c>
      <c r="K215" s="4"/>
    </row>
    <row r="216" spans="1:17" ht="15.75" x14ac:dyDescent="0.25">
      <c r="A216" s="9">
        <v>42168</v>
      </c>
      <c r="B216" s="10">
        <f>445634.56+1250307.9</f>
        <v>1695942.46</v>
      </c>
      <c r="C216" s="10">
        <f>10472.6+7754.4</f>
        <v>18227</v>
      </c>
      <c r="D216" s="11">
        <f t="shared" si="18"/>
        <v>1677715.46</v>
      </c>
      <c r="E216" s="25" t="s">
        <v>9</v>
      </c>
      <c r="F216" s="15">
        <v>3800</v>
      </c>
      <c r="G216" s="15">
        <f>39977.4+96704.4+79805.2+20840.5+29336.6+156428.27</f>
        <v>423092.37</v>
      </c>
      <c r="H216" s="15">
        <f>30000+150000+70800+90300+120000+262820+80000+132800+150600+18131.78+46160+74000+20000+5212</f>
        <v>1250823.78</v>
      </c>
      <c r="I216" s="37">
        <f t="shared" si="19"/>
        <v>1677716.15</v>
      </c>
      <c r="J216" s="15">
        <f t="shared" si="17"/>
        <v>0.68999999994412065</v>
      </c>
      <c r="K216" s="4"/>
      <c r="L216" s="4"/>
    </row>
    <row r="217" spans="1:17" ht="15.75" x14ac:dyDescent="0.25">
      <c r="A217" s="9">
        <v>42169</v>
      </c>
      <c r="B217" s="10">
        <f>279050.79+285264.9</f>
        <v>564315.68999999994</v>
      </c>
      <c r="C217" s="10">
        <f>10057+2600</f>
        <v>12657</v>
      </c>
      <c r="D217" s="11">
        <f t="shared" si="18"/>
        <v>551658.68999999994</v>
      </c>
      <c r="E217" s="25" t="s">
        <v>9</v>
      </c>
      <c r="F217" s="15">
        <v>1331.7</v>
      </c>
      <c r="G217" s="15">
        <f>8958.4+9682.4+10688.4+19568.4</f>
        <v>48897.599999999999</v>
      </c>
      <c r="H217" s="15">
        <f>139300+100000+69200+67100+18400+77600+28330+1300+200</f>
        <v>501430</v>
      </c>
      <c r="I217" s="37">
        <f t="shared" si="19"/>
        <v>551659.29999999993</v>
      </c>
      <c r="J217" s="15">
        <f t="shared" si="17"/>
        <v>0.60999999998603016</v>
      </c>
      <c r="K217" s="4"/>
      <c r="L217" s="4"/>
    </row>
    <row r="218" spans="1:17" ht="15.75" x14ac:dyDescent="0.25">
      <c r="A218" s="9">
        <v>42170</v>
      </c>
      <c r="B218" s="10">
        <f>253789.28+1172743.53</f>
        <v>1426532.81</v>
      </c>
      <c r="C218" s="10">
        <f>21976+254+190450.43+2365</f>
        <v>215045.43</v>
      </c>
      <c r="D218" s="11">
        <f t="shared" si="18"/>
        <v>1211487.3800000001</v>
      </c>
      <c r="E218" s="25" t="s">
        <v>9</v>
      </c>
      <c r="F218" s="15">
        <v>12272.18</v>
      </c>
      <c r="G218" s="15">
        <f>12371.6+8422.7</f>
        <v>20794.300000000003</v>
      </c>
      <c r="H218" s="15">
        <f>74300+20000+24750+66822+116589+123000+104510+132500+28000+120000+10000+53900+50000+127600+40970.88+54000+15000+16139</f>
        <v>1178080.8799999999</v>
      </c>
      <c r="I218" s="37">
        <f t="shared" si="19"/>
        <v>1211147.3599999999</v>
      </c>
      <c r="J218" s="15">
        <f t="shared" si="17"/>
        <v>-340.02000000025146</v>
      </c>
      <c r="K218" s="4"/>
      <c r="L218" s="60" t="s">
        <v>295</v>
      </c>
      <c r="M218" s="60"/>
      <c r="N218" s="60"/>
      <c r="O218" s="60"/>
      <c r="P218" s="60"/>
      <c r="Q218" s="60"/>
    </row>
    <row r="219" spans="1:17" ht="15.75" x14ac:dyDescent="0.25">
      <c r="A219" s="9">
        <v>42171</v>
      </c>
      <c r="B219" s="10">
        <f>279750.16+2909175.26</f>
        <v>3188925.42</v>
      </c>
      <c r="C219" s="10">
        <f>78379.49+60333.5</f>
        <v>138712.99</v>
      </c>
      <c r="D219" s="11">
        <f t="shared" si="18"/>
        <v>3050212.4299999997</v>
      </c>
      <c r="E219" s="25" t="s">
        <v>9</v>
      </c>
      <c r="F219" s="15">
        <v>40695.25</v>
      </c>
      <c r="G219" s="15">
        <v>2248.4</v>
      </c>
      <c r="H219" s="15">
        <f>23300+10000+55330+46200+100700+43607.3+51782.4+98723.3+58661.8+25680.1+200000+35000+180000+128000+30000+50000+104179.6+86870.4+100000+200000+28115.2+68800+70928.65+70320+53000+100266+100000+150000+70000+70828.73+21641.83+103618.44+153605.4+200000+35000+30813+52300</f>
        <v>3007272.15</v>
      </c>
      <c r="I219" s="37">
        <f t="shared" si="19"/>
        <v>3050215.8</v>
      </c>
      <c r="J219" s="15">
        <f t="shared" si="17"/>
        <v>3.3700000001117587</v>
      </c>
      <c r="K219" s="4"/>
      <c r="L219" s="4"/>
    </row>
    <row r="220" spans="1:17" ht="15.75" x14ac:dyDescent="0.25">
      <c r="A220" s="9">
        <v>42172</v>
      </c>
      <c r="B220" s="10">
        <f>450410.63+3165879.3</f>
        <v>3616289.9299999997</v>
      </c>
      <c r="C220" s="10">
        <f>20335.22+77569.98</f>
        <v>97905.2</v>
      </c>
      <c r="D220" s="11">
        <f t="shared" si="18"/>
        <v>3518384.7299999995</v>
      </c>
      <c r="E220" s="25" t="s">
        <v>9</v>
      </c>
      <c r="F220" s="15">
        <v>25562.9</v>
      </c>
      <c r="G220" s="15">
        <f>55408.7+19560.9</f>
        <v>74969.600000000006</v>
      </c>
      <c r="H220" s="15">
        <f>42420+26000+57700+115000+81000+42000+57650+11686.52+67598+50134+20100+48427+4800+35277.5+47781+57031+57280+28571.5+7856+14630+10442+16340+10027+35700+11851+74640+30000+8604+3939+27300+6511+9321+25650+31735+50000+20309.5+50000+25000+15000+45000+28000+19610.5+44000+54500+30000+20380+40000+14000+38000+62500+23423+20230+54000+20000+27000+20000+60000+27000+20000+17024+38000+30000+20000+35000+27000+35089+28435+40000+69000+30000+29837+20000+30000+42000+28000+40000+32000+24328+36000+70000+26000+30000+45000+52000+56000+33409+26026+60000+30000+80000+24474.5+43500+30000+47000+7701+40000+27000+35084</f>
        <v>3417863.02</v>
      </c>
      <c r="I220" s="37">
        <f t="shared" si="19"/>
        <v>3518395.52</v>
      </c>
      <c r="J220" s="15">
        <f t="shared" si="17"/>
        <v>10.790000000502914</v>
      </c>
      <c r="K220" s="4"/>
      <c r="L220" s="60" t="s">
        <v>292</v>
      </c>
      <c r="M220" s="60"/>
      <c r="N220" s="60"/>
    </row>
    <row r="221" spans="1:17" ht="15.75" x14ac:dyDescent="0.25">
      <c r="A221" s="9">
        <v>42173</v>
      </c>
      <c r="B221" s="10">
        <f>351622.65+2994895.05</f>
        <v>3346517.6999999997</v>
      </c>
      <c r="C221" s="10">
        <f>136010.88+6700+134379.96</f>
        <v>277090.83999999997</v>
      </c>
      <c r="D221" s="11">
        <f t="shared" si="18"/>
        <v>3069426.86</v>
      </c>
      <c r="E221" s="25" t="s">
        <v>9</v>
      </c>
      <c r="F221" s="15">
        <v>1440.72</v>
      </c>
      <c r="G221" s="15">
        <v>0</v>
      </c>
      <c r="H221" s="15">
        <f>50000+39400+94000+29300+60100+7312.4+89269.94+9252+210700+32000+54730+100000+21750+146000+33595.5+55000+35000+42000+97000+37161+38811.5+20000+80000+105000+75000+85000+70000+1960+384+600+55000+70000+33046+85000+28000+10956.4+5366+40268.5+125000+25000+7106+15000+63000+35014+20000+3086.88+20000+90000+34505.5+57000+33757+18000+55000+74000+90000+55000+70000+30444+82000+17130</f>
        <v>3068006.62</v>
      </c>
      <c r="I221" s="37">
        <f t="shared" si="19"/>
        <v>3069447.3400000003</v>
      </c>
      <c r="J221" s="15">
        <f t="shared" si="17"/>
        <v>20.480000000447035</v>
      </c>
      <c r="K221" s="4"/>
      <c r="L221" s="60" t="s">
        <v>294</v>
      </c>
      <c r="M221" s="60"/>
    </row>
    <row r="222" spans="1:17" ht="15.75" x14ac:dyDescent="0.25">
      <c r="A222" s="9">
        <v>42174</v>
      </c>
      <c r="B222" s="10">
        <f>358972.85+701021.01</f>
        <v>1059993.8599999999</v>
      </c>
      <c r="C222" s="10">
        <f>92086.4+17514</f>
        <v>109600.4</v>
      </c>
      <c r="D222" s="11">
        <f t="shared" si="18"/>
        <v>950393.45999999985</v>
      </c>
      <c r="E222" s="25" t="s">
        <v>9</v>
      </c>
      <c r="F222" s="15">
        <v>0</v>
      </c>
      <c r="G222" s="15">
        <v>0</v>
      </c>
      <c r="H222" s="15">
        <f>73800+67300+91300+46630+13750+21500+108340+36000+131424.96+134550+225800</f>
        <v>950394.96</v>
      </c>
      <c r="I222" s="37">
        <f t="shared" si="19"/>
        <v>950394.96</v>
      </c>
      <c r="J222" s="15">
        <f t="shared" si="17"/>
        <v>1.5000000001164153</v>
      </c>
      <c r="K222" s="4"/>
      <c r="L222" s="4"/>
    </row>
    <row r="223" spans="1:17" ht="15.75" x14ac:dyDescent="0.25">
      <c r="A223" s="9">
        <v>42175</v>
      </c>
      <c r="B223" s="10">
        <f>601251.95+1361862.39</f>
        <v>1963114.3399999999</v>
      </c>
      <c r="C223" s="10">
        <f>20320.5+4100+146396.9</f>
        <v>170817.4</v>
      </c>
      <c r="D223" s="11">
        <f t="shared" si="18"/>
        <v>1792296.94</v>
      </c>
      <c r="E223" s="25" t="s">
        <v>9</v>
      </c>
      <c r="F223" s="15">
        <v>199.5</v>
      </c>
      <c r="G223" s="15">
        <f>8707.8+11500+19865.2+30223.7+10342.82+147801.36+4629.7+43653.4+79536.4+48886.24+93010.7+56418.7</f>
        <v>554576.02</v>
      </c>
      <c r="H223" s="15">
        <f>100000+148430+22265.5+25692.9+27648+39004.8+10376.8+83553+14000+201667+63991.8+31788+70000+140000+40000+57400+80800+44400+46664</f>
        <v>1247681.8</v>
      </c>
      <c r="I223" s="37">
        <f t="shared" si="19"/>
        <v>1802457.32</v>
      </c>
      <c r="J223" s="15">
        <f t="shared" si="17"/>
        <v>10160.380000000121</v>
      </c>
      <c r="K223" s="4"/>
      <c r="L223" s="60" t="s">
        <v>527</v>
      </c>
      <c r="M223" s="60"/>
      <c r="N223" s="60"/>
      <c r="O223" s="60"/>
    </row>
    <row r="224" spans="1:17" ht="15.75" x14ac:dyDescent="0.25">
      <c r="A224" s="9">
        <v>42176</v>
      </c>
      <c r="B224" s="10">
        <f>241255.19+227568.65</f>
        <v>468823.83999999997</v>
      </c>
      <c r="C224" s="10">
        <v>2398</v>
      </c>
      <c r="D224" s="11">
        <f t="shared" si="18"/>
        <v>466425.83999999997</v>
      </c>
      <c r="E224" s="25" t="s">
        <v>9</v>
      </c>
      <c r="F224" s="15">
        <v>1065.5999999999999</v>
      </c>
      <c r="G224" s="15">
        <v>19632</v>
      </c>
      <c r="H224" s="15">
        <f>62000+50000+130000+80000+37300+70000+16428</f>
        <v>445728</v>
      </c>
      <c r="I224" s="37">
        <f t="shared" si="19"/>
        <v>466425.59999999998</v>
      </c>
      <c r="J224" s="15">
        <f t="shared" si="17"/>
        <v>-0.23999999999068677</v>
      </c>
      <c r="K224" s="15"/>
      <c r="L224" s="4"/>
    </row>
    <row r="225" spans="1:14" ht="15.75" x14ac:dyDescent="0.25">
      <c r="A225" s="9">
        <v>42177</v>
      </c>
      <c r="B225" s="10">
        <f>329825.52+573171.09</f>
        <v>902996.61</v>
      </c>
      <c r="C225" s="10">
        <f>15144+254+2436+127610.28</f>
        <v>145444.28</v>
      </c>
      <c r="D225" s="11">
        <f t="shared" si="18"/>
        <v>757552.33</v>
      </c>
      <c r="E225" s="25" t="s">
        <v>9</v>
      </c>
      <c r="F225" s="15">
        <v>333</v>
      </c>
      <c r="G225" s="15">
        <v>0</v>
      </c>
      <c r="H225" s="15">
        <f>130000+22000+141100+31000+20000+25000+254144+100+77200</f>
        <v>700544</v>
      </c>
      <c r="I225" s="37">
        <f t="shared" si="19"/>
        <v>700877</v>
      </c>
      <c r="J225" s="15">
        <f t="shared" si="17"/>
        <v>-56675.329999999958</v>
      </c>
      <c r="K225" s="4"/>
      <c r="L225" s="60" t="s">
        <v>454</v>
      </c>
      <c r="M225" s="60"/>
      <c r="N225" s="60"/>
    </row>
    <row r="226" spans="1:14" ht="15.75" x14ac:dyDescent="0.25">
      <c r="A226" s="9">
        <v>42178</v>
      </c>
      <c r="B226" s="10">
        <f>265258.52+3419927.3</f>
        <v>3685185.82</v>
      </c>
      <c r="C226" s="10">
        <v>103667</v>
      </c>
      <c r="D226" s="11">
        <f t="shared" si="18"/>
        <v>3581518.82</v>
      </c>
      <c r="E226" s="25" t="s">
        <v>9</v>
      </c>
      <c r="F226" s="15">
        <v>410</v>
      </c>
      <c r="G226" s="15">
        <v>0</v>
      </c>
      <c r="H226" s="15">
        <f>133500+150000+109600+57600+60000+255856+75481.4+6627.5+1348+5456.5+27456.5+29511.5+5791+1163+53246+6132+5213+22103+24382+7604+5507.5+31188.5+6673+1427+27560+8569.5+22800+27430.5+3855.5+6277.5+6709+3622.5+18088+5277.5+63875.5+7803.5+22438+25908.5+6957+9258+32885+10602+12371+25137+14236+15834+16925+10000+55000+65000+80000+36359.5+38373.5+65000+95000+45000+27606+70500+80000+1279.34+105000+35343.5+95000+62000+17350+396+22383+18324+17515+19555+20645.28+716+5038.68+1920+27123+69500+90000+75000+520+6320+55000+70000+39000+28877.5+8233.6+4787.56+9090.12+30000+34801.5+80000+54000+4558+125000+45000+73500+20000+102350+6475+11056.1</f>
        <v>3637785.08</v>
      </c>
      <c r="I226" s="37">
        <f t="shared" si="19"/>
        <v>3638195.08</v>
      </c>
      <c r="J226" s="15">
        <f t="shared" si="17"/>
        <v>56676.260000000242</v>
      </c>
      <c r="K226" s="4"/>
      <c r="L226" s="60" t="s">
        <v>528</v>
      </c>
      <c r="M226" s="60"/>
    </row>
    <row r="227" spans="1:14" ht="15.75" x14ac:dyDescent="0.25">
      <c r="A227" s="9">
        <v>42179</v>
      </c>
      <c r="B227" s="10">
        <f>346374.96+2304815.06</f>
        <v>2651190.02</v>
      </c>
      <c r="C227" s="10">
        <f>16954.01+149325.02</f>
        <v>166279.03</v>
      </c>
      <c r="D227" s="11">
        <f t="shared" si="18"/>
        <v>2484910.9900000002</v>
      </c>
      <c r="E227" s="25" t="s">
        <v>9</v>
      </c>
      <c r="F227" s="15">
        <f>90118.85+2862</f>
        <v>92980.85</v>
      </c>
      <c r="G227" s="15">
        <f>9500+19047.7+19518.18+4427.6+9200+11300+23664.75+138303.08</f>
        <v>234961.31</v>
      </c>
      <c r="H227" s="15">
        <f>90000+70000+70200+21700+70000+81470+10000+100000+40000+72000+1791+41366.5+126000+80000+31570+95000+113500+340+1036+5140+38056+65000+80000+42000+19844+62000+31609+55000+20000+35523.5+55000+72000+34698+24838.5+54854.5+5974.5+14438.5+50500+98000+60000+75500+5627.48+35392</f>
        <v>2156969.48</v>
      </c>
      <c r="I227" s="37">
        <f t="shared" si="19"/>
        <v>2484911.64</v>
      </c>
      <c r="J227" s="15">
        <f t="shared" si="17"/>
        <v>0.64999999990686774</v>
      </c>
      <c r="K227" s="15"/>
      <c r="L227" s="4"/>
    </row>
    <row r="228" spans="1:14" ht="15.75" x14ac:dyDescent="0.25">
      <c r="A228" s="9">
        <v>42180</v>
      </c>
      <c r="B228" s="79">
        <f>418867.76+1874368.78</f>
        <v>2293236.54</v>
      </c>
      <c r="C228" s="80">
        <f>94776.32+350+111334.59</f>
        <v>206460.91</v>
      </c>
      <c r="D228" s="11">
        <f t="shared" si="18"/>
        <v>2086775.6300000001</v>
      </c>
      <c r="E228" s="25" t="s">
        <v>9</v>
      </c>
      <c r="F228" s="15">
        <v>75656.84</v>
      </c>
      <c r="G228" s="15">
        <f>27109.2+11553.4</f>
        <v>38662.6</v>
      </c>
      <c r="H228" s="15">
        <f>28000+120000+113000+28544+85687.65+3586+12277.2+7749.81+6885.4+15359.6+68181+46000+50000+35500+25900+42000+91579+216930+51000+83050+45080+204450+83143.79+200000+75101.1+61564.2+91897.4+79990</f>
        <v>1972456.1500000001</v>
      </c>
      <c r="I228" s="37">
        <f t="shared" si="19"/>
        <v>2086775.5900000003</v>
      </c>
      <c r="J228" s="15">
        <f t="shared" si="17"/>
        <v>-3.9999999804422259E-2</v>
      </c>
      <c r="K228" s="4"/>
      <c r="L228" s="4"/>
    </row>
    <row r="229" spans="1:14" ht="15.75" x14ac:dyDescent="0.25">
      <c r="A229" s="9">
        <v>42181</v>
      </c>
      <c r="B229" s="10">
        <f>305286.33+734021.41</f>
        <v>1039307.74</v>
      </c>
      <c r="C229" s="10">
        <f>18388+100355.3</f>
        <v>118743.3</v>
      </c>
      <c r="D229" s="11">
        <f t="shared" si="18"/>
        <v>920564.44</v>
      </c>
      <c r="E229" s="25" t="s">
        <v>9</v>
      </c>
      <c r="F229" s="15">
        <v>2957.8</v>
      </c>
      <c r="G229" s="15">
        <f>13347.6+10209.9</f>
        <v>23557.5</v>
      </c>
      <c r="H229" s="15">
        <f>160000+65300+77500+93040+184000+161341+89000+41623+22246</f>
        <v>894050</v>
      </c>
      <c r="I229" s="37">
        <f t="shared" si="19"/>
        <v>920565.3</v>
      </c>
      <c r="J229" s="15">
        <f t="shared" si="17"/>
        <v>0.86000000010244548</v>
      </c>
      <c r="K229" s="4"/>
      <c r="L229" s="4"/>
    </row>
    <row r="230" spans="1:14" ht="15.75" x14ac:dyDescent="0.25">
      <c r="A230" s="9">
        <v>42182</v>
      </c>
      <c r="B230" s="10">
        <f>449409.09+1075169.76</f>
        <v>1524578.85</v>
      </c>
      <c r="C230" s="10">
        <f>38686.7+59293.9</f>
        <v>97980.6</v>
      </c>
      <c r="D230" s="11">
        <f t="shared" si="18"/>
        <v>1426598.25</v>
      </c>
      <c r="E230" s="25" t="s">
        <v>9</v>
      </c>
      <c r="F230" s="15">
        <v>9973</v>
      </c>
      <c r="G230" s="15">
        <f>23296.2+20113+61305.6+50276.36+51283+173964.44+192570</f>
        <v>572808.6</v>
      </c>
      <c r="H230" s="15">
        <f>129200+164000+77500+77000+69600+92000+134100+27747.34+29645.08+35546.5+7477.9</f>
        <v>843816.82</v>
      </c>
      <c r="I230" s="37">
        <f t="shared" si="19"/>
        <v>1426598.42</v>
      </c>
      <c r="J230" s="15">
        <f t="shared" si="17"/>
        <v>0.16999999992549419</v>
      </c>
      <c r="K230" s="4"/>
      <c r="L230" s="4"/>
    </row>
    <row r="231" spans="1:14" ht="15.75" x14ac:dyDescent="0.25">
      <c r="A231" s="9">
        <v>42183</v>
      </c>
      <c r="B231" s="10">
        <f>293761.99+232331.42</f>
        <v>526093.41</v>
      </c>
      <c r="C231" s="10">
        <f>6334+4282</f>
        <v>10616</v>
      </c>
      <c r="D231" s="11">
        <f t="shared" si="18"/>
        <v>515477.41000000003</v>
      </c>
      <c r="E231" s="42"/>
      <c r="F231" s="15">
        <v>2331.3000000000002</v>
      </c>
      <c r="G231" s="15">
        <v>30896.1</v>
      </c>
      <c r="H231" s="15">
        <f>160000+90000+102700+43000</f>
        <v>395700</v>
      </c>
      <c r="I231" s="37">
        <f t="shared" si="19"/>
        <v>428927.39999999997</v>
      </c>
      <c r="J231" s="15">
        <f t="shared" si="17"/>
        <v>-86550.010000000068</v>
      </c>
      <c r="K231" s="4"/>
      <c r="L231" s="39" t="s">
        <v>529</v>
      </c>
    </row>
    <row r="232" spans="1:14" ht="15.75" x14ac:dyDescent="0.25">
      <c r="A232" s="9">
        <v>42184</v>
      </c>
      <c r="B232" s="10">
        <f>325301.58+259795.36</f>
        <v>585096.93999999994</v>
      </c>
      <c r="C232" s="10">
        <f>28780.4+254+254+426+390+95+176494.35</f>
        <v>206693.75</v>
      </c>
      <c r="D232" s="11">
        <f t="shared" si="18"/>
        <v>378403.18999999994</v>
      </c>
      <c r="E232" s="42"/>
      <c r="F232" s="15">
        <v>715</v>
      </c>
      <c r="G232" s="15">
        <v>0</v>
      </c>
      <c r="H232" s="15">
        <f>135000+75000+20000+68400+8355.6+35277</f>
        <v>342032.6</v>
      </c>
      <c r="I232" s="37">
        <f t="shared" si="19"/>
        <v>342747.6</v>
      </c>
      <c r="J232" s="15">
        <f t="shared" si="17"/>
        <v>-35655.589999999967</v>
      </c>
      <c r="K232" s="4"/>
      <c r="L232" s="39" t="s">
        <v>530</v>
      </c>
    </row>
    <row r="233" spans="1:14" ht="15.75" x14ac:dyDescent="0.25">
      <c r="A233" s="9">
        <v>42185</v>
      </c>
      <c r="B233" s="10">
        <f>241440.63+1284938.94</f>
        <v>1526379.5699999998</v>
      </c>
      <c r="C233" s="10">
        <f>19855.64+250+1119+61635.06</f>
        <v>82859.7</v>
      </c>
      <c r="D233" s="11">
        <f t="shared" si="18"/>
        <v>1443519.8699999999</v>
      </c>
      <c r="E233" s="25" t="s">
        <v>9</v>
      </c>
      <c r="F233" s="15">
        <v>8198.1</v>
      </c>
      <c r="G233" s="15">
        <v>0</v>
      </c>
      <c r="H233" s="15">
        <f>60000+120000+195000+120000+60643+9797.82+37029.6+16964.5+18620+280000+28696.44+26600+88850+160700+62000+150420</f>
        <v>1435321.3599999999</v>
      </c>
      <c r="I233" s="37">
        <f t="shared" si="19"/>
        <v>1443519.46</v>
      </c>
      <c r="J233" s="15">
        <f t="shared" si="17"/>
        <v>-0.40999999991618097</v>
      </c>
      <c r="K233" s="4"/>
      <c r="L233" s="4"/>
    </row>
    <row r="234" spans="1:14" ht="15.75" x14ac:dyDescent="0.25">
      <c r="A234" s="9"/>
      <c r="B234" s="10"/>
      <c r="C234" s="10"/>
      <c r="D234" s="11">
        <f t="shared" si="18"/>
        <v>0</v>
      </c>
      <c r="E234" s="25"/>
      <c r="F234" s="15"/>
      <c r="G234" s="15"/>
      <c r="H234" s="15"/>
      <c r="I234" s="37">
        <f t="shared" si="19"/>
        <v>0</v>
      </c>
      <c r="J234" s="15">
        <f t="shared" si="17"/>
        <v>0</v>
      </c>
      <c r="K234" s="4"/>
    </row>
    <row r="235" spans="1:14" ht="15.75" x14ac:dyDescent="0.25">
      <c r="A235" s="9"/>
      <c r="B235" s="10"/>
      <c r="C235" s="10"/>
      <c r="D235" s="11">
        <f t="shared" si="18"/>
        <v>0</v>
      </c>
      <c r="E235" s="4"/>
      <c r="F235" s="4"/>
      <c r="G235" s="15"/>
      <c r="H235" s="15"/>
      <c r="I235" s="4"/>
      <c r="J235" s="15">
        <f t="shared" si="17"/>
        <v>0</v>
      </c>
      <c r="K235" s="4"/>
    </row>
    <row r="236" spans="1:14" ht="15.75" x14ac:dyDescent="0.25">
      <c r="A236" s="14"/>
      <c r="B236" s="10"/>
      <c r="C236" s="10"/>
      <c r="D236" s="11">
        <f t="shared" si="18"/>
        <v>0</v>
      </c>
      <c r="E236" s="4"/>
      <c r="F236" s="4"/>
      <c r="G236" s="15"/>
      <c r="H236" s="15"/>
      <c r="I236" s="4"/>
      <c r="J236" s="15">
        <f t="shared" si="17"/>
        <v>0</v>
      </c>
      <c r="K236" s="4"/>
    </row>
    <row r="237" spans="1:14" ht="15.75" x14ac:dyDescent="0.25">
      <c r="A237" s="14"/>
      <c r="B237" s="13"/>
      <c r="C237" s="10"/>
      <c r="D237" s="11">
        <f t="shared" si="18"/>
        <v>0</v>
      </c>
      <c r="E237" s="4"/>
      <c r="F237" s="4"/>
      <c r="G237" s="15"/>
      <c r="H237" s="15"/>
      <c r="I237" s="4"/>
      <c r="J237" s="15">
        <f t="shared" si="17"/>
        <v>0</v>
      </c>
      <c r="K237" s="4"/>
    </row>
    <row r="238" spans="1:14" ht="15.75" x14ac:dyDescent="0.25">
      <c r="A238" s="14"/>
      <c r="B238" s="10"/>
      <c r="C238" s="10"/>
      <c r="D238" s="11">
        <f t="shared" si="18"/>
        <v>0</v>
      </c>
      <c r="E238" s="4"/>
      <c r="F238" s="4"/>
      <c r="G238" s="15"/>
      <c r="H238" s="15"/>
      <c r="I238" s="4"/>
      <c r="J238" s="15">
        <f t="shared" si="17"/>
        <v>0</v>
      </c>
      <c r="K238" s="4"/>
    </row>
    <row r="239" spans="1:14" ht="15.75" x14ac:dyDescent="0.25">
      <c r="A239" s="14"/>
      <c r="B239" s="10">
        <f>SUM(B204:B238)</f>
        <v>47164144.499999993</v>
      </c>
      <c r="C239" s="10">
        <f>SUM(C204:C238)</f>
        <v>4158579.1700000004</v>
      </c>
      <c r="D239" s="11">
        <f t="shared" si="18"/>
        <v>43005565.329999991</v>
      </c>
      <c r="E239" s="4"/>
      <c r="F239" s="15"/>
      <c r="G239" s="15"/>
      <c r="H239" s="15"/>
      <c r="I239" s="4"/>
      <c r="J239" s="15">
        <f t="shared" si="17"/>
        <v>-43005565.329999991</v>
      </c>
      <c r="K239" s="4"/>
    </row>
    <row r="240" spans="1:14" x14ac:dyDescent="0.25">
      <c r="K240" s="4"/>
    </row>
    <row r="241" spans="1:24" ht="18.75" x14ac:dyDescent="0.3">
      <c r="A241" s="1"/>
      <c r="B241" s="57" t="s">
        <v>262</v>
      </c>
      <c r="C241" s="57"/>
      <c r="D241" s="2"/>
      <c r="E241" s="3"/>
      <c r="F241" s="4"/>
      <c r="G241" s="15"/>
      <c r="H241" s="4"/>
      <c r="I241" s="4"/>
      <c r="J241" s="4"/>
      <c r="K241" s="4"/>
    </row>
    <row r="242" spans="1:24" ht="15.75" x14ac:dyDescent="0.25">
      <c r="A242" s="5"/>
      <c r="B242" s="6"/>
      <c r="C242" s="23" t="s">
        <v>6</v>
      </c>
      <c r="D242" s="7"/>
      <c r="E242" s="3"/>
      <c r="F242" s="4"/>
      <c r="G242" s="15"/>
      <c r="H242" s="4"/>
      <c r="I242" s="4"/>
      <c r="J242" s="4"/>
      <c r="K242" s="4"/>
    </row>
    <row r="243" spans="1:24" ht="23.25" thickBot="1" x14ac:dyDescent="0.3">
      <c r="A243" s="19" t="s">
        <v>0</v>
      </c>
      <c r="B243" s="20" t="s">
        <v>1</v>
      </c>
      <c r="C243" s="124" t="s">
        <v>320</v>
      </c>
      <c r="D243" s="22" t="s">
        <v>4</v>
      </c>
      <c r="E243" s="3"/>
      <c r="F243" s="38" t="s">
        <v>19</v>
      </c>
      <c r="G243" s="32" t="s">
        <v>10</v>
      </c>
      <c r="H243" s="27" t="s">
        <v>8</v>
      </c>
      <c r="I243" s="50"/>
      <c r="J243" s="33" t="s">
        <v>11</v>
      </c>
      <c r="K243" s="34" t="s">
        <v>13</v>
      </c>
    </row>
    <row r="244" spans="1:24" ht="16.5" thickTop="1" x14ac:dyDescent="0.25">
      <c r="A244" s="9">
        <v>42186</v>
      </c>
      <c r="B244" s="10">
        <f>341705.24+930570.25</f>
        <v>1272275.49</v>
      </c>
      <c r="C244" s="10">
        <f>7778.95+21221.4</f>
        <v>29000.350000000002</v>
      </c>
      <c r="D244" s="11">
        <f>B244-C244</f>
        <v>1243275.1399999999</v>
      </c>
      <c r="E244" s="25" t="s">
        <v>9</v>
      </c>
      <c r="F244" s="15">
        <v>6168.2</v>
      </c>
      <c r="G244" s="15">
        <f>24537.4+23176.5</f>
        <v>47713.9</v>
      </c>
      <c r="H244" s="15">
        <f>117900+140000+201570+11068.64+43519+22500+12000+161000+9000+137950+142000+141376+24350+25160</f>
        <v>1189393.6400000001</v>
      </c>
      <c r="I244" s="37">
        <f>H244+G244+F244</f>
        <v>1243275.74</v>
      </c>
      <c r="J244" s="15">
        <f t="shared" ref="J244:J279" si="20">H244+G244+F244-D244</f>
        <v>0.60000000009313226</v>
      </c>
      <c r="K244" s="4"/>
      <c r="L244" s="4"/>
    </row>
    <row r="245" spans="1:24" ht="15.75" x14ac:dyDescent="0.25">
      <c r="A245" s="9">
        <v>42187</v>
      </c>
      <c r="B245" s="10">
        <f>350926.93+387940.6</f>
        <v>738867.53</v>
      </c>
      <c r="C245" s="10">
        <f>44790.5+100860.62</f>
        <v>145651.12</v>
      </c>
      <c r="D245" s="11">
        <f t="shared" ref="D245:D279" si="21">B245-C245</f>
        <v>593216.41</v>
      </c>
      <c r="E245" s="25" t="s">
        <v>9</v>
      </c>
      <c r="F245" s="31">
        <v>2640.6</v>
      </c>
      <c r="G245" s="31">
        <v>0</v>
      </c>
      <c r="H245" s="15">
        <f>110000+148800+109750+127100+25605.4+6463.8+11686.52+51170</f>
        <v>590575.72000000009</v>
      </c>
      <c r="I245" s="37">
        <f t="shared" ref="I245:I274" si="22">H245+G245+F245</f>
        <v>593216.32000000007</v>
      </c>
      <c r="J245" s="15">
        <f t="shared" si="20"/>
        <v>-8.999999996740371E-2</v>
      </c>
      <c r="K245" s="4"/>
      <c r="L245" s="4"/>
    </row>
    <row r="246" spans="1:24" ht="15.75" x14ac:dyDescent="0.25">
      <c r="A246" s="9">
        <v>42188</v>
      </c>
      <c r="B246" s="10">
        <f>266604.98+204759.68</f>
        <v>471364.66</v>
      </c>
      <c r="C246" s="10">
        <f>120352.95+300+470+44704.6</f>
        <v>165827.54999999999</v>
      </c>
      <c r="D246" s="11">
        <f t="shared" si="21"/>
        <v>305537.11</v>
      </c>
      <c r="E246" s="25" t="s">
        <v>9</v>
      </c>
      <c r="F246" s="15">
        <v>0</v>
      </c>
      <c r="G246" s="15">
        <v>0</v>
      </c>
      <c r="H246" s="15">
        <f>63044.17+109050+94300+39143</f>
        <v>305537.17</v>
      </c>
      <c r="I246" s="37">
        <f t="shared" si="22"/>
        <v>305537.17</v>
      </c>
      <c r="J246" s="15">
        <f t="shared" si="20"/>
        <v>5.9999999997671694E-2</v>
      </c>
      <c r="K246" s="43"/>
      <c r="L246" s="4"/>
    </row>
    <row r="247" spans="1:24" ht="15.75" x14ac:dyDescent="0.25">
      <c r="A247" s="9">
        <v>42189</v>
      </c>
      <c r="B247" s="10">
        <f>443248.39+3763267.93+2992.5</f>
        <v>4209508.82</v>
      </c>
      <c r="C247" s="10">
        <f>108073+135829.6</f>
        <v>243902.6</v>
      </c>
      <c r="D247" s="11">
        <f t="shared" si="21"/>
        <v>3965606.22</v>
      </c>
      <c r="E247" s="25" t="s">
        <v>9</v>
      </c>
      <c r="F247" s="15">
        <v>7604.24</v>
      </c>
      <c r="G247" s="15">
        <f>19981.65+4520.2+57017.4+78242.1+82461.8+167267.08+148490.28+53013.4+38380.2+45622.14</f>
        <v>694996.25</v>
      </c>
      <c r="H247" s="15">
        <f>95000+88900+100000+110500+95000+20815.5+34990+6904+73000+7190+22000+45940+25186.8+28207+45627+45918+24315+33181+16570+20890+32200+81776.5+65103+20291.5+38573+32275+11665.5+21000+34140+50950+56581.5+34581+200+23425+15100+9001+6405+27628+21744+22000+10456+63067+3272+2229.5+8273+50517.5+12588.5+5037.5+4929.5+2119.5+7807.5+8100+27445+23002+3589.5+6843+6920.5+51899.5+7300.5+9045.5+34614.5+26040.5+1848+9263.5+7091+24909+45341+18705+8382+174476+46414+72000+38700+81500+90800+50471.1+42794.24+25148.42+57811.38+40000+15000+50000+151680+20000+189170+23365.05+55271+2992.5</f>
        <v>3263005.4899999998</v>
      </c>
      <c r="I247" s="37">
        <f t="shared" si="22"/>
        <v>3965605.98</v>
      </c>
      <c r="J247" s="15">
        <f t="shared" si="20"/>
        <v>-0.24000000022351742</v>
      </c>
      <c r="K247" s="4"/>
      <c r="L247" s="123" t="s">
        <v>340</v>
      </c>
      <c r="M247" s="123"/>
      <c r="N247" s="123"/>
      <c r="O247" s="123"/>
      <c r="P247" s="123"/>
    </row>
    <row r="248" spans="1:24" ht="15.75" x14ac:dyDescent="0.25">
      <c r="A248" s="9">
        <v>42190</v>
      </c>
      <c r="B248" s="10">
        <f>286947.69+2514120.07</f>
        <v>2801067.76</v>
      </c>
      <c r="C248" s="10">
        <f>105136+56170</f>
        <v>161306</v>
      </c>
      <c r="D248" s="11">
        <f t="shared" si="21"/>
        <v>2639761.7599999998</v>
      </c>
      <c r="E248" s="25" t="s">
        <v>9</v>
      </c>
      <c r="F248" s="15">
        <v>3695.2</v>
      </c>
      <c r="G248" s="15">
        <v>13708.5</v>
      </c>
      <c r="H248" s="15">
        <f>111600+62600+92900+130664+57093+40000+25000+60000+27000+20578+34000+10655+20000+30000+35000+70000+21440.5+40000+25000+15138+17000+20000+40000+51000+18645.5+67000+55000+55000+50000+23729+50+30186+12974.5+28000+40000+60000+30000+26397.5+40000+35000+25520.5+34000+65000+30000+20000+34000+20000+20000+60000+3301.5+40576.5+100000+2236.5+17133.5+130000+23055.5+120000+23017.5+15000+20000+40000+40000+28000+28866.5+54000</f>
        <v>2622359</v>
      </c>
      <c r="I248" s="37">
        <f t="shared" si="22"/>
        <v>2639762.7000000002</v>
      </c>
      <c r="J248" s="15">
        <f t="shared" si="20"/>
        <v>0.94000000040978193</v>
      </c>
      <c r="K248" s="98">
        <v>13708.5</v>
      </c>
      <c r="L248" s="4"/>
    </row>
    <row r="249" spans="1:24" ht="15.75" x14ac:dyDescent="0.25">
      <c r="A249" s="9">
        <v>42191</v>
      </c>
      <c r="B249" s="10">
        <f>280737.48+2570788.64</f>
        <v>2851526.12</v>
      </c>
      <c r="C249" s="10">
        <f>31389.48+185+164230.58</f>
        <v>195805.06</v>
      </c>
      <c r="D249" s="11">
        <f t="shared" si="21"/>
        <v>2655721.06</v>
      </c>
      <c r="E249" s="25" t="s">
        <v>9</v>
      </c>
      <c r="F249" s="15">
        <v>0</v>
      </c>
      <c r="G249" s="15">
        <f>9400+19809.8+10172.8+9517.6</f>
        <v>48900.2</v>
      </c>
      <c r="H249" s="15">
        <f>142200+92260+82861+24881+122227+11508+75000+32654.5+105000+50000+25000+45000+70000+101000+1172+80000+30771.5+80000+65000+35000+12000+28000+8177.22+11020.44+980+1120+2562.28+8810+31399+15000+60000+110000+110000+90000+35500+28124+50000+55000+30178+33000+31960+14089.5+13000+40936+70000+80000+45000+35000+50000+45090+65000+73000+6541.1+16754.88+28045</f>
        <v>2606822.42</v>
      </c>
      <c r="I249" s="37">
        <f t="shared" si="22"/>
        <v>2655722.62</v>
      </c>
      <c r="J249" s="15">
        <f t="shared" si="20"/>
        <v>1.5600000000558794</v>
      </c>
      <c r="K249" s="4"/>
      <c r="L249" s="4"/>
    </row>
    <row r="250" spans="1:24" ht="15.75" x14ac:dyDescent="0.25">
      <c r="A250" s="9">
        <v>42192</v>
      </c>
      <c r="B250" s="10">
        <f>308238.19+2875019.48</f>
        <v>3183257.67</v>
      </c>
      <c r="C250" s="10">
        <f>110716.6+4400+4896</f>
        <v>120012.6</v>
      </c>
      <c r="D250" s="11">
        <f t="shared" si="21"/>
        <v>3063245.07</v>
      </c>
      <c r="E250" s="25" t="s">
        <v>9</v>
      </c>
      <c r="F250" s="15">
        <v>8460</v>
      </c>
      <c r="G250" s="15">
        <f>16114.1+12812</f>
        <v>28926.1</v>
      </c>
      <c r="H250" s="15">
        <f>200100+104200+46820+167610+15230.02+2461.68+93303.9+94714.1+37071.5+79000+90000+30000+6974.06+33709.5+60000+85000+36958.5+25000+90000+85000+50000+36584+16407.86+83000+5000+32370.5+38000+95000+105000+5226+1824.32+19220.26+6549.66+680+940+35015+40000+40000+70000+95000+85000+31947+38000+34675+26600+15654+37956+44000+41536+57000+145000+40000+50000+20000+77000+39706.5+51000+156+272+11225.92+20160</f>
        <v>3025859.2800000003</v>
      </c>
      <c r="I250" s="37">
        <f t="shared" si="22"/>
        <v>3063245.3800000004</v>
      </c>
      <c r="J250" s="15">
        <f t="shared" si="20"/>
        <v>0.31000000052154064</v>
      </c>
      <c r="K250" s="4"/>
      <c r="L250" s="4"/>
    </row>
    <row r="251" spans="1:24" ht="15.75" x14ac:dyDescent="0.25">
      <c r="A251" s="9">
        <v>42193</v>
      </c>
      <c r="B251" s="10">
        <f>434088.28+390019.71</f>
        <v>824107.99</v>
      </c>
      <c r="C251" s="10">
        <f>147796.5+5250+87393.32</f>
        <v>240439.82</v>
      </c>
      <c r="D251" s="11">
        <f t="shared" si="21"/>
        <v>583668.16999999993</v>
      </c>
      <c r="E251" s="25" t="s">
        <v>9</v>
      </c>
      <c r="F251" s="15">
        <v>0</v>
      </c>
      <c r="G251" s="15">
        <f>3180.1+19810.8+25669.18+151310.78</f>
        <v>199970.86</v>
      </c>
      <c r="H251" s="15">
        <f>136000+150000+64050+986+15000</f>
        <v>366036</v>
      </c>
      <c r="I251" s="37">
        <f t="shared" si="22"/>
        <v>566006.86</v>
      </c>
      <c r="J251" s="15">
        <f t="shared" si="20"/>
        <v>-17661.309999999939</v>
      </c>
      <c r="K251" s="4"/>
      <c r="L251" s="60" t="s">
        <v>337</v>
      </c>
      <c r="M251" s="60"/>
      <c r="N251" s="60"/>
      <c r="O251" s="60"/>
      <c r="P251" s="60"/>
      <c r="Q251" s="60"/>
      <c r="R251" s="60"/>
      <c r="S251" s="60"/>
      <c r="T251" s="60"/>
    </row>
    <row r="252" spans="1:24" ht="15.75" x14ac:dyDescent="0.25">
      <c r="A252" s="9">
        <v>42194</v>
      </c>
      <c r="B252" s="10">
        <f>427876.19+574346.19</f>
        <v>1002222.3799999999</v>
      </c>
      <c r="C252" s="10">
        <f>41730.81+228151.16</f>
        <v>269881.96999999997</v>
      </c>
      <c r="D252" s="11">
        <f t="shared" si="21"/>
        <v>732340.40999999992</v>
      </c>
      <c r="E252" s="25" t="s">
        <v>9</v>
      </c>
      <c r="F252" s="15">
        <v>459</v>
      </c>
      <c r="G252" s="15">
        <f>22966.5+37005.2</f>
        <v>59971.7</v>
      </c>
      <c r="H252" s="15">
        <f>126700+119000+112700+18697+74379+4000+125493+52273.6+36889+19439.8</f>
        <v>689571.4</v>
      </c>
      <c r="I252" s="37">
        <f t="shared" si="22"/>
        <v>750002.1</v>
      </c>
      <c r="J252" s="15">
        <f t="shared" si="20"/>
        <v>17661.690000000061</v>
      </c>
      <c r="K252" s="4"/>
      <c r="L252" s="123" t="s">
        <v>455</v>
      </c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</row>
    <row r="253" spans="1:24" ht="15.75" x14ac:dyDescent="0.25">
      <c r="A253" s="9">
        <v>42195</v>
      </c>
      <c r="B253" s="10">
        <f>291575.69+3775393.2</f>
        <v>4066968.89</v>
      </c>
      <c r="C253" s="10">
        <v>16405.39</v>
      </c>
      <c r="D253" s="11">
        <f t="shared" si="21"/>
        <v>4050563.5</v>
      </c>
      <c r="E253" s="25" t="s">
        <v>9</v>
      </c>
      <c r="F253" s="15">
        <v>8374.6</v>
      </c>
      <c r="G253" s="15">
        <v>0</v>
      </c>
      <c r="H253" s="15">
        <f>87500+136200+170000+119851.95+257100+220000+77010+18550+23000+50000+150000+200000+49850.25+133500+63000+70000+150000+86500+100000+150000+130000+75000+30000+100000+77000+220000+30000+200000+5222+31000+133150+22634+135000+28000+42870+110000+49000+41100+52594+172000+45637</f>
        <v>4042269.2</v>
      </c>
      <c r="I253" s="37">
        <f t="shared" si="22"/>
        <v>4050643.8000000003</v>
      </c>
      <c r="J253" s="15">
        <f t="shared" si="20"/>
        <v>80.300000000279397</v>
      </c>
      <c r="K253" s="4"/>
      <c r="L253" s="74" t="s">
        <v>804</v>
      </c>
      <c r="M253" s="74"/>
    </row>
    <row r="254" spans="1:24" ht="15.75" x14ac:dyDescent="0.25">
      <c r="A254" s="9">
        <v>42196</v>
      </c>
      <c r="B254" s="10">
        <f>557257.34+2101427.43</f>
        <v>2658684.77</v>
      </c>
      <c r="C254" s="10">
        <f>10941.6+69732.3</f>
        <v>80673.900000000009</v>
      </c>
      <c r="D254" s="11">
        <f t="shared" si="21"/>
        <v>2578010.87</v>
      </c>
      <c r="E254" s="25" t="s">
        <v>9</v>
      </c>
      <c r="F254" s="15">
        <v>8017.85</v>
      </c>
      <c r="G254" s="15">
        <f>18614.5+53484.22+56510+37663.5+91623.6+182475.07</f>
        <v>440370.89</v>
      </c>
      <c r="H254" s="15">
        <f>118370+79900+130600+89350+125900+208450+20920+42233.79+23869.95+150701+237500+62399+184950+35000+241000+64737.74+30000+40000+50000+75270+79125+39327</f>
        <v>2129603.48</v>
      </c>
      <c r="I254" s="37">
        <f t="shared" si="22"/>
        <v>2577992.2200000002</v>
      </c>
      <c r="J254" s="15">
        <f t="shared" si="20"/>
        <v>-18.649999999906868</v>
      </c>
      <c r="K254" s="4"/>
      <c r="L254" s="60" t="s">
        <v>338</v>
      </c>
      <c r="M254" s="60"/>
      <c r="T254" s="279" t="s">
        <v>447</v>
      </c>
      <c r="U254" s="280"/>
      <c r="V254" s="281"/>
    </row>
    <row r="255" spans="1:24" ht="15.75" x14ac:dyDescent="0.25">
      <c r="A255" s="9">
        <v>42197</v>
      </c>
      <c r="B255" s="10">
        <f>162850.73+245373.34</f>
        <v>408224.07</v>
      </c>
      <c r="C255" s="10">
        <v>4744</v>
      </c>
      <c r="D255" s="11">
        <f t="shared" si="21"/>
        <v>403480.07</v>
      </c>
      <c r="E255" s="25" t="s">
        <v>9</v>
      </c>
      <c r="F255" s="15">
        <v>192.5</v>
      </c>
      <c r="G255" s="15">
        <v>0</v>
      </c>
      <c r="H255" s="15">
        <f>80000+81000+142400+99888</f>
        <v>403288</v>
      </c>
      <c r="I255" s="37">
        <f t="shared" si="22"/>
        <v>403480.5</v>
      </c>
      <c r="J255" s="15">
        <f t="shared" si="20"/>
        <v>0.42999999999301508</v>
      </c>
      <c r="K255" s="4"/>
      <c r="L255" s="4"/>
      <c r="T255" s="153"/>
      <c r="U255" s="99"/>
      <c r="V255" s="154"/>
    </row>
    <row r="256" spans="1:24" ht="15.75" x14ac:dyDescent="0.25">
      <c r="A256" s="9">
        <v>42198</v>
      </c>
      <c r="B256" s="10">
        <f>368272.16+334510.05</f>
        <v>702782.21</v>
      </c>
      <c r="C256" s="10">
        <f>6744+110+1740+189295.5</f>
        <v>197889.5</v>
      </c>
      <c r="D256" s="11">
        <f t="shared" si="21"/>
        <v>504892.70999999996</v>
      </c>
      <c r="E256" s="25" t="s">
        <v>9</v>
      </c>
      <c r="F256" s="15">
        <v>1810.24</v>
      </c>
      <c r="G256" s="15">
        <v>0</v>
      </c>
      <c r="H256" s="15">
        <f>110000+133900+75000+112650+38854+32679</f>
        <v>503083</v>
      </c>
      <c r="I256" s="37">
        <f t="shared" si="22"/>
        <v>504893.24</v>
      </c>
      <c r="J256" s="15">
        <f t="shared" si="20"/>
        <v>0.53000000002793968</v>
      </c>
      <c r="K256" s="4"/>
      <c r="L256" s="123" t="s">
        <v>427</v>
      </c>
      <c r="M256" s="123"/>
      <c r="T256" s="153">
        <v>42207</v>
      </c>
      <c r="U256" s="99" t="s">
        <v>393</v>
      </c>
      <c r="V256" s="154">
        <v>1000</v>
      </c>
    </row>
    <row r="257" spans="1:22" ht="15.75" x14ac:dyDescent="0.25">
      <c r="A257" s="9">
        <v>42199</v>
      </c>
      <c r="B257" s="10">
        <f>208363.1+561894.88</f>
        <v>770257.98</v>
      </c>
      <c r="C257" s="10">
        <f>57607.89+3800+95+171132.36</f>
        <v>232635.25</v>
      </c>
      <c r="D257" s="11">
        <f t="shared" si="21"/>
        <v>537622.73</v>
      </c>
      <c r="E257" s="25" t="s">
        <v>9</v>
      </c>
      <c r="F257" s="15">
        <v>3873.5</v>
      </c>
      <c r="G257" s="15">
        <v>12503.1</v>
      </c>
      <c r="H257" s="15">
        <f>140000+25514+110400+138500+18600+70000+18233</f>
        <v>521247</v>
      </c>
      <c r="I257" s="37">
        <f t="shared" si="22"/>
        <v>537623.6</v>
      </c>
      <c r="J257" s="15">
        <f t="shared" si="20"/>
        <v>0.86999999999534339</v>
      </c>
      <c r="K257" s="4"/>
      <c r="L257" s="60" t="s">
        <v>533</v>
      </c>
      <c r="M257" s="60"/>
      <c r="T257" s="153">
        <v>42209</v>
      </c>
      <c r="U257" s="99" t="s">
        <v>408</v>
      </c>
      <c r="V257" s="154">
        <v>3500</v>
      </c>
    </row>
    <row r="258" spans="1:22" ht="15.75" x14ac:dyDescent="0.25">
      <c r="A258" s="9">
        <v>42200</v>
      </c>
      <c r="B258" s="10">
        <f>385178.8+1323182.28</f>
        <v>1708361.08</v>
      </c>
      <c r="C258" s="10">
        <f>5345+58156</f>
        <v>63501</v>
      </c>
      <c r="D258" s="11">
        <f t="shared" si="21"/>
        <v>1644860.08</v>
      </c>
      <c r="E258" s="25" t="s">
        <v>9</v>
      </c>
      <c r="F258" s="15">
        <v>1316.5</v>
      </c>
      <c r="G258" s="15">
        <v>25909.5</v>
      </c>
      <c r="H258" s="15">
        <f>125000+85000+142700+140000+70000+21324+13615.81+239850+8971.7+49370+160000+3990+60000+70000+35000+85000+87440+26315+34057.5+75000+85000</f>
        <v>1617634.01</v>
      </c>
      <c r="I258" s="37">
        <f t="shared" si="22"/>
        <v>1644860.01</v>
      </c>
      <c r="J258" s="15">
        <f t="shared" si="20"/>
        <v>-7.000000006519258E-2</v>
      </c>
      <c r="K258" s="4"/>
      <c r="T258" s="153">
        <v>42210</v>
      </c>
      <c r="U258" s="99" t="s">
        <v>409</v>
      </c>
      <c r="V258" s="154">
        <v>5000</v>
      </c>
    </row>
    <row r="259" spans="1:22" ht="15.75" x14ac:dyDescent="0.25">
      <c r="A259" s="9">
        <v>42201</v>
      </c>
      <c r="B259" s="10">
        <f>333408.61+3370429.41</f>
        <v>3703838.02</v>
      </c>
      <c r="C259" s="10">
        <f>32444.79+123992.16</f>
        <v>156436.95000000001</v>
      </c>
      <c r="D259" s="11">
        <f t="shared" si="21"/>
        <v>3547401.07</v>
      </c>
      <c r="E259" s="25" t="s">
        <v>9</v>
      </c>
      <c r="F259" s="15">
        <v>83023.42</v>
      </c>
      <c r="G259" s="15">
        <f>9500+9000+7339.95+8677.04+19794.34+10456+10791.6+19124.4+9542.4</f>
        <v>104225.73000000001</v>
      </c>
      <c r="H259" s="15">
        <f>121100+60300+80000+95670+100700+5980.6+54444.31+8903+11950.24+63539+62803+10181.5+33000+16181.5+7233.5+8690.5+52000+21200+6985.5+6297.5+15552.5+25917+8300+6432.5+8800+12400+30667.5+12961.5+11000+4077+2264.5+8466.5+15300+7271+24016.5+12212.5+16500+13037+9725.5+24793.5+6638+3508+11595.5+55508.5+9401.5+25811+31037.5+8328+41372+7944.5+21235.5+50000+43041.44+20784.6+61342.1+22902.8+109398.8+68343.05+88452.9+25166+13200+139000+4980+21000+34928+148500+90000+29155.5+48000+101000+7200+8897.32+5335.6+38965+27301.2+28714+920+3410+6991.36+80000+150000+103000+30849+35552+55000+88000+100000+125000+29088</f>
        <v>3362653.82</v>
      </c>
      <c r="I259" s="37">
        <f t="shared" si="22"/>
        <v>3549902.9699999997</v>
      </c>
      <c r="J259" s="15">
        <f t="shared" si="20"/>
        <v>2501.8999999999069</v>
      </c>
      <c r="K259" s="4"/>
      <c r="L259" s="60" t="s">
        <v>456</v>
      </c>
      <c r="M259" s="60"/>
      <c r="N259" s="60"/>
      <c r="O259" s="60"/>
      <c r="P259" s="60"/>
      <c r="T259" s="153">
        <v>42212</v>
      </c>
      <c r="U259" s="99" t="s">
        <v>407</v>
      </c>
      <c r="V259" s="154">
        <v>2000</v>
      </c>
    </row>
    <row r="260" spans="1:22" ht="15.75" x14ac:dyDescent="0.25">
      <c r="A260" s="9">
        <v>42202</v>
      </c>
      <c r="B260" s="10">
        <f>267837.35+451516.19</f>
        <v>719353.54</v>
      </c>
      <c r="C260" s="10">
        <f>5474.98+5600</f>
        <v>11074.98</v>
      </c>
      <c r="D260" s="11">
        <f t="shared" si="21"/>
        <v>708278.56</v>
      </c>
      <c r="E260" s="25" t="s">
        <v>9</v>
      </c>
      <c r="F260" s="15">
        <v>1143</v>
      </c>
      <c r="G260" s="15">
        <v>0</v>
      </c>
      <c r="H260" s="15">
        <f>83400+120000+102200+30200+23978+40500+17950+88000+54217+18500+122000+6191</f>
        <v>707136</v>
      </c>
      <c r="I260" s="37">
        <f t="shared" si="22"/>
        <v>708279</v>
      </c>
      <c r="J260" s="15">
        <f t="shared" si="20"/>
        <v>0.43999999994412065</v>
      </c>
      <c r="K260" s="4"/>
      <c r="L260" s="4"/>
      <c r="T260" s="153">
        <v>42213</v>
      </c>
      <c r="U260" s="99" t="s">
        <v>411</v>
      </c>
      <c r="V260" s="154">
        <v>1000</v>
      </c>
    </row>
    <row r="261" spans="1:22" ht="15.75" x14ac:dyDescent="0.25">
      <c r="A261" s="9">
        <v>42203</v>
      </c>
      <c r="B261" s="10">
        <f>408503.22+961932.07</f>
        <v>1370435.29</v>
      </c>
      <c r="C261" s="10">
        <f>13277+65969.4</f>
        <v>79246.399999999994</v>
      </c>
      <c r="D261" s="11">
        <f t="shared" si="21"/>
        <v>1291188.8900000001</v>
      </c>
      <c r="E261" s="25" t="s">
        <v>9</v>
      </c>
      <c r="F261" s="15">
        <v>6570.4</v>
      </c>
      <c r="G261" s="15">
        <f>35889.3+13787.2+47549.68+55056.8+62642+104916.15+131242.61+15489</f>
        <v>466572.74</v>
      </c>
      <c r="H261" s="15">
        <f>140000+98300+131400+70000+100000+129000+78500+19181.2+20000+11866+19799</f>
        <v>818046.2</v>
      </c>
      <c r="I261" s="37">
        <f t="shared" si="22"/>
        <v>1291189.3399999999</v>
      </c>
      <c r="J261" s="15">
        <f t="shared" si="20"/>
        <v>0.44999999972060323</v>
      </c>
      <c r="K261" s="4"/>
      <c r="L261" s="4"/>
      <c r="T261" s="153">
        <v>42219</v>
      </c>
      <c r="U261" s="99" t="s">
        <v>410</v>
      </c>
      <c r="V261" s="154">
        <v>2000</v>
      </c>
    </row>
    <row r="262" spans="1:22" ht="15.75" x14ac:dyDescent="0.25">
      <c r="A262" s="9">
        <v>42204</v>
      </c>
      <c r="B262" s="10">
        <f>252934.36+165527.95</f>
        <v>418462.31</v>
      </c>
      <c r="C262" s="10">
        <f>11560</f>
        <v>11560</v>
      </c>
      <c r="D262" s="11">
        <f t="shared" si="21"/>
        <v>406902.31</v>
      </c>
      <c r="E262" s="25" t="s">
        <v>9</v>
      </c>
      <c r="F262" s="15">
        <v>0</v>
      </c>
      <c r="G262" s="15">
        <f>24242.85+17962</f>
        <v>42204.85</v>
      </c>
      <c r="H262" s="15">
        <f>177370+129900+57428</f>
        <v>364698</v>
      </c>
      <c r="I262" s="37">
        <f t="shared" si="22"/>
        <v>406902.85</v>
      </c>
      <c r="J262" s="15">
        <f t="shared" si="20"/>
        <v>0.53999999997904524</v>
      </c>
      <c r="K262" s="4"/>
      <c r="L262" s="4"/>
      <c r="T262" s="153"/>
      <c r="U262" s="99"/>
      <c r="V262" s="154"/>
    </row>
    <row r="263" spans="1:22" ht="15.75" x14ac:dyDescent="0.25">
      <c r="A263" s="9">
        <v>42205</v>
      </c>
      <c r="B263" s="10">
        <f>402076.15+478549.57</f>
        <v>880625.72</v>
      </c>
      <c r="C263" s="10">
        <f>9818.4+20338</f>
        <v>30156.400000000001</v>
      </c>
      <c r="D263" s="11">
        <f t="shared" si="21"/>
        <v>850469.32</v>
      </c>
      <c r="E263" s="25" t="s">
        <v>9</v>
      </c>
      <c r="F263" s="15">
        <v>0</v>
      </c>
      <c r="G263" s="15">
        <v>22168.400000000001</v>
      </c>
      <c r="H263" s="15">
        <f>20000+115000+170000+135000+107800+82270+190570+7661</f>
        <v>828301</v>
      </c>
      <c r="I263" s="37">
        <f t="shared" si="22"/>
        <v>850469.4</v>
      </c>
      <c r="J263" s="15">
        <f t="shared" si="20"/>
        <v>8.0000000074505806E-2</v>
      </c>
      <c r="K263" s="98" t="s">
        <v>429</v>
      </c>
      <c r="L263" s="4"/>
      <c r="T263" s="153"/>
      <c r="U263" s="99"/>
      <c r="V263" s="154"/>
    </row>
    <row r="264" spans="1:22" ht="15.75" x14ac:dyDescent="0.25">
      <c r="A264" s="9">
        <v>42206</v>
      </c>
      <c r="B264" s="10">
        <f>270106.02+2002558.34</f>
        <v>2272664.3600000003</v>
      </c>
      <c r="C264" s="10">
        <f>22837.69+199940.94</f>
        <v>222778.63</v>
      </c>
      <c r="D264" s="11">
        <f t="shared" si="21"/>
        <v>2049885.7300000004</v>
      </c>
      <c r="E264" s="25" t="s">
        <v>9</v>
      </c>
      <c r="F264" s="15">
        <v>0</v>
      </c>
      <c r="G264" s="15">
        <v>0</v>
      </c>
      <c r="H264" s="15">
        <f>66400+81250+120+6880+21494+14743.9+100100+40000+82217+100000+150000+49200+105000+50000+39000+100000+185000+115000+106000+60020+52500+15600+68500+22730+100500+112650+184981+20000</f>
        <v>2049885.9</v>
      </c>
      <c r="I264" s="37">
        <f t="shared" si="22"/>
        <v>2049885.9</v>
      </c>
      <c r="J264" s="15">
        <f t="shared" si="20"/>
        <v>0.16999999945983291</v>
      </c>
      <c r="K264" s="15"/>
      <c r="L264" s="4"/>
      <c r="T264" s="153"/>
      <c r="U264" s="99"/>
      <c r="V264" s="154"/>
    </row>
    <row r="265" spans="1:22" ht="15.75" x14ac:dyDescent="0.25">
      <c r="A265" s="9">
        <v>42207</v>
      </c>
      <c r="B265" s="10">
        <f>358076.1+678364.06</f>
        <v>1036440.16</v>
      </c>
      <c r="C265" s="10">
        <f>13756+1000+1000+167574.56</f>
        <v>183330.56</v>
      </c>
      <c r="D265" s="11">
        <f t="shared" si="21"/>
        <v>853109.60000000009</v>
      </c>
      <c r="E265" s="25" t="s">
        <v>9</v>
      </c>
      <c r="F265" s="15">
        <v>21725.1</v>
      </c>
      <c r="G265" s="15">
        <f>162088.7+31022.5+12471.52</f>
        <v>205582.72</v>
      </c>
      <c r="H265" s="15">
        <f>178000+126000+148650+4332+41000+100000+18000+3023+6797</f>
        <v>625802</v>
      </c>
      <c r="I265" s="37">
        <f t="shared" si="22"/>
        <v>853109.82</v>
      </c>
      <c r="J265" s="15">
        <f t="shared" si="20"/>
        <v>0.219999999855645</v>
      </c>
      <c r="K265" s="98" t="s">
        <v>428</v>
      </c>
      <c r="L265" s="60" t="s">
        <v>497</v>
      </c>
      <c r="M265" s="60"/>
      <c r="N265" s="60"/>
      <c r="O265" s="4"/>
      <c r="P265" s="4"/>
      <c r="T265" s="153"/>
      <c r="U265" s="99"/>
      <c r="V265" s="154"/>
    </row>
    <row r="266" spans="1:22" ht="15.75" x14ac:dyDescent="0.25">
      <c r="A266" s="9">
        <v>42208</v>
      </c>
      <c r="B266" s="10">
        <f>314217.98+1782284.49</f>
        <v>2096502.47</v>
      </c>
      <c r="C266" s="10">
        <f>3332.8+402+58470.3</f>
        <v>62205.100000000006</v>
      </c>
      <c r="D266" s="11">
        <f t="shared" si="21"/>
        <v>2034297.3699999999</v>
      </c>
      <c r="E266" s="25" t="s">
        <v>9</v>
      </c>
      <c r="F266" s="15">
        <v>96527.06</v>
      </c>
      <c r="G266" s="15">
        <f>27354.5+14953.2+22679.05</f>
        <v>64986.75</v>
      </c>
      <c r="H266" s="15">
        <f>33650+76300+93900+94000+110000+9692+132000+10945+5110.5+1206+25483.5+15000+4689.5+16380.5+8837+19593+22000+4701.5+11946.5+23309+15243+12000+7302+16815.5+16382.5+11900+8625+8351+11326.5+5948.5+6788.5+2351.5+18935+9000+7491.5+24927+2125+5688.5+37386.5+95000+85000+55000+100000+150000+30976+40000+32628+40000+70000+15000+80000+65000+33000+30713+3135.66</f>
        <v>1872784.16</v>
      </c>
      <c r="I266" s="37">
        <f t="shared" si="22"/>
        <v>2034297.97</v>
      </c>
      <c r="J266" s="15">
        <f t="shared" si="20"/>
        <v>0.60000000009313226</v>
      </c>
      <c r="K266" s="34" t="s">
        <v>398</v>
      </c>
      <c r="L266" s="4"/>
      <c r="T266" s="153"/>
      <c r="U266" s="99"/>
      <c r="V266" s="99"/>
    </row>
    <row r="267" spans="1:22" ht="15.75" x14ac:dyDescent="0.25">
      <c r="A267" s="9">
        <v>42209</v>
      </c>
      <c r="B267" s="10">
        <f>483036.56+2733824.63</f>
        <v>3216861.19</v>
      </c>
      <c r="C267" s="10">
        <f>43082.87+3500+1000</f>
        <v>47582.87</v>
      </c>
      <c r="D267" s="11">
        <f t="shared" si="21"/>
        <v>3169278.32</v>
      </c>
      <c r="E267" s="25" t="s">
        <v>9</v>
      </c>
      <c r="F267" s="15">
        <v>5984.4</v>
      </c>
      <c r="G267" s="15">
        <v>0</v>
      </c>
      <c r="H267" s="15">
        <f>38310+98000+118400+143000+140000+60000+9602+90961+109977+45000+50600+9402+75000+35000+27000+9256.5+57000+65000+8312+50000+103000+10551+22800+50000+70000+60000+7770.5+55000+50000+45000+16978+25000+55000+92000+16874+21585.5+60000+29760+67000+60000+25752+45000+10989+45550+48000+85000+34808+68000+40000+52000+24587+23000+51000+16433.5+20000+45000+16900+38000+43000+24782.5+2745.5+35000+7155+38544+16980+38500+17420+19050.5+40000+31957.8</f>
        <v>3163294.3</v>
      </c>
      <c r="I267" s="37">
        <f t="shared" si="22"/>
        <v>3169278.6999999997</v>
      </c>
      <c r="J267" s="15">
        <f t="shared" si="20"/>
        <v>0.37999999988824129</v>
      </c>
      <c r="K267" s="15"/>
      <c r="L267" s="60" t="s">
        <v>498</v>
      </c>
      <c r="M267" s="60"/>
      <c r="N267" s="60"/>
      <c r="O267" s="4"/>
      <c r="P267" s="4"/>
      <c r="T267" s="99"/>
      <c r="U267" s="99"/>
      <c r="V267" s="99"/>
    </row>
    <row r="268" spans="1:22" ht="15.75" x14ac:dyDescent="0.25">
      <c r="A268" s="9">
        <v>42210</v>
      </c>
      <c r="B268" s="79">
        <f>436494.99+1624844.95</f>
        <v>2061339.94</v>
      </c>
      <c r="C268" s="80">
        <f>34645.14+5000+209711.5</f>
        <v>249356.64</v>
      </c>
      <c r="D268" s="11">
        <f t="shared" si="21"/>
        <v>1811983.2999999998</v>
      </c>
      <c r="E268" s="25" t="s">
        <v>9</v>
      </c>
      <c r="F268" s="15">
        <v>19093</v>
      </c>
      <c r="G268" s="15">
        <f>25620.7+46180.89+96420.8+52648+59263.25+141972.93+53307.7</f>
        <v>475414.27</v>
      </c>
      <c r="H268" s="15">
        <f>171850+110000+59000+78300+81300+121190+10501+58980+36300+127400+126000+107080+19000+13233.9+59384.6+65050.1+56483.4+2944.5+14278.88</f>
        <v>1318276.3799999999</v>
      </c>
      <c r="I268" s="37">
        <f t="shared" si="22"/>
        <v>1812783.65</v>
      </c>
      <c r="J268" s="15">
        <f t="shared" si="20"/>
        <v>800.35000000009313</v>
      </c>
      <c r="K268" s="4"/>
      <c r="L268" s="60" t="s">
        <v>395</v>
      </c>
      <c r="M268" s="60"/>
      <c r="N268" s="60"/>
      <c r="O268" s="60"/>
      <c r="P268" s="60"/>
      <c r="T268" s="99"/>
      <c r="U268" s="99"/>
      <c r="V268" s="99"/>
    </row>
    <row r="269" spans="1:22" ht="15.75" x14ac:dyDescent="0.25">
      <c r="A269" s="9">
        <v>42211</v>
      </c>
      <c r="B269" s="10">
        <f>183813.61+1369630.23</f>
        <v>1553443.8399999999</v>
      </c>
      <c r="C269" s="10">
        <f>18348.44+304188.32</f>
        <v>322536.76</v>
      </c>
      <c r="D269" s="11">
        <f t="shared" si="21"/>
        <v>1230907.0799999998</v>
      </c>
      <c r="E269" s="25" t="s">
        <v>9</v>
      </c>
      <c r="F269" s="15">
        <v>1742.05</v>
      </c>
      <c r="G269" s="15">
        <f>9193.6+10584.92+19554.4+9388.4+21912.6</f>
        <v>70633.919999999998</v>
      </c>
      <c r="H269" s="15">
        <f>100000+112800+26427+43270.5+62941+66170+39161+26123.5+28596.5+34179+50626+58755+77685+54228+26166+35003+59148+59774+50020+35283+24922+33189+9252+20000+24812</f>
        <v>1158531.5</v>
      </c>
      <c r="I269" s="37">
        <f t="shared" si="22"/>
        <v>1230907.47</v>
      </c>
      <c r="J269" s="15">
        <f t="shared" si="20"/>
        <v>0.39000000013038516</v>
      </c>
      <c r="K269" s="98">
        <v>21912.6</v>
      </c>
      <c r="L269" s="4"/>
    </row>
    <row r="270" spans="1:22" ht="15.75" x14ac:dyDescent="0.25">
      <c r="A270" s="9">
        <v>42212</v>
      </c>
      <c r="B270" s="10">
        <f>316205.37+788136.69</f>
        <v>1104342.06</v>
      </c>
      <c r="C270" s="10">
        <f>16387.07+2000+383.4</f>
        <v>18770.47</v>
      </c>
      <c r="D270" s="11">
        <f t="shared" si="21"/>
        <v>1085571.5900000001</v>
      </c>
      <c r="E270" s="25" t="s">
        <v>9</v>
      </c>
      <c r="F270" s="15">
        <v>3828</v>
      </c>
      <c r="G270" s="15">
        <v>22792.7</v>
      </c>
      <c r="H270" s="15">
        <f>188800+193170+1127+142400+26000+28518.47+37695+15351+19717.8+35035+28790.2+43389.3+5934.6+77662.35+116935.75+97614</f>
        <v>1058140.47</v>
      </c>
      <c r="I270" s="37">
        <f t="shared" si="22"/>
        <v>1084761.17</v>
      </c>
      <c r="J270" s="15">
        <f t="shared" si="20"/>
        <v>-810.42000000015832</v>
      </c>
      <c r="K270" s="98">
        <v>22792.7</v>
      </c>
      <c r="L270" s="60" t="s">
        <v>412</v>
      </c>
      <c r="M270" s="60"/>
      <c r="P270" s="60"/>
      <c r="Q270" s="60"/>
      <c r="R270" s="60"/>
      <c r="S270" s="60"/>
    </row>
    <row r="271" spans="1:22" ht="15.75" x14ac:dyDescent="0.25">
      <c r="A271" s="9">
        <v>42213</v>
      </c>
      <c r="B271" s="10">
        <f>207759.36+645081.63</f>
        <v>852840.99</v>
      </c>
      <c r="C271" s="10">
        <f>7857+177+1000+102947.16</f>
        <v>111981.16</v>
      </c>
      <c r="D271" s="11">
        <f t="shared" si="21"/>
        <v>740859.83</v>
      </c>
      <c r="E271" s="25" t="s">
        <v>9</v>
      </c>
      <c r="F271" s="15">
        <v>460.15</v>
      </c>
      <c r="G271" s="15">
        <v>0</v>
      </c>
      <c r="H271" s="15">
        <f>135000+53500+95000+231000+1500+171000+53400</f>
        <v>740400</v>
      </c>
      <c r="I271" s="37">
        <f t="shared" si="22"/>
        <v>740860.15</v>
      </c>
      <c r="J271" s="15">
        <f t="shared" si="20"/>
        <v>0.32000000006519258</v>
      </c>
      <c r="K271" s="4"/>
      <c r="L271" s="60" t="s">
        <v>806</v>
      </c>
      <c r="M271" s="60"/>
      <c r="N271" s="60"/>
      <c r="O271" s="60"/>
      <c r="P271" s="60"/>
    </row>
    <row r="272" spans="1:22" ht="15.75" x14ac:dyDescent="0.25">
      <c r="A272" s="9">
        <v>42214</v>
      </c>
      <c r="B272" s="10">
        <f>431922.8+156021.24</f>
        <v>587944.04</v>
      </c>
      <c r="C272" s="10">
        <f>9711.33+81236.78</f>
        <v>90948.11</v>
      </c>
      <c r="D272" s="11">
        <f t="shared" si="21"/>
        <v>496995.93000000005</v>
      </c>
      <c r="E272" s="25" t="s">
        <v>9</v>
      </c>
      <c r="F272" s="15">
        <v>1089.1500000000001</v>
      </c>
      <c r="G272" s="15">
        <v>0</v>
      </c>
      <c r="H272" s="15">
        <f>30000+95870+124400+204050+41587</f>
        <v>495907</v>
      </c>
      <c r="I272" s="37">
        <f t="shared" si="22"/>
        <v>496996.15</v>
      </c>
      <c r="J272" s="15">
        <f t="shared" si="20"/>
        <v>0.21999999997206032</v>
      </c>
      <c r="K272" s="4"/>
      <c r="L272" s="4" t="s">
        <v>22</v>
      </c>
    </row>
    <row r="273" spans="1:16" ht="15.75" x14ac:dyDescent="0.25">
      <c r="A273" s="9">
        <v>42215</v>
      </c>
      <c r="B273" s="10">
        <f>319592.22+678490.49</f>
        <v>998082.71</v>
      </c>
      <c r="C273" s="10">
        <f>30451+1200+85974.4</f>
        <v>117625.4</v>
      </c>
      <c r="D273" s="11">
        <f t="shared" si="21"/>
        <v>880457.30999999994</v>
      </c>
      <c r="E273" s="25" t="s">
        <v>9</v>
      </c>
      <c r="F273" s="15">
        <v>12271.77</v>
      </c>
      <c r="G273" s="15">
        <f>22265.5+7000+5953.2+156004.44</f>
        <v>191223.14</v>
      </c>
      <c r="H273" s="15">
        <f>195900+200370+84100+32407.85+57520+37004.49+56151.27+13509</f>
        <v>676962.61</v>
      </c>
      <c r="I273" s="37">
        <f t="shared" si="22"/>
        <v>880457.52</v>
      </c>
      <c r="J273" s="15">
        <f t="shared" si="20"/>
        <v>0.21000000007916242</v>
      </c>
      <c r="K273" s="4"/>
      <c r="L273" s="4"/>
    </row>
    <row r="274" spans="1:16" ht="15.75" x14ac:dyDescent="0.25">
      <c r="A274" s="9">
        <v>42216</v>
      </c>
      <c r="B274" s="10">
        <f>354262.74+3741983.04</f>
        <v>4096245.7800000003</v>
      </c>
      <c r="C274" s="10">
        <f>7866+300+53575.56</f>
        <v>61741.56</v>
      </c>
      <c r="D274" s="11">
        <f t="shared" si="21"/>
        <v>4034504.22</v>
      </c>
      <c r="E274" s="25" t="s">
        <v>9</v>
      </c>
      <c r="F274" s="15">
        <v>5811.22</v>
      </c>
      <c r="G274" s="15">
        <v>5064.38</v>
      </c>
      <c r="H274" s="15">
        <f>224400+142200+33382+125493+150000+86762+58416+21400+129430+49290+112100+47750+8903+2697+8369+20678.5+6452.5+8180+10015.5+15826+41521.5+8342+3333.5+8447.5+462+16527.5+20925+7555+40845+7381.5+979.5+21418.5+1269.5+6778+30612+33553+53277.5+68721+38862+29623+27709+150000+50000+29169+54286+140000+50000+180000+75000+31530+54000+44705+5500+37971+125000+65000+45000+90000+100000+700+862+33404+105000+125000+116000+95000+77000+32542+117000+25000+100000+45000+56553+26121.67+18318.4</f>
        <v>4030550.07</v>
      </c>
      <c r="I274" s="37">
        <f t="shared" si="22"/>
        <v>4041425.67</v>
      </c>
      <c r="J274" s="15">
        <f t="shared" si="20"/>
        <v>6921.4499999997206</v>
      </c>
      <c r="K274" s="4"/>
      <c r="L274" s="60" t="s">
        <v>499</v>
      </c>
      <c r="M274" s="60"/>
      <c r="O274" s="60"/>
      <c r="P274" s="60"/>
    </row>
    <row r="275" spans="1:16" ht="15.75" x14ac:dyDescent="0.25">
      <c r="A275" s="9"/>
      <c r="B275" s="10"/>
      <c r="C275" s="10"/>
      <c r="D275" s="11">
        <f t="shared" si="21"/>
        <v>0</v>
      </c>
      <c r="E275" s="4"/>
      <c r="F275" s="4"/>
      <c r="G275" s="15"/>
      <c r="H275" s="15"/>
      <c r="I275" s="4"/>
      <c r="J275" s="15">
        <f t="shared" si="20"/>
        <v>0</v>
      </c>
      <c r="K275" s="4"/>
    </row>
    <row r="276" spans="1:16" ht="15.75" x14ac:dyDescent="0.25">
      <c r="A276" s="14"/>
      <c r="B276" s="10"/>
      <c r="C276" s="10"/>
      <c r="D276" s="11">
        <f t="shared" si="21"/>
        <v>0</v>
      </c>
      <c r="E276" s="4"/>
      <c r="F276" s="4"/>
      <c r="G276" s="15"/>
      <c r="H276" s="15"/>
      <c r="I276" s="4"/>
      <c r="J276" s="15">
        <f t="shared" si="20"/>
        <v>0</v>
      </c>
      <c r="K276" s="4"/>
    </row>
    <row r="277" spans="1:16" ht="18.75" x14ac:dyDescent="0.3">
      <c r="A277" s="14"/>
      <c r="B277" s="13"/>
      <c r="C277" s="10"/>
      <c r="D277" s="11">
        <f t="shared" si="21"/>
        <v>0</v>
      </c>
      <c r="E277" s="244" t="s">
        <v>9</v>
      </c>
      <c r="F277" s="4"/>
      <c r="G277" s="15"/>
      <c r="H277" s="15"/>
      <c r="I277" s="4"/>
      <c r="J277" s="15">
        <f t="shared" si="20"/>
        <v>0</v>
      </c>
      <c r="K277" s="4"/>
    </row>
    <row r="278" spans="1:16" ht="15.75" x14ac:dyDescent="0.25">
      <c r="A278" s="14"/>
      <c r="B278" s="10"/>
      <c r="C278" s="10"/>
      <c r="D278" s="11">
        <f t="shared" si="21"/>
        <v>0</v>
      </c>
      <c r="E278" s="4"/>
      <c r="F278" s="4"/>
      <c r="G278" s="15"/>
      <c r="H278" s="15"/>
      <c r="I278" s="4"/>
      <c r="J278" s="15">
        <f t="shared" si="20"/>
        <v>0</v>
      </c>
      <c r="K278" s="4"/>
    </row>
    <row r="279" spans="1:16" ht="15.75" x14ac:dyDescent="0.25">
      <c r="A279" s="14"/>
      <c r="B279" s="10">
        <f>SUM(B244:B278)</f>
        <v>54638899.839999996</v>
      </c>
      <c r="C279" s="10">
        <f>SUM(C244:C278)</f>
        <v>3945008.1000000006</v>
      </c>
      <c r="D279" s="11">
        <f t="shared" si="21"/>
        <v>50693891.739999995</v>
      </c>
      <c r="E279" s="4"/>
      <c r="F279" s="15"/>
      <c r="G279" s="15"/>
      <c r="H279" s="15" t="s">
        <v>22</v>
      </c>
      <c r="I279" s="4"/>
      <c r="J279" s="15" t="e">
        <f t="shared" si="20"/>
        <v>#VALUE!</v>
      </c>
      <c r="K279" s="4"/>
    </row>
    <row r="280" spans="1:16" x14ac:dyDescent="0.25">
      <c r="K280" s="4"/>
    </row>
    <row r="281" spans="1:16" ht="18.75" x14ac:dyDescent="0.3">
      <c r="A281" s="1"/>
      <c r="B281" s="57" t="s">
        <v>263</v>
      </c>
      <c r="C281" s="57"/>
      <c r="D281" s="2"/>
      <c r="E281" s="3"/>
      <c r="F281" s="4"/>
      <c r="G281" s="15"/>
      <c r="H281" s="4"/>
      <c r="I281" s="4"/>
      <c r="J281" s="4"/>
      <c r="K281" s="4"/>
    </row>
    <row r="282" spans="1:16" ht="15.75" x14ac:dyDescent="0.25">
      <c r="A282" s="5"/>
      <c r="B282" s="6"/>
      <c r="C282" s="23" t="s">
        <v>6</v>
      </c>
      <c r="D282" s="7"/>
      <c r="E282" s="3"/>
      <c r="F282" s="4"/>
      <c r="G282" s="15"/>
      <c r="H282" s="4"/>
      <c r="I282" s="4"/>
      <c r="J282" s="4"/>
      <c r="K282" s="4"/>
    </row>
    <row r="283" spans="1:16" ht="16.5" thickBot="1" x14ac:dyDescent="0.3">
      <c r="A283" s="19" t="s">
        <v>0</v>
      </c>
      <c r="B283" s="20" t="s">
        <v>1</v>
      </c>
      <c r="C283" s="21" t="s">
        <v>2</v>
      </c>
      <c r="D283" s="22" t="s">
        <v>4</v>
      </c>
      <c r="E283" s="3"/>
      <c r="F283" s="38" t="s">
        <v>19</v>
      </c>
      <c r="G283" s="32" t="s">
        <v>10</v>
      </c>
      <c r="H283" s="27" t="s">
        <v>8</v>
      </c>
      <c r="I283" s="50"/>
      <c r="J283" s="33" t="s">
        <v>11</v>
      </c>
      <c r="K283" s="34" t="s">
        <v>13</v>
      </c>
    </row>
    <row r="284" spans="1:16" ht="16.5" thickTop="1" x14ac:dyDescent="0.25">
      <c r="A284" s="9">
        <v>42217</v>
      </c>
      <c r="B284" s="10">
        <f>411402.86+1058127.5</f>
        <v>1469530.3599999999</v>
      </c>
      <c r="C284" s="10">
        <f>16742.1</f>
        <v>16742.099999999999</v>
      </c>
      <c r="D284" s="11">
        <f>B284-C284</f>
        <v>1452788.2599999998</v>
      </c>
      <c r="E284" s="25" t="s">
        <v>9</v>
      </c>
      <c r="F284" s="15">
        <v>0</v>
      </c>
      <c r="G284" s="15">
        <f>8658+19987.6+4128.9+9076.18+10208.4+168591.6</f>
        <v>220650.68</v>
      </c>
      <c r="H284" s="15">
        <f>188900+143000+180000+53050+254000+10922+89867.8+165996+41000+8096.4+5401.4+67946.58+17056</f>
        <v>1225236.18</v>
      </c>
      <c r="I284" s="37">
        <f>H284+G284+F284</f>
        <v>1445886.8599999999</v>
      </c>
      <c r="J284" s="15">
        <f t="shared" ref="J284:J318" si="23">H284+G284+F284-D284</f>
        <v>-6901.3999999999069</v>
      </c>
      <c r="K284" s="4"/>
      <c r="L284" s="60" t="s">
        <v>453</v>
      </c>
      <c r="M284" s="60"/>
      <c r="N284" s="60"/>
      <c r="O284" s="60"/>
    </row>
    <row r="285" spans="1:16" ht="15.75" x14ac:dyDescent="0.25">
      <c r="A285" s="9">
        <v>42218</v>
      </c>
      <c r="B285" s="10">
        <f>178827.6+549350.03</f>
        <v>728177.63</v>
      </c>
      <c r="C285" s="10">
        <f>6620+183569</f>
        <v>190189</v>
      </c>
      <c r="D285" s="11">
        <f t="shared" ref="D285:D318" si="24">B285-C285</f>
        <v>537988.63</v>
      </c>
      <c r="E285" s="25" t="s">
        <v>9</v>
      </c>
      <c r="F285" s="31">
        <v>98.1</v>
      </c>
      <c r="G285" s="31">
        <f>50013.65+98701.2+93590.5+71177.3</f>
        <v>313482.65000000002</v>
      </c>
      <c r="H285" s="15">
        <f>77950+111500+26227.98+8730</f>
        <v>224407.98</v>
      </c>
      <c r="I285" s="37">
        <f t="shared" ref="I285:I313" si="25">H285+G285+F285</f>
        <v>537988.73</v>
      </c>
      <c r="J285" s="15">
        <f t="shared" si="23"/>
        <v>9.9999999976716936E-2</v>
      </c>
      <c r="K285" s="4"/>
      <c r="M285" s="60" t="s">
        <v>430</v>
      </c>
      <c r="N285" s="60"/>
      <c r="O285" s="60"/>
      <c r="P285" s="60"/>
    </row>
    <row r="286" spans="1:16" ht="15.75" x14ac:dyDescent="0.25">
      <c r="A286" s="9">
        <v>42219</v>
      </c>
      <c r="B286" s="10">
        <f>159194.83+3500224.43</f>
        <v>3659419.2600000002</v>
      </c>
      <c r="C286" s="10">
        <f>12735.54+2092+2000+178781.55</f>
        <v>195609.09</v>
      </c>
      <c r="D286" s="11">
        <f t="shared" si="24"/>
        <v>3463810.1700000004</v>
      </c>
      <c r="E286" s="25" t="s">
        <v>9</v>
      </c>
      <c r="F286" s="15">
        <v>248307.13</v>
      </c>
      <c r="G286" s="15">
        <v>0</v>
      </c>
      <c r="H286" s="15">
        <f>169050+120000+44971.5+64500+500+75000+11987.5+68000+9123+68000+70000+50000+33000+35462.4+40000+70000+55000+37510+34000+36279.5+80000+60000+31443.5+52500+45000+155000+79000+36377.5+24518.56+13330.64+83624+69580+30330+55000+110000+125000+20000+132000+145000+60000+46372+15279.16+4150.8+75000+105000+42462.5+84000+5536.44+3244.5+22494.74+704+4450+95000+62000+41826+42000+42775.7+23120</f>
        <v>3215503.94</v>
      </c>
      <c r="I286" s="37">
        <f t="shared" si="25"/>
        <v>3463811.07</v>
      </c>
      <c r="J286" s="15">
        <f t="shared" si="23"/>
        <v>0.89999999944120646</v>
      </c>
      <c r="K286" s="43"/>
      <c r="L286" s="60" t="s">
        <v>805</v>
      </c>
      <c r="M286" s="60"/>
    </row>
    <row r="287" spans="1:16" ht="15.75" x14ac:dyDescent="0.25">
      <c r="A287" s="9">
        <v>42220</v>
      </c>
      <c r="B287" s="10">
        <f>157547.1+711652.7</f>
        <v>869199.79999999993</v>
      </c>
      <c r="C287" s="10">
        <f>86860.1+57998.56</f>
        <v>144858.66</v>
      </c>
      <c r="D287" s="11">
        <f t="shared" si="24"/>
        <v>724341.1399999999</v>
      </c>
      <c r="E287" s="25" t="s">
        <v>9</v>
      </c>
      <c r="F287" s="15">
        <v>6036.07</v>
      </c>
      <c r="G287" s="15">
        <f>9161.2</f>
        <v>9161.2000000000007</v>
      </c>
      <c r="H287" s="15">
        <f>60000+208870+195000+11267+49101.27+65268+66153.6+43900.48+9600</f>
        <v>709160.35</v>
      </c>
      <c r="I287" s="37">
        <f t="shared" si="25"/>
        <v>724357.61999999988</v>
      </c>
      <c r="J287" s="15">
        <f t="shared" si="23"/>
        <v>16.479999999981374</v>
      </c>
      <c r="K287" s="4"/>
      <c r="L287" s="60" t="s">
        <v>432</v>
      </c>
      <c r="M287" s="60" t="s">
        <v>431</v>
      </c>
      <c r="N287" s="60"/>
    </row>
    <row r="288" spans="1:16" ht="15.75" x14ac:dyDescent="0.25">
      <c r="A288" s="9">
        <v>42221</v>
      </c>
      <c r="B288" s="10">
        <f>395186.18+2898189.88</f>
        <v>3293376.06</v>
      </c>
      <c r="C288" s="10">
        <v>83239.399999999994</v>
      </c>
      <c r="D288" s="11">
        <f t="shared" si="24"/>
        <v>3210136.66</v>
      </c>
      <c r="E288" s="25" t="s">
        <v>9</v>
      </c>
      <c r="F288" s="15">
        <v>77.400000000000006</v>
      </c>
      <c r="G288" s="15">
        <f>20783.92+6634.4+198013.43</f>
        <v>225431.75</v>
      </c>
      <c r="H288" s="15">
        <f>43450+92270+114160+149200+23000+90000+59931.3+82503.9+107393.15+68426.3+34640+66500+75000+2675+100000+65000+35725+27000+320+30102.5+23500+30606.5+73759+45270.5+40000+95000+100000+31000+3787.2+7263.8+20883.48+55000+90000+80000+24000+113000+35120+8980+740+40000+140000+38642.5+113000+12380.82+1754.8+85000+50000+64500+40532+63548.5+70000+32744.5+45252.6+42065</f>
        <v>2984628.3499999996</v>
      </c>
      <c r="I288" s="37">
        <f t="shared" si="25"/>
        <v>3210137.4999999995</v>
      </c>
      <c r="J288" s="15">
        <f t="shared" si="23"/>
        <v>0.8399999993853271</v>
      </c>
      <c r="K288" s="4"/>
      <c r="L288" s="4"/>
    </row>
    <row r="289" spans="1:25" ht="15.75" x14ac:dyDescent="0.25">
      <c r="A289" s="9">
        <v>42222</v>
      </c>
      <c r="B289" s="10">
        <f>368797.89+558880.79</f>
        <v>927678.68</v>
      </c>
      <c r="C289" s="10">
        <f>13135.8+15+126095.9</f>
        <v>139246.69999999998</v>
      </c>
      <c r="D289" s="11">
        <f t="shared" si="24"/>
        <v>788431.9800000001</v>
      </c>
      <c r="E289" s="42"/>
      <c r="F289" s="15">
        <v>3630.9</v>
      </c>
      <c r="G289" s="15">
        <v>0</v>
      </c>
      <c r="H289" s="15">
        <f>43920+107000+150000+143650+5287+266+65916+19500+27627.04+14905.12+9813.12+11970+33706.3+10424.4+59423.65+41508.27+14311.2+13695</f>
        <v>772923.10000000009</v>
      </c>
      <c r="I289" s="37">
        <f t="shared" si="25"/>
        <v>776554.00000000012</v>
      </c>
      <c r="J289" s="15">
        <f t="shared" si="23"/>
        <v>-11877.979999999981</v>
      </c>
      <c r="K289" s="4"/>
      <c r="L289" s="39" t="s">
        <v>435</v>
      </c>
    </row>
    <row r="290" spans="1:25" ht="15.75" x14ac:dyDescent="0.25">
      <c r="A290" s="9">
        <v>42223</v>
      </c>
      <c r="B290" s="10">
        <f>441610.95+251144.15</f>
        <v>692755.1</v>
      </c>
      <c r="C290" s="10">
        <f>5016.6+15189.64</f>
        <v>20206.239999999998</v>
      </c>
      <c r="D290" s="11">
        <f t="shared" si="24"/>
        <v>672548.86</v>
      </c>
      <c r="E290" s="25" t="s">
        <v>9</v>
      </c>
      <c r="F290" s="15">
        <v>7325.2</v>
      </c>
      <c r="G290" s="15">
        <f>6621.6+3008+9473.4</f>
        <v>19103</v>
      </c>
      <c r="H290" s="15">
        <f>104000+89200+81900+129400+146000+10935+67400+11871.2+5414.6</f>
        <v>646120.79999999993</v>
      </c>
      <c r="I290" s="37">
        <f t="shared" si="25"/>
        <v>672548.99999999988</v>
      </c>
      <c r="J290" s="15">
        <f t="shared" si="23"/>
        <v>0.13999999989755452</v>
      </c>
      <c r="K290" s="4"/>
    </row>
    <row r="291" spans="1:25" ht="15.75" x14ac:dyDescent="0.25">
      <c r="A291" s="9">
        <v>42224</v>
      </c>
      <c r="B291" s="10">
        <f>408570+953944.92</f>
        <v>1362514.92</v>
      </c>
      <c r="C291" s="10">
        <f>16022.14+313867.56</f>
        <v>329889.7</v>
      </c>
      <c r="D291" s="11">
        <f t="shared" si="24"/>
        <v>1032625.22</v>
      </c>
      <c r="E291" s="25" t="s">
        <v>9</v>
      </c>
      <c r="F291" s="15">
        <v>3707.5</v>
      </c>
      <c r="G291" s="15">
        <f>17472.4+106617.85+50694.5+50229+148319.16+40972.4</f>
        <v>414305.31000000006</v>
      </c>
      <c r="H291" s="15">
        <f>115200+139750+130000+185470+31761.52+12431</f>
        <v>614612.52</v>
      </c>
      <c r="I291" s="37">
        <f t="shared" si="25"/>
        <v>1032625.3300000001</v>
      </c>
      <c r="J291" s="15">
        <f t="shared" si="23"/>
        <v>0.11000000010244548</v>
      </c>
      <c r="K291" s="185">
        <v>17472.400000000001</v>
      </c>
      <c r="L291" t="s">
        <v>500</v>
      </c>
    </row>
    <row r="292" spans="1:25" ht="15.75" x14ac:dyDescent="0.25">
      <c r="A292" s="9">
        <v>42225</v>
      </c>
      <c r="B292" s="10">
        <f>176261.95+573681.56</f>
        <v>749943.51</v>
      </c>
      <c r="C292" s="10">
        <f>12199+3424.4</f>
        <v>15623.4</v>
      </c>
      <c r="D292" s="11">
        <f t="shared" si="24"/>
        <v>734320.11</v>
      </c>
      <c r="E292" s="25" t="s">
        <v>9</v>
      </c>
      <c r="F292" s="15">
        <v>2127.3000000000002</v>
      </c>
      <c r="G292" s="15">
        <f>8510.8+19492.9+9189.6+10275.6</f>
        <v>47468.9</v>
      </c>
      <c r="H292" s="15">
        <f>184811+246900+8399+8705+7617.6+11883+31626+174720.2+10062</f>
        <v>684723.8</v>
      </c>
      <c r="I292" s="37">
        <f t="shared" si="25"/>
        <v>734320.00000000012</v>
      </c>
      <c r="J292" s="15">
        <f t="shared" si="23"/>
        <v>-0.10999999986961484</v>
      </c>
      <c r="K292" s="4"/>
      <c r="V292" s="282" t="s">
        <v>448</v>
      </c>
      <c r="W292" s="283"/>
      <c r="X292" s="284"/>
    </row>
    <row r="293" spans="1:25" ht="15.75" x14ac:dyDescent="0.25">
      <c r="A293" s="9">
        <v>42226</v>
      </c>
      <c r="B293" s="10">
        <f>257857.86+183935.98</f>
        <v>441793.83999999997</v>
      </c>
      <c r="C293" s="10">
        <f>4703+479+145645.21</f>
        <v>150827.21</v>
      </c>
      <c r="D293" s="11">
        <f t="shared" si="24"/>
        <v>290966.63</v>
      </c>
      <c r="E293" s="25" t="s">
        <v>9</v>
      </c>
      <c r="F293" s="15">
        <v>42561.53</v>
      </c>
      <c r="G293" s="15">
        <v>0</v>
      </c>
      <c r="H293" s="15">
        <f>78000+114300+15971.6+25511.6+14372</f>
        <v>248155.2</v>
      </c>
      <c r="I293" s="37">
        <f t="shared" si="25"/>
        <v>290716.73</v>
      </c>
      <c r="J293" s="15">
        <f t="shared" si="23"/>
        <v>-249.90000000002328</v>
      </c>
      <c r="K293" s="4"/>
      <c r="L293" s="60" t="s">
        <v>501</v>
      </c>
      <c r="M293" s="60"/>
      <c r="N293" s="60"/>
      <c r="V293" s="166" t="s">
        <v>0</v>
      </c>
      <c r="W293" s="154" t="s">
        <v>449</v>
      </c>
      <c r="X293" s="116" t="s">
        <v>450</v>
      </c>
    </row>
    <row r="294" spans="1:25" ht="15.75" x14ac:dyDescent="0.25">
      <c r="A294" s="9">
        <v>42227</v>
      </c>
      <c r="B294" s="10">
        <f>320804.87+373034.35</f>
        <v>693839.22</v>
      </c>
      <c r="C294" s="10">
        <f>9542.57+6397.2</f>
        <v>15939.77</v>
      </c>
      <c r="D294" s="11">
        <f t="shared" si="24"/>
        <v>677899.45</v>
      </c>
      <c r="E294" s="25" t="s">
        <v>9</v>
      </c>
      <c r="F294" s="15">
        <v>19846.599999999999</v>
      </c>
      <c r="G294" s="15">
        <v>2298</v>
      </c>
      <c r="H294" s="15">
        <f>90000+137700+122000+136240+1640+19953.6+39616.45+108604.4</f>
        <v>655754.44999999995</v>
      </c>
      <c r="I294" s="37">
        <f t="shared" si="25"/>
        <v>677899.04999999993</v>
      </c>
      <c r="J294" s="15">
        <f t="shared" si="23"/>
        <v>-0.40000000002328306</v>
      </c>
      <c r="K294" s="4"/>
      <c r="M294" s="60" t="s">
        <v>445</v>
      </c>
      <c r="N294" s="60"/>
      <c r="V294" s="166"/>
      <c r="W294" s="154"/>
      <c r="X294" s="116"/>
    </row>
    <row r="295" spans="1:25" ht="15.75" x14ac:dyDescent="0.25">
      <c r="A295" s="9">
        <v>42228</v>
      </c>
      <c r="B295" s="10">
        <f>248124.54+5346723.87</f>
        <v>5594848.4100000001</v>
      </c>
      <c r="C295" s="10">
        <f>6962.71+75135.48</f>
        <v>82098.19</v>
      </c>
      <c r="D295" s="11">
        <f t="shared" si="24"/>
        <v>5512750.2199999997</v>
      </c>
      <c r="E295" s="25" t="s">
        <v>9</v>
      </c>
      <c r="F295" s="15">
        <v>887459.95</v>
      </c>
      <c r="G295" s="15">
        <f>168663.7+9460.6</f>
        <v>178124.30000000002</v>
      </c>
      <c r="H295" s="15">
        <f>22800+135000+99000+46250+201613.5+136128+38358+22322+33550+60874.5+60894+36280+29560.5+26484+39545+6923+30077+53362.5+14937.5+47286.51+6241.01+9972.51+7730+8287.5+9053+50329.5+6421.5+33928.5+25032.5+8967.5+26334+6828+1688+6834+10495.5+14070.5+8850+46312.5+6278+19579.5+10170+58270+11473+6000+8707+7934+7994+37472+9104+5216.5+18131.5+20348+22315.5+7374+10580.5+90000+29386+65000+85000+34000+15218.5+10000+43968+62470.5+80000+100000+31007.5+61000+55000+80000+80000+37259+71760+50000+95000+40450+663.9+2830.52+9029.26+36419.5+60000+130000+59000+30340.5+185000+80000+70000+108000+670+135000+80000+43104+65000+7725.57+32437.5+105000+40000+34556+220300</f>
        <v>4447165.7799999993</v>
      </c>
      <c r="I295" s="37">
        <f t="shared" si="25"/>
        <v>5512750.0299999993</v>
      </c>
      <c r="J295" s="15">
        <f t="shared" si="23"/>
        <v>-0.19000000040978193</v>
      </c>
      <c r="K295" s="4"/>
      <c r="L295" s="60" t="s">
        <v>502</v>
      </c>
      <c r="M295" s="60"/>
      <c r="N295" s="60"/>
      <c r="O295" s="60"/>
      <c r="P295" s="60"/>
      <c r="Q295" s="60"/>
      <c r="R295" s="60"/>
      <c r="S295" s="60"/>
      <c r="T295" s="60"/>
      <c r="V295" s="166">
        <v>42231</v>
      </c>
      <c r="W295" s="154">
        <v>200000</v>
      </c>
      <c r="X295" s="116" t="s">
        <v>160</v>
      </c>
    </row>
    <row r="296" spans="1:25" ht="15.75" x14ac:dyDescent="0.25">
      <c r="A296" s="9">
        <v>42229</v>
      </c>
      <c r="B296" s="10">
        <f>352727.5+237647.68</f>
        <v>590375.17999999993</v>
      </c>
      <c r="C296" s="10">
        <f>17532.82+427+139891.71</f>
        <v>157851.53</v>
      </c>
      <c r="D296" s="11">
        <f t="shared" si="24"/>
        <v>432523.64999999991</v>
      </c>
      <c r="E296" s="25" t="s">
        <v>9</v>
      </c>
      <c r="F296" s="15">
        <v>1856.5</v>
      </c>
      <c r="G296" s="15">
        <v>7965.5</v>
      </c>
      <c r="H296" s="15">
        <f>53000+80000+106000+180000+3702</f>
        <v>422702</v>
      </c>
      <c r="I296" s="37">
        <f t="shared" si="25"/>
        <v>432524</v>
      </c>
      <c r="J296" s="15">
        <f t="shared" si="23"/>
        <v>0.35000000009313226</v>
      </c>
      <c r="K296" s="4"/>
      <c r="L296" s="4"/>
      <c r="V296" s="166"/>
      <c r="W296" s="154"/>
      <c r="X296" s="116"/>
    </row>
    <row r="297" spans="1:25" ht="15.75" x14ac:dyDescent="0.25">
      <c r="A297" s="9">
        <v>42230</v>
      </c>
      <c r="B297" s="10">
        <f>496664.9+6617045.39</f>
        <v>7113710.29</v>
      </c>
      <c r="C297" s="10">
        <f>17033.34+250+232809.87</f>
        <v>250093.21</v>
      </c>
      <c r="D297" s="11">
        <f t="shared" si="24"/>
        <v>6863617.0800000001</v>
      </c>
      <c r="E297" s="25" t="s">
        <v>9</v>
      </c>
      <c r="F297" s="15">
        <v>0</v>
      </c>
      <c r="G297" s="15">
        <f>27982.46+43308.4+52926.8+8488.7+60723.2+31263</f>
        <v>224692.56</v>
      </c>
      <c r="H297" s="15">
        <f>118000+92200+80000+101200+44402.3+4910.6+40000+40000+48358+82500+108091+32768+80000+50000+50000+19223+43000+7009.5+33930+25000+35000+60000+70000+25000+20620+35000+40000+16926+35000+30259+23090+62400+24644.5+25000+65000+65000+165558+35740.5+30000+36595+53000+32000+30000+20771+65000+70000+40000+31985+65000+38500+29298+37500+25553+50894.2+86500+39300+153500+40000+155662.36+45000+80000+111100+200000+40203.9+24100+70000+60000+163250+100000+50000+82800+50199.93+38431.2+65400+32717.56+56054+266500+29900+153140+18190+302000+34728+101457.5+188600+80400+40000+62456.94+30000+30000+31986.05+221400+80900+97000+29870+194500+144540+15248+137640+199+13128</f>
        <v>6638929.04</v>
      </c>
      <c r="I297" s="37">
        <f t="shared" si="25"/>
        <v>6863621.5999999996</v>
      </c>
      <c r="J297" s="15">
        <f t="shared" si="23"/>
        <v>4.5199999995529652</v>
      </c>
      <c r="K297" s="4"/>
      <c r="L297" s="60" t="s">
        <v>620</v>
      </c>
      <c r="M297" s="60"/>
      <c r="N297" s="60"/>
      <c r="O297" s="60"/>
      <c r="P297" s="4"/>
      <c r="Q297" s="4"/>
      <c r="R297" s="4"/>
      <c r="S297" s="4"/>
      <c r="T297" s="4"/>
      <c r="U297" s="4"/>
      <c r="V297" s="186"/>
      <c r="W297" s="187"/>
      <c r="X297" s="188"/>
      <c r="Y297" s="4"/>
    </row>
    <row r="298" spans="1:25" ht="15.75" x14ac:dyDescent="0.25">
      <c r="A298" s="9">
        <v>42231</v>
      </c>
      <c r="B298" s="10">
        <f>611151.21+1387052.16</f>
        <v>1998203.3699999999</v>
      </c>
      <c r="C298" s="10">
        <f>216327.03+157440.52</f>
        <v>373767.55</v>
      </c>
      <c r="D298" s="11">
        <f t="shared" si="24"/>
        <v>1624435.8199999998</v>
      </c>
      <c r="E298" s="25" t="s">
        <v>9</v>
      </c>
      <c r="F298" s="15">
        <v>9373.7000000000007</v>
      </c>
      <c r="G298" s="15">
        <f>8432.7+306000+296000+210000+10405.7+9581.8+8922+19858+18198.6+136683.84</f>
        <v>1024082.6399999999</v>
      </c>
      <c r="H298" s="15">
        <f>140000+100000+80000+87600+18861+35039.2+15000+28600+85780+100</f>
        <v>590980.19999999995</v>
      </c>
      <c r="I298" s="37">
        <f t="shared" si="25"/>
        <v>1624436.5399999998</v>
      </c>
      <c r="J298" s="15">
        <f t="shared" si="23"/>
        <v>0.71999999997206032</v>
      </c>
      <c r="K298" s="4"/>
      <c r="V298" s="166"/>
      <c r="W298" s="154"/>
      <c r="X298" s="116"/>
    </row>
    <row r="299" spans="1:25" ht="15.75" x14ac:dyDescent="0.25">
      <c r="A299" s="9">
        <v>42232</v>
      </c>
      <c r="B299" s="10">
        <f>261911.46+301915.7</f>
        <v>563827.16</v>
      </c>
      <c r="C299" s="10">
        <f>17654+10920</f>
        <v>28574</v>
      </c>
      <c r="D299" s="11">
        <f t="shared" si="24"/>
        <v>535253.16</v>
      </c>
      <c r="E299" s="25" t="s">
        <v>9</v>
      </c>
      <c r="F299" s="15">
        <v>597.20000000000005</v>
      </c>
      <c r="G299" s="15">
        <f>4357.1+15420.9</f>
        <v>19778</v>
      </c>
      <c r="H299" s="15">
        <f>86000+234900+103950+77300+12728</f>
        <v>514878</v>
      </c>
      <c r="I299" s="37">
        <f t="shared" si="25"/>
        <v>535253.19999999995</v>
      </c>
      <c r="J299" s="15">
        <f t="shared" si="23"/>
        <v>3.9999999920837581E-2</v>
      </c>
      <c r="K299" s="4"/>
      <c r="V299" s="166"/>
      <c r="W299" s="154"/>
      <c r="X299" s="116"/>
    </row>
    <row r="300" spans="1:25" ht="15.75" x14ac:dyDescent="0.25">
      <c r="A300" s="9">
        <v>42233</v>
      </c>
      <c r="B300" s="10">
        <f>419002.46+219729.74</f>
        <v>638732.19999999995</v>
      </c>
      <c r="C300" s="10">
        <f>39937.49+191385.28</f>
        <v>231322.77</v>
      </c>
      <c r="D300" s="11">
        <f t="shared" si="24"/>
        <v>407409.42999999993</v>
      </c>
      <c r="E300" s="25" t="s">
        <v>9</v>
      </c>
      <c r="F300" s="15">
        <v>359.5</v>
      </c>
      <c r="G300" s="15">
        <v>23441.200000000001</v>
      </c>
      <c r="H300" s="15">
        <f>91200+46200+67800+134100+44309</f>
        <v>383609</v>
      </c>
      <c r="I300" s="37">
        <f t="shared" si="25"/>
        <v>407409.7</v>
      </c>
      <c r="J300" s="15">
        <f t="shared" si="23"/>
        <v>0.27000000007683411</v>
      </c>
      <c r="K300" s="4"/>
      <c r="V300" s="166"/>
      <c r="W300" s="154"/>
      <c r="X300" s="116"/>
    </row>
    <row r="301" spans="1:25" ht="15.75" x14ac:dyDescent="0.25">
      <c r="A301" s="9">
        <v>42234</v>
      </c>
      <c r="B301" s="10">
        <f>240648.74+675909.2</f>
        <v>916557.94</v>
      </c>
      <c r="C301" s="10">
        <f>9543.1+116321.72</f>
        <v>125864.82</v>
      </c>
      <c r="D301" s="11">
        <f t="shared" si="24"/>
        <v>790693.11999999988</v>
      </c>
      <c r="E301" s="25" t="s">
        <v>9</v>
      </c>
      <c r="F301" s="15">
        <v>823.8</v>
      </c>
      <c r="G301" s="15">
        <v>8424.5</v>
      </c>
      <c r="H301" s="15">
        <f>162000+100000+158200+314+20700+40000+23777.8+87705.6+108743.8+77502.9</f>
        <v>778944.10000000009</v>
      </c>
      <c r="I301" s="37">
        <f t="shared" si="25"/>
        <v>788192.40000000014</v>
      </c>
      <c r="J301" s="15">
        <f t="shared" si="23"/>
        <v>-2500.7199999997392</v>
      </c>
      <c r="K301" s="4"/>
      <c r="L301" s="60" t="s">
        <v>457</v>
      </c>
      <c r="M301" s="60"/>
      <c r="N301" s="60"/>
      <c r="O301" s="60"/>
      <c r="P301" s="60"/>
      <c r="V301" s="166"/>
      <c r="W301" s="154"/>
      <c r="X301" s="116"/>
    </row>
    <row r="302" spans="1:25" ht="15.75" x14ac:dyDescent="0.25">
      <c r="A302" s="9">
        <v>42235</v>
      </c>
      <c r="B302" s="10">
        <f>331091.76+1275610.42</f>
        <v>1606702.18</v>
      </c>
      <c r="C302" s="10">
        <f>44813.05+19890.4</f>
        <v>64703.450000000004</v>
      </c>
      <c r="D302" s="11">
        <f t="shared" si="24"/>
        <v>1541998.73</v>
      </c>
      <c r="E302" s="25" t="s">
        <v>9</v>
      </c>
      <c r="F302" s="15">
        <v>50249.4</v>
      </c>
      <c r="G302" s="15">
        <f>22135.02+6621.7</f>
        <v>28756.720000000001</v>
      </c>
      <c r="H302" s="15">
        <f>86000+139880+14500+65000+23515+92200+42182+88176.4+110000+40000+60000+122000+100000+144220+30226+43296.5+32208.4+41000+73736.01+115050.68</f>
        <v>1463190.9899999998</v>
      </c>
      <c r="I302" s="37">
        <f t="shared" si="25"/>
        <v>1542197.1099999996</v>
      </c>
      <c r="J302" s="15">
        <f t="shared" si="23"/>
        <v>198.37999999965541</v>
      </c>
      <c r="K302" s="4"/>
      <c r="L302" s="74" t="s">
        <v>678</v>
      </c>
      <c r="M302" s="74"/>
      <c r="N302" s="74"/>
      <c r="O302" s="74"/>
      <c r="V302" s="166"/>
      <c r="W302" s="154"/>
      <c r="X302" s="116"/>
    </row>
    <row r="303" spans="1:25" ht="15.75" x14ac:dyDescent="0.25">
      <c r="A303" s="9">
        <v>42236</v>
      </c>
      <c r="B303" s="10">
        <f>339637.66+3043972.54</f>
        <v>3383610.2</v>
      </c>
      <c r="C303" s="10">
        <f>63389.91+427+6446.8</f>
        <v>70263.710000000006</v>
      </c>
      <c r="D303" s="11">
        <f t="shared" si="24"/>
        <v>3313346.49</v>
      </c>
      <c r="E303" s="25" t="s">
        <v>9</v>
      </c>
      <c r="F303" s="15">
        <f>37525.11</f>
        <v>37525.11</v>
      </c>
      <c r="G303" s="15">
        <v>5969.1</v>
      </c>
      <c r="H303" s="15">
        <f>38400+88000+90000+120000+64500+72348.2+198000+124050+182000+2200+224750+79896+1385.5+27934+50000+50000+57000+33056+75000+65000+58000+40916+80000+20000+105000+109+1440+26000+75000+60000+350+105000+91000+33685+12629.48+516+268+230+8701.24+40410.5+70000+90000+120000+32483.5+18000+68000+105000+10989+35138+102681+57609+60000+80000+23000+33092</f>
        <v>3308767.4200000004</v>
      </c>
      <c r="I303" s="37">
        <f t="shared" si="25"/>
        <v>3352261.6300000004</v>
      </c>
      <c r="J303" s="15">
        <f t="shared" si="23"/>
        <v>38915.14000000013</v>
      </c>
      <c r="K303" s="4"/>
      <c r="L303" s="60" t="s">
        <v>532</v>
      </c>
      <c r="M303" s="60"/>
      <c r="N303" s="60"/>
      <c r="V303" s="166"/>
      <c r="W303" s="154"/>
      <c r="X303" s="116"/>
    </row>
    <row r="304" spans="1:25" ht="15.75" x14ac:dyDescent="0.25">
      <c r="A304" s="9">
        <v>42237</v>
      </c>
      <c r="B304" s="10">
        <f>731620.8+592192.4</f>
        <v>1323813.2000000002</v>
      </c>
      <c r="C304" s="10">
        <f>72110.5+324207</f>
        <v>396317.5</v>
      </c>
      <c r="D304" s="11">
        <f t="shared" si="24"/>
        <v>927495.70000000019</v>
      </c>
      <c r="E304" s="25" t="s">
        <v>9</v>
      </c>
      <c r="F304" s="15">
        <v>37980.6</v>
      </c>
      <c r="G304" s="15">
        <v>0</v>
      </c>
      <c r="H304" s="15">
        <f>127380+66600+40000+252000+175800+167160+4436+15371+22885+4290.6+13592.8</f>
        <v>889515.4</v>
      </c>
      <c r="I304" s="37">
        <f t="shared" si="25"/>
        <v>927496</v>
      </c>
      <c r="J304" s="15">
        <f t="shared" si="23"/>
        <v>0.29999999981373549</v>
      </c>
      <c r="K304" s="15"/>
      <c r="L304" s="60" t="s">
        <v>803</v>
      </c>
      <c r="M304" s="60" t="s">
        <v>503</v>
      </c>
      <c r="N304" s="60"/>
      <c r="V304" s="166"/>
      <c r="W304" s="154"/>
      <c r="X304" s="116"/>
    </row>
    <row r="305" spans="1:24" ht="15.75" x14ac:dyDescent="0.25">
      <c r="A305" s="9">
        <v>42238</v>
      </c>
      <c r="B305" s="10">
        <f>317084.06+1297825.06</f>
        <v>1614909.12</v>
      </c>
      <c r="C305" s="10">
        <f>7519.34+21510.96</f>
        <v>29030.3</v>
      </c>
      <c r="D305" s="11">
        <f t="shared" si="24"/>
        <v>1585878.82</v>
      </c>
      <c r="E305" s="25" t="s">
        <v>9</v>
      </c>
      <c r="F305" s="15">
        <v>547.1</v>
      </c>
      <c r="G305" s="15">
        <f>22169.5+3679+9258.92+9178.2+5954.3+10534.5+19556.4+44940.7+60990+128343.94+176832.33+97014.1</f>
        <v>588451.89</v>
      </c>
      <c r="H305" s="15">
        <f>103000+120700+16600+54000+140000+100000+72000+82900+78400+24892+20528.4+86230+30340.5+19442+47846</f>
        <v>996878.9</v>
      </c>
      <c r="I305" s="37">
        <f t="shared" si="25"/>
        <v>1585877.8900000001</v>
      </c>
      <c r="J305" s="15">
        <f t="shared" si="23"/>
        <v>-0.92999999993480742</v>
      </c>
      <c r="K305" s="4"/>
      <c r="V305" s="166"/>
      <c r="W305" s="154"/>
      <c r="X305" s="116"/>
    </row>
    <row r="306" spans="1:24" ht="15.75" x14ac:dyDescent="0.25">
      <c r="A306" s="9">
        <v>42239</v>
      </c>
      <c r="B306" s="10">
        <f>212476.09+1608480.7</f>
        <v>1820956.79</v>
      </c>
      <c r="C306" s="10">
        <f>14146.4+84686.14</f>
        <v>98832.54</v>
      </c>
      <c r="D306" s="11">
        <f t="shared" si="24"/>
        <v>1722124.25</v>
      </c>
      <c r="E306" s="25" t="s">
        <v>9</v>
      </c>
      <c r="F306" s="15">
        <v>3587</v>
      </c>
      <c r="G306" s="15">
        <v>0</v>
      </c>
      <c r="H306" s="15">
        <f>49900+89500+127100+45171+68000+34800+8050+33500+5000+48400+75700+60800+70600+43080+40850+8223.02+34137.01+5755.55+13644.52+17063.5+35000+72000+29332+65000+35169+45000+8052+37416.5+63500+50000+16771.5+30000+27972+55000+45000+30000+35504+30000+46521.5+52000+23110+6909</f>
        <v>1718532.1</v>
      </c>
      <c r="I306" s="37">
        <f t="shared" si="25"/>
        <v>1722119.1</v>
      </c>
      <c r="J306" s="15">
        <f t="shared" si="23"/>
        <v>-5.1499999999068677</v>
      </c>
      <c r="K306" s="4"/>
      <c r="V306" s="166"/>
      <c r="W306" s="154"/>
      <c r="X306" s="116"/>
    </row>
    <row r="307" spans="1:24" ht="15.75" x14ac:dyDescent="0.25">
      <c r="A307" s="9">
        <v>42240</v>
      </c>
      <c r="B307" s="10">
        <f>244626.12+789876.93</f>
        <v>1034503.05</v>
      </c>
      <c r="C307" s="10">
        <f>9690.18+470+48200.94</f>
        <v>58361.120000000003</v>
      </c>
      <c r="D307" s="11">
        <f t="shared" si="24"/>
        <v>976141.93</v>
      </c>
      <c r="E307" s="25" t="s">
        <v>9</v>
      </c>
      <c r="F307" s="15">
        <v>3175.1</v>
      </c>
      <c r="G307" s="15">
        <f>28286.4+4590.9+61050.23</f>
        <v>93927.53</v>
      </c>
      <c r="H307" s="15">
        <f>46000+48550+125600+140000+104600+31092+86700+296498</f>
        <v>879040</v>
      </c>
      <c r="I307" s="37">
        <f t="shared" si="25"/>
        <v>976142.63</v>
      </c>
      <c r="J307" s="15">
        <f t="shared" si="23"/>
        <v>0.69999999995343387</v>
      </c>
      <c r="K307" s="15"/>
      <c r="L307" s="4"/>
      <c r="V307" s="166"/>
      <c r="W307" s="154"/>
      <c r="X307" s="116"/>
    </row>
    <row r="308" spans="1:24" ht="15.75" x14ac:dyDescent="0.25">
      <c r="A308" s="9">
        <v>42241</v>
      </c>
      <c r="B308" s="79">
        <f>237208.25+161810.96</f>
        <v>399019.20999999996</v>
      </c>
      <c r="C308" s="80">
        <f>56203.31+49826</f>
        <v>106029.31</v>
      </c>
      <c r="D308" s="11">
        <f t="shared" si="24"/>
        <v>292989.89999999997</v>
      </c>
      <c r="E308" s="25" t="s">
        <v>9</v>
      </c>
      <c r="F308" s="15">
        <v>2786.4</v>
      </c>
      <c r="G308" s="15">
        <v>8629.5</v>
      </c>
      <c r="H308" s="15">
        <f>95000+60000+100000+25500+1074</f>
        <v>281574</v>
      </c>
      <c r="I308" s="37">
        <f t="shared" si="25"/>
        <v>292989.90000000002</v>
      </c>
      <c r="J308" s="15">
        <f t="shared" si="23"/>
        <v>0</v>
      </c>
      <c r="K308" s="4"/>
      <c r="V308" s="166"/>
      <c r="W308" s="154"/>
      <c r="X308" s="116"/>
    </row>
    <row r="309" spans="1:24" ht="15.75" x14ac:dyDescent="0.25">
      <c r="A309" s="9">
        <v>42242</v>
      </c>
      <c r="B309" s="10">
        <f>246880.63+3288616.55</f>
        <v>3535497.1799999997</v>
      </c>
      <c r="C309" s="10">
        <f>12638.95+216229.24</f>
        <v>228868.19</v>
      </c>
      <c r="D309" s="11">
        <f t="shared" si="24"/>
        <v>3306628.9899999998</v>
      </c>
      <c r="E309" s="25" t="s">
        <v>9</v>
      </c>
      <c r="F309" s="15">
        <v>52147.61</v>
      </c>
      <c r="G309" s="15">
        <f>9300+19500+3165.7+9500+9700+16419.9+179344</f>
        <v>246929.6</v>
      </c>
      <c r="H309" s="15">
        <f>43088+38515+239450+9590+7193.99+10135.36+264793.64+40369.7+10896.2+8064.36+99350.5+93137.5+27354+215000+46000+34337+38665+32818+53621+63210+66900+36320.13+40677+34448.5+30088+52326.5+60950+58077+35841+145350+10534.5+16770+29440+37000+25000+23832+50000+20000+38773+34690+40000+30000+22650+40000+65000+16655+14390+31001.5+30000+52000+30000+58000+23804+40000+33000+26410+3636+9000+21504.5+60000+31320+23842+43000+55000+35000+1492</f>
        <v>3059311.88</v>
      </c>
      <c r="I309" s="37">
        <f t="shared" si="25"/>
        <v>3358389.09</v>
      </c>
      <c r="J309" s="15">
        <f t="shared" si="23"/>
        <v>51760.100000000093</v>
      </c>
      <c r="K309" s="4"/>
      <c r="L309" s="60" t="s">
        <v>531</v>
      </c>
      <c r="M309" s="60"/>
      <c r="V309" s="166"/>
      <c r="W309" s="154"/>
      <c r="X309" s="116"/>
    </row>
    <row r="310" spans="1:24" ht="31.5" x14ac:dyDescent="0.25">
      <c r="A310" s="192" t="s">
        <v>514</v>
      </c>
      <c r="B310" s="197">
        <f>450026.78+3423678.21</f>
        <v>3873704.99</v>
      </c>
      <c r="C310" s="193">
        <f>192478.25+222764.38</f>
        <v>415242.63</v>
      </c>
      <c r="D310" s="194">
        <f t="shared" si="24"/>
        <v>3458462.3600000003</v>
      </c>
      <c r="E310" s="93" t="s">
        <v>9</v>
      </c>
      <c r="F310" s="195">
        <v>85198.92</v>
      </c>
      <c r="G310" s="195">
        <f>9055.1+8301.7+4000</f>
        <v>21356.800000000003</v>
      </c>
      <c r="H310" s="195">
        <f>190560+27000+90000+80000+47100+105000+113500+42000+130000+25360+20500+14887+75000+50000+81000+3385.38+5161.3+110000+39270+70000+5530+7622.04+8693.04+105000+90000+33686+70500+100000+60000+88000+145000+33524.5+134+1024+4773.7+90000+90000+35429+90000+11601.36+80000+45000+67000+37863.5+30225+23480+16000+52700+1583+28000+75000+125000+32650+52950+77340+10250+65130+25919+36540+61035.8</f>
        <v>3333907.6199999996</v>
      </c>
      <c r="I310" s="196">
        <f t="shared" si="25"/>
        <v>3440463.3399999994</v>
      </c>
      <c r="J310" s="200">
        <f t="shared" si="23"/>
        <v>-17999.02000000095</v>
      </c>
      <c r="K310" s="4"/>
      <c r="L310" s="60" t="s">
        <v>692</v>
      </c>
      <c r="M310" s="60" t="s">
        <v>515</v>
      </c>
      <c r="N310" s="60"/>
      <c r="V310" s="166"/>
      <c r="W310" s="154"/>
      <c r="X310" s="116"/>
    </row>
    <row r="311" spans="1:24" ht="15.75" x14ac:dyDescent="0.25">
      <c r="A311" s="9">
        <v>42245</v>
      </c>
      <c r="B311" s="10">
        <f>321381.56+919833.11</f>
        <v>1241214.67</v>
      </c>
      <c r="C311" s="10">
        <f>20498+650+8591.08</f>
        <v>29739.08</v>
      </c>
      <c r="D311" s="11">
        <f t="shared" si="24"/>
        <v>1211475.5899999999</v>
      </c>
      <c r="E311" s="25" t="s">
        <v>9</v>
      </c>
      <c r="F311" s="15">
        <v>609</v>
      </c>
      <c r="G311" s="15">
        <f>53695.5+60224.2+19713.6+38618+61603.2+54347.5+58330.3+190339.06</f>
        <v>536871.36</v>
      </c>
      <c r="H311" s="15">
        <f>153100+76140+180600+5910+25360+200100+25929.3+6856</f>
        <v>673995.3</v>
      </c>
      <c r="I311" s="37">
        <f t="shared" si="25"/>
        <v>1211475.6600000001</v>
      </c>
      <c r="J311" s="15">
        <f t="shared" si="23"/>
        <v>7.0000000298023224E-2</v>
      </c>
      <c r="K311" s="4"/>
      <c r="L311" s="4"/>
      <c r="M311" s="60" t="s">
        <v>614</v>
      </c>
      <c r="N311" s="60"/>
      <c r="O311" s="60"/>
      <c r="V311" s="166"/>
      <c r="W311" s="154"/>
      <c r="X311" s="116"/>
    </row>
    <row r="312" spans="1:24" ht="15.75" x14ac:dyDescent="0.25">
      <c r="A312" s="9">
        <v>42246</v>
      </c>
      <c r="B312" s="10">
        <f>253989.24+149269.9</f>
        <v>403259.14</v>
      </c>
      <c r="C312" s="10">
        <f>103678.4+28706.2</f>
        <v>132384.6</v>
      </c>
      <c r="D312" s="11">
        <f t="shared" si="24"/>
        <v>270874.54000000004</v>
      </c>
      <c r="E312" s="25" t="s">
        <v>9</v>
      </c>
      <c r="F312" s="15">
        <v>3844.8</v>
      </c>
      <c r="G312" s="15">
        <v>2014.6</v>
      </c>
      <c r="H312" s="15">
        <f>144950+77700+42366</f>
        <v>265016</v>
      </c>
      <c r="I312" s="37">
        <f t="shared" si="25"/>
        <v>270875.39999999997</v>
      </c>
      <c r="J312" s="15">
        <f t="shared" si="23"/>
        <v>0.8599999999278225</v>
      </c>
      <c r="K312" s="4"/>
      <c r="L312" s="4"/>
      <c r="V312" s="166"/>
      <c r="W312" s="154"/>
      <c r="X312" s="116"/>
    </row>
    <row r="313" spans="1:24" ht="15.75" x14ac:dyDescent="0.25">
      <c r="A313" s="9">
        <v>42247</v>
      </c>
      <c r="B313" s="10">
        <f>459402.02+360205.06</f>
        <v>819607.08000000007</v>
      </c>
      <c r="C313" s="10">
        <f>124866.5+153451.22</f>
        <v>278317.71999999997</v>
      </c>
      <c r="D313" s="11">
        <f t="shared" si="24"/>
        <v>541289.3600000001</v>
      </c>
      <c r="E313" s="25" t="s">
        <v>9</v>
      </c>
      <c r="F313" s="15">
        <v>2595.3000000000002</v>
      </c>
      <c r="G313" s="15">
        <v>2068</v>
      </c>
      <c r="H313" s="15">
        <f>49400+130000+40400+117500+78000+10000+18694.4+2737.8+89650</f>
        <v>536382.19999999995</v>
      </c>
      <c r="I313" s="37">
        <f t="shared" si="25"/>
        <v>541045.5</v>
      </c>
      <c r="J313" s="15">
        <f t="shared" si="23"/>
        <v>-243.86000000010245</v>
      </c>
      <c r="K313" s="4"/>
      <c r="L313" s="60" t="s">
        <v>628</v>
      </c>
      <c r="M313" s="60" t="s">
        <v>518</v>
      </c>
      <c r="N313" s="60"/>
      <c r="O313" s="60"/>
      <c r="V313" s="116"/>
      <c r="W313" s="154"/>
      <c r="X313" s="116"/>
    </row>
    <row r="314" spans="1:24" ht="15.75" x14ac:dyDescent="0.25">
      <c r="A314" s="9"/>
      <c r="B314" s="10"/>
      <c r="C314" s="10"/>
      <c r="D314" s="11">
        <f t="shared" si="24"/>
        <v>0</v>
      </c>
      <c r="E314" s="4"/>
      <c r="F314" s="4"/>
      <c r="G314" s="15"/>
      <c r="H314" s="15"/>
      <c r="I314" s="4"/>
      <c r="J314" s="15">
        <f t="shared" si="23"/>
        <v>0</v>
      </c>
      <c r="K314" s="4"/>
    </row>
    <row r="315" spans="1:24" ht="15.75" x14ac:dyDescent="0.25">
      <c r="A315" s="14"/>
      <c r="B315" s="10"/>
      <c r="C315" s="10"/>
      <c r="D315" s="11">
        <f t="shared" si="24"/>
        <v>0</v>
      </c>
      <c r="E315" s="4"/>
      <c r="F315" s="4"/>
      <c r="G315" s="15"/>
      <c r="H315" s="15"/>
      <c r="I315" s="4"/>
      <c r="J315" s="15">
        <f t="shared" si="23"/>
        <v>0</v>
      </c>
      <c r="K315" s="4"/>
    </row>
    <row r="316" spans="1:24" ht="15.75" x14ac:dyDescent="0.25">
      <c r="A316" s="14"/>
      <c r="B316" s="13"/>
      <c r="C316" s="10"/>
      <c r="D316" s="11">
        <f t="shared" si="24"/>
        <v>0</v>
      </c>
      <c r="E316" s="4"/>
      <c r="F316" s="4"/>
      <c r="G316" s="15"/>
      <c r="H316" s="15"/>
      <c r="I316" s="4"/>
      <c r="J316" s="15">
        <f t="shared" si="23"/>
        <v>0</v>
      </c>
      <c r="K316" s="4"/>
    </row>
    <row r="317" spans="1:24" ht="15.75" x14ac:dyDescent="0.25">
      <c r="A317" s="14"/>
      <c r="B317" s="10"/>
      <c r="C317" s="10"/>
      <c r="D317" s="11">
        <f t="shared" si="24"/>
        <v>0</v>
      </c>
      <c r="E317" s="4"/>
      <c r="F317" s="4"/>
      <c r="G317" s="15"/>
      <c r="H317" s="15"/>
      <c r="I317" s="4"/>
      <c r="J317" s="15">
        <f t="shared" si="23"/>
        <v>0</v>
      </c>
      <c r="K317" s="4"/>
    </row>
    <row r="318" spans="1:24" ht="15.75" x14ac:dyDescent="0.25">
      <c r="A318" s="14"/>
      <c r="B318" s="10">
        <f>SUM(B284:B317)</f>
        <v>53361279.740000002</v>
      </c>
      <c r="C318" s="10">
        <f>SUM(C284:C317)</f>
        <v>4460033.4899999993</v>
      </c>
      <c r="D318" s="11">
        <f t="shared" si="24"/>
        <v>48901246.25</v>
      </c>
      <c r="E318" s="4"/>
      <c r="F318" s="15"/>
      <c r="G318" s="15"/>
      <c r="H318" s="15"/>
      <c r="I318" s="4"/>
      <c r="J318" s="15">
        <f t="shared" si="23"/>
        <v>-48901246.25</v>
      </c>
      <c r="K318" s="4"/>
    </row>
    <row r="320" spans="1:24" ht="18.75" x14ac:dyDescent="0.3">
      <c r="A320" s="1"/>
      <c r="B320" s="57" t="s">
        <v>264</v>
      </c>
      <c r="C320" s="57"/>
      <c r="D320" s="2"/>
      <c r="E320" s="3"/>
      <c r="F320" s="4"/>
      <c r="G320" s="15"/>
      <c r="H320" s="4"/>
      <c r="I320" s="4"/>
      <c r="J320" s="4"/>
      <c r="K320" s="4"/>
    </row>
    <row r="321" spans="1:21" ht="15.75" x14ac:dyDescent="0.25">
      <c r="A321" s="5"/>
      <c r="B321" s="6"/>
      <c r="C321" s="23" t="s">
        <v>6</v>
      </c>
      <c r="D321" s="7"/>
      <c r="E321" s="3"/>
      <c r="F321" s="4"/>
      <c r="G321" s="15"/>
      <c r="H321" s="4"/>
      <c r="I321" s="4"/>
      <c r="J321" s="4"/>
      <c r="K321" s="4"/>
    </row>
    <row r="322" spans="1:21" ht="16.5" thickBot="1" x14ac:dyDescent="0.3">
      <c r="A322" s="19" t="s">
        <v>0</v>
      </c>
      <c r="B322" s="20" t="s">
        <v>1</v>
      </c>
      <c r="C322" s="21" t="s">
        <v>2</v>
      </c>
      <c r="D322" s="22" t="s">
        <v>4</v>
      </c>
      <c r="E322" s="3"/>
      <c r="F322" s="38" t="s">
        <v>19</v>
      </c>
      <c r="G322" s="32" t="s">
        <v>10</v>
      </c>
      <c r="H322" s="27" t="s">
        <v>8</v>
      </c>
      <c r="I322" s="50"/>
      <c r="J322" s="33" t="s">
        <v>11</v>
      </c>
      <c r="K322" s="34" t="s">
        <v>13</v>
      </c>
    </row>
    <row r="323" spans="1:21" ht="16.5" thickTop="1" x14ac:dyDescent="0.25">
      <c r="A323" s="9">
        <v>42248</v>
      </c>
      <c r="B323" s="10">
        <f>232673.61+3048176.7</f>
        <v>3280850.31</v>
      </c>
      <c r="C323" s="10">
        <f>34928.59+61389.3</f>
        <v>96317.89</v>
      </c>
      <c r="D323" s="11">
        <f>B323-C323</f>
        <v>3184532.42</v>
      </c>
      <c r="E323" s="25" t="s">
        <v>9</v>
      </c>
      <c r="F323" s="15">
        <v>1274.1199999999999</v>
      </c>
      <c r="G323" s="15">
        <f>5477.6+37910.25</f>
        <v>43387.85</v>
      </c>
      <c r="H323" s="15">
        <f>139600+124000+132118.5+54830+43000+24718+53209+37227.5+126630+132500+32000+234000+17000+35661.5+32748+62000+45000+80000+36264.5+320+15750.8+25000+36400+90000+100000+40267.5+145000+85060+25900+25210+6720+27800+7990+1000+25490+10330+83000+850+4514.8+3900+14557.52+75000+90000+37821+120000+51000+134+55000+40107+60000+130000+5000+80000+60000+73000+38308.5+22974+3958.1</f>
        <v>3159870.2199999997</v>
      </c>
      <c r="I323" s="37">
        <f>H323+G323+F323</f>
        <v>3204532.19</v>
      </c>
      <c r="J323" s="15">
        <f t="shared" ref="J323:J358" si="26">H323+G323+F323-D323</f>
        <v>19999.770000000019</v>
      </c>
      <c r="K323" s="4"/>
      <c r="L323" s="60" t="s">
        <v>534</v>
      </c>
      <c r="M323" s="60"/>
      <c r="N323" s="60"/>
      <c r="P323" s="60"/>
      <c r="Q323" s="60"/>
      <c r="R323" s="60"/>
      <c r="S323" s="60"/>
    </row>
    <row r="324" spans="1:21" ht="15.75" x14ac:dyDescent="0.25">
      <c r="A324" s="9">
        <v>42249</v>
      </c>
      <c r="B324" s="10">
        <f>195349.55+578850.89</f>
        <v>774200.44</v>
      </c>
      <c r="C324" s="10">
        <f>27564.78+109806.73</f>
        <v>137371.51</v>
      </c>
      <c r="D324" s="11">
        <f t="shared" ref="D324:D358" si="27">B324-C324</f>
        <v>636828.92999999993</v>
      </c>
      <c r="E324" s="25" t="s">
        <v>9</v>
      </c>
      <c r="F324" s="31">
        <v>23175.040000000001</v>
      </c>
      <c r="G324" s="31">
        <v>5611</v>
      </c>
      <c r="H324" s="15">
        <f>105000+195700+69850.4+12700+15705+5423.4+8450.6+42613+118839.4</f>
        <v>574281.80000000005</v>
      </c>
      <c r="I324" s="37">
        <f t="shared" ref="I324:I353" si="28">H324+G324+F324</f>
        <v>603067.84000000008</v>
      </c>
      <c r="J324" s="15">
        <f t="shared" si="26"/>
        <v>-33761.089999999851</v>
      </c>
      <c r="K324" s="4"/>
      <c r="L324" s="60" t="s">
        <v>519</v>
      </c>
      <c r="M324" s="60"/>
      <c r="N324" s="60"/>
      <c r="O324" s="60"/>
      <c r="P324" s="60"/>
    </row>
    <row r="325" spans="1:21" ht="15.75" x14ac:dyDescent="0.25">
      <c r="A325" s="9">
        <v>42250</v>
      </c>
      <c r="B325" s="10">
        <f>343177.57+443218.16</f>
        <v>786395.73</v>
      </c>
      <c r="C325" s="10">
        <f>13359.8+427+179411.18</f>
        <v>193197.97999999998</v>
      </c>
      <c r="D325" s="11">
        <f t="shared" si="27"/>
        <v>593197.75</v>
      </c>
      <c r="E325" s="25" t="s">
        <v>9</v>
      </c>
      <c r="F325" s="15">
        <v>1349.2</v>
      </c>
      <c r="G325" s="15">
        <v>8365.4</v>
      </c>
      <c r="H325" s="15">
        <f>33500+160700+65000+120800+134800+22064+8144+26409.6+12065.44</f>
        <v>583483.03999999992</v>
      </c>
      <c r="I325" s="37">
        <f t="shared" si="28"/>
        <v>593197.6399999999</v>
      </c>
      <c r="J325" s="15">
        <f t="shared" si="26"/>
        <v>-0.11000000010244548</v>
      </c>
      <c r="K325" s="43"/>
      <c r="L325" s="4"/>
    </row>
    <row r="326" spans="1:21" ht="15.75" x14ac:dyDescent="0.25">
      <c r="A326" s="9">
        <v>42251</v>
      </c>
      <c r="B326" s="10">
        <f>483000+5081961.43</f>
        <v>5564961.4299999997</v>
      </c>
      <c r="C326" s="10">
        <f>58600.44+90717.49</f>
        <v>149317.93</v>
      </c>
      <c r="D326" s="11">
        <f t="shared" si="27"/>
        <v>5415643.5</v>
      </c>
      <c r="E326" s="25" t="s">
        <v>9</v>
      </c>
      <c r="F326" s="15">
        <v>2844.6</v>
      </c>
      <c r="G326" s="15">
        <f>45450+6121.5</f>
        <v>51571.5</v>
      </c>
      <c r="H326" s="15">
        <f>34650+145670+58100+53840+148000+19861+51324.26+20000+145592.2+4869.6+217630+20770+118366.5+69000+81550+28000+24100+114000+18500+11500+170000+133000+161600+19676+220000+75800+179635+78500+58000+40000+50000+45000+19034+30000+83500+27476.5+50000+54000+9592+15361+50150+70000+6057+12854+34861+67564.36+11054.32+40000+30967+50000+50000+54000+68000+6058+25783+50000+21251.5+30000+35000+45000+34254+15165+20135+24651+31000+85000+80000+49815+2657.58+700+55000+34011.5+65000+46000+9992.62+1977+2521+97000+36587+500+84500+3513+13117.92+2200+18755+33698+6024.88+55000+130000+100000+70000+38505+137000+6720+65000+10000+75000+20230+50+73000+43091</f>
        <v>5341469.74</v>
      </c>
      <c r="I326" s="37">
        <f t="shared" si="28"/>
        <v>5395885.8399999999</v>
      </c>
      <c r="J326" s="15">
        <f t="shared" si="26"/>
        <v>-19757.660000000149</v>
      </c>
      <c r="K326" s="4"/>
      <c r="L326" s="60" t="s">
        <v>535</v>
      </c>
      <c r="M326" s="60"/>
      <c r="Q326" s="60"/>
      <c r="R326" s="60"/>
      <c r="S326" s="60"/>
      <c r="T326" s="60"/>
      <c r="U326" s="60"/>
    </row>
    <row r="327" spans="1:21" ht="15.75" x14ac:dyDescent="0.25">
      <c r="A327" s="9">
        <v>42252</v>
      </c>
      <c r="B327" s="10">
        <f>224793.49+1137512.7</f>
        <v>1362306.19</v>
      </c>
      <c r="C327" s="10">
        <f>33900.34</f>
        <v>33900.339999999997</v>
      </c>
      <c r="D327" s="11">
        <f t="shared" si="27"/>
        <v>1328405.8499999999</v>
      </c>
      <c r="E327" s="42"/>
      <c r="F327" s="15">
        <v>5235.5</v>
      </c>
      <c r="G327" s="15">
        <f>3096+2624+89906.3+47455.3+56372.7+174000.75+64081.4</f>
        <v>437536.45</v>
      </c>
      <c r="H327" s="15">
        <f>120000+30000+117800+90000+105100+56740+51800+21795.6+169000+27900+35000+21644+8909+19045.6+5500</f>
        <v>880234.2</v>
      </c>
      <c r="I327" s="37">
        <f t="shared" si="28"/>
        <v>1323006.1499999999</v>
      </c>
      <c r="J327" s="15">
        <f t="shared" si="26"/>
        <v>-5399.6999999999534</v>
      </c>
      <c r="K327" s="4"/>
      <c r="L327" s="39" t="s">
        <v>740</v>
      </c>
      <c r="Q327" s="60"/>
      <c r="R327" s="60"/>
      <c r="S327" s="60"/>
    </row>
    <row r="328" spans="1:21" ht="15.75" x14ac:dyDescent="0.25">
      <c r="A328" s="9">
        <v>42253</v>
      </c>
      <c r="B328" s="10">
        <f>246584.2+227695.77</f>
        <v>474279.97</v>
      </c>
      <c r="C328" s="10">
        <f>6570+12160</f>
        <v>18730</v>
      </c>
      <c r="D328" s="11">
        <f t="shared" si="27"/>
        <v>455549.97</v>
      </c>
      <c r="E328" s="25" t="s">
        <v>9</v>
      </c>
      <c r="F328" s="15">
        <v>854.67</v>
      </c>
      <c r="G328" s="15">
        <v>7392.9</v>
      </c>
      <c r="H328" s="15">
        <f>154700+181800+102200+8602</f>
        <v>447302</v>
      </c>
      <c r="I328" s="37">
        <f t="shared" si="28"/>
        <v>455549.57</v>
      </c>
      <c r="J328" s="15">
        <f t="shared" si="26"/>
        <v>-0.3999999999650754</v>
      </c>
      <c r="K328" s="4"/>
      <c r="L328" s="4"/>
    </row>
    <row r="329" spans="1:21" ht="15.75" x14ac:dyDescent="0.25">
      <c r="A329" s="9">
        <v>42254</v>
      </c>
      <c r="B329" s="10">
        <f>347018.21+1878168.6</f>
        <v>2225186.81</v>
      </c>
      <c r="C329" s="10">
        <f>62710.32+265670.28</f>
        <v>328380.60000000003</v>
      </c>
      <c r="D329" s="11">
        <f t="shared" si="27"/>
        <v>1896806.21</v>
      </c>
      <c r="E329" s="25" t="s">
        <v>9</v>
      </c>
      <c r="F329" s="15">
        <v>2210.1</v>
      </c>
      <c r="G329" s="15">
        <f>9372.5+10253.4+9091.2+19803+5602.1</f>
        <v>54122.200000000004</v>
      </c>
      <c r="H329" s="15">
        <f>26700+58100+56010+80000+116600+18863+12277.9+29329.6+49413.8+208000+29000+61106+138800+106000+112612+206800+219100+43961+121800+146000</f>
        <v>1840473.3</v>
      </c>
      <c r="I329" s="37">
        <f t="shared" si="28"/>
        <v>1896805.6</v>
      </c>
      <c r="J329" s="15">
        <f t="shared" si="26"/>
        <v>-0.60999999986961484</v>
      </c>
      <c r="K329" s="4"/>
      <c r="L329" s="4"/>
      <c r="M329" s="60" t="s">
        <v>598</v>
      </c>
      <c r="N329" s="60"/>
      <c r="O329" s="60"/>
    </row>
    <row r="330" spans="1:21" ht="15.75" x14ac:dyDescent="0.25">
      <c r="A330" s="9">
        <v>42255</v>
      </c>
      <c r="B330" s="10">
        <f>356302.63+776385.7</f>
        <v>1132688.33</v>
      </c>
      <c r="C330" s="10">
        <f>90343+61281.45</f>
        <v>151624.45000000001</v>
      </c>
      <c r="D330" s="11">
        <f t="shared" si="27"/>
        <v>981063.88000000012</v>
      </c>
      <c r="E330" s="25" t="s">
        <v>9</v>
      </c>
      <c r="F330" s="15">
        <v>13419.84</v>
      </c>
      <c r="G330" s="15">
        <f>3919.5+4189</f>
        <v>8108.5</v>
      </c>
      <c r="H330" s="15">
        <f>25000+4700+54000+21500+88000+144750+114744.05+8078.4+41969.4+15048+170000+130150+65347+24789.5+25000+26458.5</f>
        <v>959534.85000000009</v>
      </c>
      <c r="I330" s="37">
        <f t="shared" si="28"/>
        <v>981063.19000000006</v>
      </c>
      <c r="J330" s="15">
        <f t="shared" si="26"/>
        <v>-0.69000000006053597</v>
      </c>
      <c r="K330" s="4"/>
      <c r="L330" s="4"/>
      <c r="M330" s="60" t="s">
        <v>597</v>
      </c>
      <c r="N330" s="60"/>
      <c r="O330" s="60"/>
    </row>
    <row r="331" spans="1:21" ht="15.75" x14ac:dyDescent="0.25">
      <c r="A331" s="9">
        <v>42256</v>
      </c>
      <c r="B331" s="10">
        <f>273610.31+1085014.22</f>
        <v>1358624.53</v>
      </c>
      <c r="C331" s="10">
        <f>21723.32+470+61961.04</f>
        <v>84154.36</v>
      </c>
      <c r="D331" s="11">
        <f t="shared" si="27"/>
        <v>1274470.17</v>
      </c>
      <c r="E331" s="25" t="s">
        <v>9</v>
      </c>
      <c r="F331" s="15">
        <v>7846</v>
      </c>
      <c r="G331" s="15">
        <v>207296.28</v>
      </c>
      <c r="H331" s="15">
        <f>120000+125200+56200+165200+169000+70000+117857+9652+96174.4+37030+35332.5+35332.5+22350</f>
        <v>1059328.3999999999</v>
      </c>
      <c r="I331" s="37">
        <f t="shared" si="28"/>
        <v>1274470.68</v>
      </c>
      <c r="J331" s="15">
        <f t="shared" si="26"/>
        <v>0.51000000000931323</v>
      </c>
      <c r="K331" s="4"/>
      <c r="L331" s="4"/>
      <c r="M331" s="60" t="s">
        <v>600</v>
      </c>
      <c r="N331" s="60"/>
      <c r="O331" s="60"/>
    </row>
    <row r="332" spans="1:21" ht="15.75" x14ac:dyDescent="0.25">
      <c r="A332" s="9">
        <v>42257</v>
      </c>
      <c r="B332" s="10">
        <f>311024.7+945892.54</f>
        <v>1256917.24</v>
      </c>
      <c r="C332" s="10">
        <f>21940.47+1500+9000+427+8450</f>
        <v>41317.47</v>
      </c>
      <c r="D332" s="11">
        <f t="shared" si="27"/>
        <v>1215599.77</v>
      </c>
      <c r="E332" s="25" t="s">
        <v>9</v>
      </c>
      <c r="F332" s="15">
        <v>4564</v>
      </c>
      <c r="G332" s="15">
        <v>2926.86</v>
      </c>
      <c r="H332" s="15">
        <f>144350+50000+149450+183500+78830+14838+7025.8+149000+41100+228+99968.85+80377.95+101887.2+107553.1</f>
        <v>1208108.9000000001</v>
      </c>
      <c r="I332" s="37">
        <f t="shared" si="28"/>
        <v>1215599.7600000002</v>
      </c>
      <c r="J332" s="15">
        <f t="shared" si="26"/>
        <v>-9.9999997764825821E-3</v>
      </c>
      <c r="K332" s="4"/>
      <c r="L332" s="4"/>
      <c r="M332" s="60" t="s">
        <v>602</v>
      </c>
      <c r="N332" s="60"/>
      <c r="O332" s="60"/>
      <c r="P332" s="60"/>
    </row>
    <row r="333" spans="1:21" ht="15.75" x14ac:dyDescent="0.25">
      <c r="A333" s="9">
        <v>42258</v>
      </c>
      <c r="B333" s="10">
        <f>365464.66+890871.72</f>
        <v>1256336.3799999999</v>
      </c>
      <c r="C333" s="10">
        <f>28225.22+5220+530+187821.04</f>
        <v>221796.26</v>
      </c>
      <c r="D333" s="11">
        <f t="shared" si="27"/>
        <v>1034540.1199999999</v>
      </c>
      <c r="E333" s="25" t="s">
        <v>9</v>
      </c>
      <c r="F333" s="15">
        <v>2207.15</v>
      </c>
      <c r="G333" s="15">
        <f>8750.9+30803.4+6353.1+39119+72017.4+62173+64766.2</f>
        <v>283983</v>
      </c>
      <c r="H333" s="15">
        <f>118600+73100+21921.8+137250+66000+17500+58028.67+97013.6+98534.8+33052.55+27349</f>
        <v>748350.42</v>
      </c>
      <c r="I333" s="37">
        <f t="shared" si="28"/>
        <v>1034540.5700000001</v>
      </c>
      <c r="J333" s="15">
        <f t="shared" si="26"/>
        <v>0.45000000018626451</v>
      </c>
      <c r="K333" s="4"/>
      <c r="L333" s="60" t="s">
        <v>707</v>
      </c>
      <c r="M333" s="60"/>
    </row>
    <row r="334" spans="1:21" ht="15.75" x14ac:dyDescent="0.25">
      <c r="A334" s="9">
        <v>42259</v>
      </c>
      <c r="B334" s="10">
        <f>378115.34+785433.57</f>
        <v>1163548.9099999999</v>
      </c>
      <c r="C334" s="10">
        <f>34317.2+67272.2</f>
        <v>101589.4</v>
      </c>
      <c r="D334" s="11">
        <f t="shared" si="27"/>
        <v>1061959.51</v>
      </c>
      <c r="E334" s="25" t="s">
        <v>9</v>
      </c>
      <c r="F334" s="15">
        <v>12788.2</v>
      </c>
      <c r="G334" s="15">
        <v>178610.13</v>
      </c>
      <c r="H334" s="15">
        <f>36400+90050+235800+254100+2900+67350+160000+23961</f>
        <v>870561</v>
      </c>
      <c r="I334" s="37">
        <f t="shared" si="28"/>
        <v>1061959.3299999998</v>
      </c>
      <c r="J334" s="15">
        <f t="shared" si="26"/>
        <v>-0.18000000016763806</v>
      </c>
      <c r="K334" s="4"/>
      <c r="L334" s="4"/>
    </row>
    <row r="335" spans="1:21" ht="15.75" x14ac:dyDescent="0.25">
      <c r="A335" s="9">
        <v>42260</v>
      </c>
      <c r="B335" s="10">
        <f>177089.45+4487815.04</f>
        <v>4664904.49</v>
      </c>
      <c r="C335" s="10">
        <f>22685.5+13958</f>
        <v>36643.5</v>
      </c>
      <c r="D335" s="11">
        <f t="shared" si="27"/>
        <v>4628260.99</v>
      </c>
      <c r="E335" s="25" t="s">
        <v>9</v>
      </c>
      <c r="F335" s="15">
        <v>744.5</v>
      </c>
      <c r="G335" s="15">
        <f>8113.2+18912.5+10708.4+8411.8</f>
        <v>46145.899999999994</v>
      </c>
      <c r="H335" s="15">
        <f>126600+137000+191250+323750+155302.8+78650+90000+53700+125000+93200+150000+70000+50000+80000+100000+100000+72500+220000+48000+74820+20000+100000+123850+100000+50000+42000+88512+73000+14000+80000+374+38534+75000+70000+90000+50000+45000+38656+57000+3209.36+753.2+41982+51000+110000+3024+60000+41933+36000+10000+125000+2190.76+1988.99+70000+55000+70000+36474.5+30000+120000+374+17616+709+3242+5791+21500+28292+8418+75000+41960+14214</f>
        <v>4581370.6099999994</v>
      </c>
      <c r="I335" s="37">
        <f t="shared" si="28"/>
        <v>4628261.01</v>
      </c>
      <c r="J335" s="15">
        <f t="shared" si="26"/>
        <v>1.9999999552965164E-2</v>
      </c>
      <c r="K335" s="4"/>
      <c r="L335" s="4"/>
    </row>
    <row r="336" spans="1:21" ht="15.75" x14ac:dyDescent="0.25">
      <c r="A336" s="9">
        <v>42261</v>
      </c>
      <c r="B336" s="10">
        <f>427478.27+2144185.32</f>
        <v>2571663.59</v>
      </c>
      <c r="C336" s="10">
        <f>264344.78+249+154093.39</f>
        <v>418687.17000000004</v>
      </c>
      <c r="D336" s="11">
        <f t="shared" si="27"/>
        <v>2152976.42</v>
      </c>
      <c r="E336" s="25" t="s">
        <v>9</v>
      </c>
      <c r="F336" s="15">
        <v>24869.73</v>
      </c>
      <c r="G336" s="15">
        <v>5584.2</v>
      </c>
      <c r="H336" s="15">
        <f>31600+16600+42800+2800+32781.08+138200+40161.1+66484.8+33000+45023+40000+100000+23000+10378+26011.5+84002+65000+28000+28000+8035+55000+50000+902.5+14882+23022+31000+30000+42000+33757+40000+32000+30000+2020+7866+2562+82210+474+49273+28544+26749+28000+23094.5+25000+50000+29821+33700+50500+77650+78850+56350+28660+16850+12860+24640+19070+9840+49440+149.54+63900</f>
        <v>2122513.02</v>
      </c>
      <c r="I336" s="37">
        <f t="shared" si="28"/>
        <v>2152966.9500000002</v>
      </c>
      <c r="J336" s="15">
        <f t="shared" si="26"/>
        <v>-9.4699999997392297</v>
      </c>
      <c r="K336" s="4"/>
      <c r="L336" s="60" t="s">
        <v>673</v>
      </c>
      <c r="M336" s="60" t="s">
        <v>609</v>
      </c>
      <c r="N336" s="60"/>
      <c r="O336" s="60"/>
      <c r="P336" s="60"/>
    </row>
    <row r="337" spans="1:17" ht="15.75" x14ac:dyDescent="0.25">
      <c r="A337" s="9">
        <v>42262</v>
      </c>
      <c r="B337" s="10">
        <f>227317.35+694134.3</f>
        <v>921451.65</v>
      </c>
      <c r="C337" s="10">
        <f>84986.47+500+89927.34</f>
        <v>175413.81</v>
      </c>
      <c r="D337" s="11">
        <f t="shared" si="27"/>
        <v>746037.84000000008</v>
      </c>
      <c r="E337" s="25" t="s">
        <v>9</v>
      </c>
      <c r="F337" s="15">
        <v>4511.5</v>
      </c>
      <c r="G337" s="15">
        <v>7965.9</v>
      </c>
      <c r="H337" s="15">
        <f>59400+195800+125200+8000+122089+18500+37402+36648.2+12435.5+20000.27+6216+4344.6+87525</f>
        <v>733560.57</v>
      </c>
      <c r="I337" s="37">
        <f t="shared" si="28"/>
        <v>746037.97</v>
      </c>
      <c r="J337" s="15">
        <f t="shared" si="26"/>
        <v>0.12999999988824129</v>
      </c>
      <c r="K337" s="4"/>
      <c r="L337" s="60" t="s">
        <v>674</v>
      </c>
      <c r="M337" s="60"/>
      <c r="N337" s="60"/>
      <c r="O337" s="60"/>
    </row>
    <row r="338" spans="1:17" ht="15.75" x14ac:dyDescent="0.25">
      <c r="A338" s="9">
        <v>42263</v>
      </c>
      <c r="B338" s="10">
        <f>93662.85+1472312.5</f>
        <v>1565975.35</v>
      </c>
      <c r="C338" s="10">
        <f>82969.7+470+202791.98</f>
        <v>286231.67999999999</v>
      </c>
      <c r="D338" s="11">
        <f t="shared" si="27"/>
        <v>1279743.6700000002</v>
      </c>
      <c r="E338" s="25" t="s">
        <v>9</v>
      </c>
      <c r="F338" s="15">
        <v>5556.13</v>
      </c>
      <c r="G338" s="15">
        <f>87063.6+65331.7+194429.1+188260.6</f>
        <v>535085</v>
      </c>
      <c r="H338" s="15">
        <f>186560+36500+120000+7851+184000+122239+20365+1+33132+28455.2</f>
        <v>739103.2</v>
      </c>
      <c r="I338" s="37">
        <f t="shared" si="28"/>
        <v>1279744.3299999998</v>
      </c>
      <c r="J338" s="15">
        <f t="shared" si="26"/>
        <v>0.65999999968335032</v>
      </c>
      <c r="K338" s="98">
        <v>188260.6</v>
      </c>
      <c r="L338" s="4"/>
      <c r="M338" s="60" t="s">
        <v>862</v>
      </c>
      <c r="N338" s="60"/>
      <c r="O338" s="60"/>
      <c r="P338" s="60"/>
      <c r="Q338" s="60"/>
    </row>
    <row r="339" spans="1:17" ht="15.75" x14ac:dyDescent="0.25">
      <c r="A339" s="9">
        <v>42264</v>
      </c>
      <c r="B339" s="10">
        <f>268897.1+1119156.35</f>
        <v>1388053.4500000002</v>
      </c>
      <c r="C339" s="10">
        <f>35023.89+560+500+305+270+76074.65</f>
        <v>112733.54</v>
      </c>
      <c r="D339" s="11">
        <f t="shared" si="27"/>
        <v>1275319.9100000001</v>
      </c>
      <c r="E339" s="25" t="s">
        <v>9</v>
      </c>
      <c r="F339" s="15">
        <v>3116.4</v>
      </c>
      <c r="G339" s="15">
        <v>5617.2</v>
      </c>
      <c r="H339" s="15">
        <f>63210+59100+118718+110000+39591+69500+561+140+39261+28415+22635+24980.5+62395+48546+55725+32158+42329+26761+36881+92068+58564.5+23851+32385+28108+29000+8113.5+46650+66940</f>
        <v>1266586.5</v>
      </c>
      <c r="I339" s="37">
        <f t="shared" si="28"/>
        <v>1275320.0999999999</v>
      </c>
      <c r="J339" s="15">
        <f t="shared" si="26"/>
        <v>0.18999999971129</v>
      </c>
      <c r="K339" s="4"/>
      <c r="L339" s="60" t="s">
        <v>769</v>
      </c>
      <c r="M339" s="60"/>
      <c r="N339" s="60"/>
      <c r="O339" s="60"/>
      <c r="P339" s="60"/>
      <c r="Q339" s="60"/>
    </row>
    <row r="340" spans="1:17" ht="15.75" x14ac:dyDescent="0.25">
      <c r="A340" s="9">
        <v>42265</v>
      </c>
      <c r="B340" s="10">
        <f>270229.84+632081.88</f>
        <v>902311.72</v>
      </c>
      <c r="C340" s="10">
        <f>11656.12+230+520+300+108317</f>
        <v>121023.12</v>
      </c>
      <c r="D340" s="11">
        <f t="shared" si="27"/>
        <v>781288.6</v>
      </c>
      <c r="E340" s="25" t="s">
        <v>9</v>
      </c>
      <c r="F340" s="15">
        <v>2943</v>
      </c>
      <c r="G340" s="15">
        <f>8192.9</f>
        <v>8192.9</v>
      </c>
      <c r="H340" s="15">
        <f>99100+67000+9264.4+11249.52+8047.26+10668.88+10490.22+6541.6+153000+148150+89000+28400+27+4162+35107+45098+15366+11937+11101+11243</f>
        <v>774952.88</v>
      </c>
      <c r="I340" s="37">
        <f t="shared" si="28"/>
        <v>786088.78</v>
      </c>
      <c r="J340" s="15">
        <f t="shared" si="26"/>
        <v>4800.1800000000512</v>
      </c>
      <c r="K340" s="4"/>
      <c r="L340" s="60" t="s">
        <v>675</v>
      </c>
      <c r="M340" s="60"/>
      <c r="N340" s="60"/>
    </row>
    <row r="341" spans="1:17" ht="15.75" x14ac:dyDescent="0.25">
      <c r="A341" s="9">
        <v>42266</v>
      </c>
      <c r="B341" s="10">
        <f>288096.06+1191676.43</f>
        <v>1479772.49</v>
      </c>
      <c r="C341" s="10">
        <f>20291+47400</f>
        <v>67691</v>
      </c>
      <c r="D341" s="11">
        <f t="shared" si="27"/>
        <v>1412081.49</v>
      </c>
      <c r="E341" s="25" t="s">
        <v>9</v>
      </c>
      <c r="F341" s="15">
        <v>8991.7999999999993</v>
      </c>
      <c r="G341" s="15">
        <f>5121.2+59615.3+25016.8+119505.55+56669.25+57319.6</f>
        <v>323247.69999999995</v>
      </c>
      <c r="H341" s="15">
        <f>54290+50750+75800+60470+182650+52587.5+29979+33682.1+6000+36000+2100+39724.5+13713+29336.5+12741+181077+8437.5+36525+35000+55218+70717+17053</f>
        <v>1083851.1000000001</v>
      </c>
      <c r="I341" s="37">
        <f t="shared" si="28"/>
        <v>1416090.6</v>
      </c>
      <c r="J341" s="15">
        <f t="shared" si="26"/>
        <v>4009.1100000001024</v>
      </c>
      <c r="K341" s="4"/>
      <c r="L341" s="60" t="s">
        <v>676</v>
      </c>
      <c r="M341" s="60"/>
      <c r="N341" s="60"/>
    </row>
    <row r="342" spans="1:17" ht="15.75" x14ac:dyDescent="0.25">
      <c r="A342" s="9">
        <v>42267</v>
      </c>
      <c r="B342" s="10">
        <f>139630.86+2481211.44</f>
        <v>2620842.2999999998</v>
      </c>
      <c r="C342" s="10">
        <f>3238+30+20877.76</f>
        <v>24145.759999999998</v>
      </c>
      <c r="D342" s="11">
        <f t="shared" si="27"/>
        <v>2596696.54</v>
      </c>
      <c r="E342" s="25" t="s">
        <v>9</v>
      </c>
      <c r="F342" s="15">
        <v>51903.7</v>
      </c>
      <c r="G342" s="15">
        <v>6686.7</v>
      </c>
      <c r="H342" s="15">
        <f>186650+100100+22634+177114+16908+63000+40000+880+41693+14028+50000+43000+21498+36901+40000+66000+78526+32295.5+40164+40000+30000+70000+41695+50000+11580+135000+55274+6877.89+15083.36+65000+109000+45446+81000+31000+36480+95000+2288+1180+55200+43050+92550+36800+10720+89300+78150+57640+36900+44500</f>
        <v>2538105.75</v>
      </c>
      <c r="I342" s="37">
        <f t="shared" si="28"/>
        <v>2596696.1500000004</v>
      </c>
      <c r="J342" s="15">
        <f t="shared" si="26"/>
        <v>-0.38999999966472387</v>
      </c>
      <c r="K342" s="4"/>
      <c r="L342" s="4"/>
    </row>
    <row r="343" spans="1:17" ht="15.75" x14ac:dyDescent="0.25">
      <c r="A343" s="9">
        <v>42268</v>
      </c>
      <c r="B343" s="10">
        <f>364317.78+540221.44</f>
        <v>904539.22</v>
      </c>
      <c r="C343" s="10">
        <f>15119.33+121105.26</f>
        <v>136224.59</v>
      </c>
      <c r="D343" s="11">
        <f t="shared" si="27"/>
        <v>768314.63</v>
      </c>
      <c r="E343" s="25" t="s">
        <v>9</v>
      </c>
      <c r="F343" s="15">
        <v>1059.71</v>
      </c>
      <c r="G343" s="15">
        <f>18314.4+10869.8+8291.9+8295.4+3806.4</f>
        <v>49577.9</v>
      </c>
      <c r="H343" s="15">
        <f>120000+5241.6+44703.8+14113.6+6673.24+11859+83737+18026.5+9054+55183+12574.5+53132+12891+2757+117210.5+30347+14177+57229+121508</f>
        <v>790417.74</v>
      </c>
      <c r="I343" s="37">
        <f t="shared" si="28"/>
        <v>841055.35</v>
      </c>
      <c r="J343" s="15">
        <f t="shared" si="26"/>
        <v>72740.719999999972</v>
      </c>
      <c r="K343" s="15"/>
      <c r="L343" s="60" t="s">
        <v>677</v>
      </c>
      <c r="M343" s="60"/>
      <c r="N343" s="60"/>
      <c r="O343" s="60"/>
    </row>
    <row r="344" spans="1:17" ht="15.75" x14ac:dyDescent="0.25">
      <c r="A344" s="9">
        <v>42269</v>
      </c>
      <c r="B344" s="10">
        <f>202590.88+1890253.75</f>
        <v>2092844.63</v>
      </c>
      <c r="C344" s="10">
        <f>49585.77+5441.89</f>
        <v>55027.659999999996</v>
      </c>
      <c r="D344" s="11">
        <f t="shared" si="27"/>
        <v>2037816.97</v>
      </c>
      <c r="E344" s="25" t="s">
        <v>9</v>
      </c>
      <c r="F344" s="15">
        <v>433514.4</v>
      </c>
      <c r="G344" s="15">
        <f>1800</f>
        <v>1800</v>
      </c>
      <c r="H344" s="15">
        <f>4807+79991+99100+47200+50309+7053+16852+33312+48983.5+28561.5+24521.8+57000+30000+200+25000+32233.5+54000+25000+32721.5+50000+13863+90000+37527.5+96500+40123+125000+70000+318+2200+41591+135000+84000+42602.5</f>
        <v>1525570.8</v>
      </c>
      <c r="I344" s="37">
        <f t="shared" si="28"/>
        <v>1960885.2000000002</v>
      </c>
      <c r="J344" s="15">
        <f t="shared" si="26"/>
        <v>-76931.769999999786</v>
      </c>
      <c r="K344" s="4"/>
      <c r="L344" s="39" t="s">
        <v>698</v>
      </c>
      <c r="M344" s="60" t="s">
        <v>644</v>
      </c>
      <c r="N344" s="60"/>
      <c r="O344" s="60"/>
      <c r="P344" s="60"/>
      <c r="Q344" s="60"/>
    </row>
    <row r="345" spans="1:17" ht="15.75" x14ac:dyDescent="0.25">
      <c r="A345" s="9">
        <v>42270</v>
      </c>
      <c r="B345" s="10">
        <f>250630.55+3385915.32</f>
        <v>3636545.8699999996</v>
      </c>
      <c r="C345" s="10">
        <f>16465.29</f>
        <v>16465.29</v>
      </c>
      <c r="D345" s="11">
        <f t="shared" si="27"/>
        <v>3620080.5799999996</v>
      </c>
      <c r="E345" s="25" t="s">
        <v>9</v>
      </c>
      <c r="F345" s="15">
        <v>16371</v>
      </c>
      <c r="G345" s="15">
        <f>26527.32+5400.1</f>
        <v>31927.42</v>
      </c>
      <c r="H345" s="15">
        <f>36495+32000+31060+45855+103300+54100+38685+35651+27806.5+12644+102877.37+101485.7+1857.6+58471.2+147068.8+354.9+30500+72928.55+38588+25000+50000+50000+29160+15960+5913+35450+37890.5+85000+2944+39116+53000+106000+145000+38188+80000+60000+38543+90000+60000+150000+176.5+1684.8+96000+80000+180000+81000+95000+38272.5+6020+44209+101000+70000+1020+16611.4+10052+700.5+9400+22000+15153+42591.5+100000+127000+140000+125000</f>
        <v>3571784.32</v>
      </c>
      <c r="I345" s="37">
        <f t="shared" si="28"/>
        <v>3620082.7399999998</v>
      </c>
      <c r="J345" s="15">
        <f t="shared" si="26"/>
        <v>2.1600000001490116</v>
      </c>
      <c r="K345" s="4"/>
    </row>
    <row r="346" spans="1:17" ht="15.75" x14ac:dyDescent="0.25">
      <c r="A346" s="9">
        <v>42271</v>
      </c>
      <c r="B346" s="10">
        <f>306990.72+1070013.02</f>
        <v>1377003.74</v>
      </c>
      <c r="C346" s="10">
        <f>31353.5+280+261.5+190+500+67098.2</f>
        <v>99683.199999999997</v>
      </c>
      <c r="D346" s="11">
        <f t="shared" si="27"/>
        <v>1277320.54</v>
      </c>
      <c r="E346" s="25" t="s">
        <v>9</v>
      </c>
      <c r="F346" s="15">
        <v>22020.15</v>
      </c>
      <c r="G346" s="15">
        <f>3681.42+50341.5+33617.5</f>
        <v>87640.42</v>
      </c>
      <c r="H346" s="15">
        <f>30832+59996.5+24885+23219+25809+41900+102440+71900+50500+7446.4+5067.6+4000+5512+31508.5+34511+17346+72633.5+46875+44341+905+70450+77450+64600+75000+35683.5+50000+65000+27851</f>
        <v>1167662</v>
      </c>
      <c r="I346" s="37">
        <f t="shared" si="28"/>
        <v>1277322.5699999998</v>
      </c>
      <c r="J346" s="15">
        <f t="shared" si="26"/>
        <v>2.029999999795109</v>
      </c>
      <c r="K346" s="15"/>
      <c r="L346" s="4"/>
    </row>
    <row r="347" spans="1:17" ht="15.75" x14ac:dyDescent="0.25">
      <c r="A347" s="9">
        <v>42272</v>
      </c>
      <c r="B347" s="79">
        <f>429762.81+357428.88</f>
        <v>787191.69</v>
      </c>
      <c r="C347" s="80">
        <f>15521+520+84665.1</f>
        <v>100706.1</v>
      </c>
      <c r="D347" s="11">
        <f t="shared" si="27"/>
        <v>686485.59</v>
      </c>
      <c r="E347" s="42"/>
      <c r="F347" s="15">
        <v>103182.42</v>
      </c>
      <c r="G347" s="15">
        <v>7596.4</v>
      </c>
      <c r="H347" s="15">
        <f>117526.5+78500+82300+104750+41034+42353+59950+47515</f>
        <v>573928.5</v>
      </c>
      <c r="I347" s="37">
        <f t="shared" si="28"/>
        <v>684707.32000000007</v>
      </c>
      <c r="J347" s="15">
        <f t="shared" si="26"/>
        <v>-1778.2699999999022</v>
      </c>
      <c r="K347" s="4"/>
      <c r="L347" s="39" t="s">
        <v>701</v>
      </c>
    </row>
    <row r="348" spans="1:17" ht="15.75" x14ac:dyDescent="0.25">
      <c r="A348" s="9">
        <v>42273</v>
      </c>
      <c r="B348" s="10">
        <f>439119.2+3122999.62</f>
        <v>3562118.8200000003</v>
      </c>
      <c r="C348" s="10">
        <f>9313.91</f>
        <v>9313.91</v>
      </c>
      <c r="D348" s="11">
        <f t="shared" si="27"/>
        <v>3552804.91</v>
      </c>
      <c r="E348" s="25" t="s">
        <v>9</v>
      </c>
      <c r="F348" s="15">
        <v>2624.15</v>
      </c>
      <c r="G348" s="15">
        <f>8645.85+97754.9+62945+83076.5+54940.2+51839.4+67055.18+126599.55+65464.9</f>
        <v>618321.4800000001</v>
      </c>
      <c r="H348" s="15">
        <f>85078+158070+18326+13472+85300+23600+96200+90175+34297+26580.5+151100+61000+41732+102000+11131.08+131000+38585.5+92000+45000+38755.5+34843.5+60000+45000+33402+45000+22724.9+24426+38190+43614.4+87561.3+20000+223000+145601+316350+140000+185210+49469.75+30000+43065+1000</f>
        <v>2931860.4299999997</v>
      </c>
      <c r="I348" s="37">
        <f t="shared" si="28"/>
        <v>3552806.0599999996</v>
      </c>
      <c r="J348" s="15">
        <f t="shared" si="26"/>
        <v>1.1499999994412065</v>
      </c>
      <c r="K348" s="4"/>
      <c r="L348" s="60" t="s">
        <v>734</v>
      </c>
      <c r="M348" s="60"/>
    </row>
    <row r="349" spans="1:17" ht="15.75" x14ac:dyDescent="0.25">
      <c r="A349" s="9">
        <v>42274</v>
      </c>
      <c r="B349" s="10">
        <f>239503.82+280625.43</f>
        <v>520129.25</v>
      </c>
      <c r="C349" s="10">
        <f>18686+280+12089</f>
        <v>31055</v>
      </c>
      <c r="D349" s="11">
        <f t="shared" si="27"/>
        <v>489074.25</v>
      </c>
      <c r="E349" s="25" t="s">
        <v>9</v>
      </c>
      <c r="F349" s="15">
        <v>0</v>
      </c>
      <c r="G349" s="15">
        <f>10097.7+9805.4+10810.4+20465.3</f>
        <v>51178.8</v>
      </c>
      <c r="H349" s="15">
        <f>100000+104200+22100+178900+32685.5</f>
        <v>437885.5</v>
      </c>
      <c r="I349" s="37">
        <f t="shared" si="28"/>
        <v>489064.3</v>
      </c>
      <c r="J349" s="15">
        <f t="shared" si="26"/>
        <v>-9.9500000000116415</v>
      </c>
      <c r="K349" s="4"/>
      <c r="L349" s="74" t="s">
        <v>702</v>
      </c>
      <c r="M349" s="74"/>
      <c r="N349" s="74"/>
    </row>
    <row r="350" spans="1:17" ht="15.75" x14ac:dyDescent="0.25">
      <c r="A350" s="9">
        <v>42275</v>
      </c>
      <c r="B350" s="10">
        <f>208376.1+573810.41</f>
        <v>782186.51</v>
      </c>
      <c r="C350" s="10">
        <f>19521.45+427+173126</f>
        <v>193074.45</v>
      </c>
      <c r="D350" s="11">
        <f t="shared" si="27"/>
        <v>589112.06000000006</v>
      </c>
      <c r="E350" s="42"/>
      <c r="F350" s="15">
        <v>532.6</v>
      </c>
      <c r="G350" s="15">
        <v>0</v>
      </c>
      <c r="H350" s="15">
        <f>40689+17236.5+18030+28183.5+19318+25750+254500+66521+16929.1+61705+2248.5+14769.2</f>
        <v>565879.79999999993</v>
      </c>
      <c r="I350" s="37">
        <f t="shared" si="28"/>
        <v>566412.39999999991</v>
      </c>
      <c r="J350" s="15">
        <f t="shared" si="26"/>
        <v>-22699.660000000149</v>
      </c>
      <c r="K350" s="4"/>
      <c r="L350" s="39" t="s">
        <v>758</v>
      </c>
    </row>
    <row r="351" spans="1:17" ht="15.75" x14ac:dyDescent="0.25">
      <c r="A351" s="9">
        <v>42276</v>
      </c>
      <c r="B351" s="10">
        <f>333534.38+747214.65</f>
        <v>1080749.03</v>
      </c>
      <c r="C351" s="10">
        <f>126179.41+280+488+248577.13</f>
        <v>375524.54000000004</v>
      </c>
      <c r="D351" s="11">
        <f t="shared" si="27"/>
        <v>705224.49</v>
      </c>
      <c r="E351" s="25" t="s">
        <v>9</v>
      </c>
      <c r="F351" s="15">
        <v>330.6</v>
      </c>
      <c r="G351" s="15">
        <v>9734</v>
      </c>
      <c r="H351" s="15">
        <f>100000+46668.4+9955.2+26710+500+32187+52968+72200+58070+46450+32950+25100+46450+32800+31530+50000+30621</f>
        <v>695159.6</v>
      </c>
      <c r="I351" s="37">
        <f t="shared" si="28"/>
        <v>705224.2</v>
      </c>
      <c r="J351" s="15">
        <f t="shared" si="26"/>
        <v>-0.2900000000372529</v>
      </c>
      <c r="K351" s="4"/>
      <c r="L351" s="4"/>
    </row>
    <row r="352" spans="1:17" ht="15.75" x14ac:dyDescent="0.25">
      <c r="A352" s="9">
        <v>42277</v>
      </c>
      <c r="B352" s="10">
        <f>205640.29+1506131.86</f>
        <v>1711772.1500000001</v>
      </c>
      <c r="C352" s="10">
        <f>100875.5+470+122366.6</f>
        <v>223712.1</v>
      </c>
      <c r="D352" s="11">
        <f t="shared" si="27"/>
        <v>1488060.05</v>
      </c>
      <c r="E352" s="25" t="s">
        <v>9</v>
      </c>
      <c r="F352" s="15">
        <v>0</v>
      </c>
      <c r="G352" s="15">
        <f>30060+3916+20628.3+131173.23</f>
        <v>185777.53000000003</v>
      </c>
      <c r="H352" s="15">
        <f>104840+74600+3794+18118.8+159383.22+12919.4+5928+7497+29116.5+86000+18290+56337+15300+100000+5470+43000+38370.5+37250.5+35000+125000+110000+62000+49000+58200+46868</f>
        <v>1302282.92</v>
      </c>
      <c r="I352" s="37">
        <f t="shared" si="28"/>
        <v>1488060.45</v>
      </c>
      <c r="J352" s="15">
        <f t="shared" si="26"/>
        <v>0.39999999990686774</v>
      </c>
      <c r="K352" s="4"/>
      <c r="L352" s="4"/>
    </row>
    <row r="353" spans="1:18" ht="15.75" x14ac:dyDescent="0.25">
      <c r="A353" s="9"/>
      <c r="B353" s="10"/>
      <c r="C353" s="10"/>
      <c r="D353" s="11">
        <f t="shared" si="27"/>
        <v>0</v>
      </c>
      <c r="E353" s="25"/>
      <c r="F353" s="15"/>
      <c r="G353" s="15"/>
      <c r="H353" s="15"/>
      <c r="I353" s="37">
        <f t="shared" si="28"/>
        <v>0</v>
      </c>
      <c r="J353" s="15">
        <f t="shared" si="26"/>
        <v>0</v>
      </c>
      <c r="K353" s="4"/>
    </row>
    <row r="354" spans="1:18" ht="15.75" x14ac:dyDescent="0.25">
      <c r="A354" s="9"/>
      <c r="B354" s="10"/>
      <c r="C354" s="10"/>
      <c r="D354" s="11">
        <f t="shared" si="27"/>
        <v>0</v>
      </c>
      <c r="E354" s="4"/>
      <c r="F354" s="4"/>
      <c r="G354" s="15"/>
      <c r="H354" s="15"/>
      <c r="I354" s="4"/>
      <c r="J354" s="15">
        <f t="shared" si="26"/>
        <v>0</v>
      </c>
      <c r="K354" s="4"/>
    </row>
    <row r="355" spans="1:18" ht="15.75" x14ac:dyDescent="0.25">
      <c r="A355" s="9"/>
      <c r="B355" s="10"/>
      <c r="C355" s="10"/>
      <c r="D355" s="11">
        <f t="shared" si="27"/>
        <v>0</v>
      </c>
      <c r="E355" s="4"/>
      <c r="F355" s="4"/>
      <c r="G355" s="15"/>
      <c r="H355" s="15"/>
      <c r="I355" s="4"/>
      <c r="J355" s="15">
        <f t="shared" si="26"/>
        <v>0</v>
      </c>
      <c r="K355" s="4"/>
    </row>
    <row r="356" spans="1:18" ht="15.75" x14ac:dyDescent="0.25">
      <c r="A356" s="9"/>
      <c r="B356" s="13"/>
      <c r="C356" s="10"/>
      <c r="D356" s="11">
        <f t="shared" si="27"/>
        <v>0</v>
      </c>
      <c r="E356" s="4"/>
      <c r="F356" s="4"/>
      <c r="G356" s="15"/>
      <c r="H356" s="15"/>
      <c r="I356" s="4"/>
      <c r="J356" s="15">
        <f t="shared" si="26"/>
        <v>0</v>
      </c>
      <c r="K356" s="4"/>
    </row>
    <row r="357" spans="1:18" ht="15.75" x14ac:dyDescent="0.25">
      <c r="A357" s="9"/>
      <c r="B357" s="10"/>
      <c r="C357" s="10"/>
      <c r="D357" s="11">
        <f t="shared" si="27"/>
        <v>0</v>
      </c>
      <c r="E357" s="4"/>
      <c r="F357" s="4"/>
      <c r="G357" s="15"/>
      <c r="H357" s="15"/>
      <c r="I357" s="4"/>
      <c r="J357" s="15">
        <f t="shared" si="26"/>
        <v>0</v>
      </c>
      <c r="K357" s="4"/>
    </row>
    <row r="358" spans="1:18" ht="15.75" x14ac:dyDescent="0.25">
      <c r="A358" s="14"/>
      <c r="B358" s="10">
        <f>SUM(B323:B357)</f>
        <v>53206352.219999991</v>
      </c>
      <c r="C358" s="10">
        <f>SUM(C323:C357)</f>
        <v>4041054.6100000008</v>
      </c>
      <c r="D358" s="11">
        <f t="shared" si="27"/>
        <v>49165297.609999992</v>
      </c>
      <c r="E358" s="4"/>
      <c r="F358" s="15"/>
      <c r="G358" s="15"/>
      <c r="H358" s="15"/>
      <c r="I358" s="4"/>
      <c r="J358" s="15">
        <f t="shared" si="26"/>
        <v>-49165297.609999992</v>
      </c>
      <c r="K358" s="4"/>
    </row>
    <row r="360" spans="1:18" ht="18.75" x14ac:dyDescent="0.3">
      <c r="A360" s="1"/>
      <c r="B360" s="57" t="s">
        <v>265</v>
      </c>
      <c r="C360" s="57"/>
      <c r="D360" s="2"/>
      <c r="E360" s="3"/>
      <c r="F360" s="4"/>
      <c r="G360" s="15"/>
      <c r="H360" s="4"/>
      <c r="I360" s="4"/>
      <c r="J360" s="4"/>
      <c r="K360" s="4"/>
    </row>
    <row r="361" spans="1:18" ht="15.75" x14ac:dyDescent="0.25">
      <c r="A361" s="5"/>
      <c r="B361" s="6"/>
      <c r="C361" s="23" t="s">
        <v>6</v>
      </c>
      <c r="D361" s="7"/>
      <c r="E361" s="3"/>
      <c r="F361" s="4"/>
      <c r="G361" s="15"/>
      <c r="H361" s="4"/>
      <c r="I361" s="4"/>
      <c r="J361" s="4"/>
      <c r="K361" s="4"/>
    </row>
    <row r="362" spans="1:18" ht="16.5" thickBot="1" x14ac:dyDescent="0.3">
      <c r="A362" s="19" t="s">
        <v>0</v>
      </c>
      <c r="B362" s="20" t="s">
        <v>1</v>
      </c>
      <c r="C362" s="21" t="s">
        <v>2</v>
      </c>
      <c r="D362" s="22" t="s">
        <v>4</v>
      </c>
      <c r="E362" s="3"/>
      <c r="F362" s="38" t="s">
        <v>19</v>
      </c>
      <c r="G362" s="32" t="s">
        <v>10</v>
      </c>
      <c r="H362" s="27" t="s">
        <v>8</v>
      </c>
      <c r="I362" s="50"/>
      <c r="J362" s="33" t="s">
        <v>11</v>
      </c>
      <c r="K362" s="34" t="s">
        <v>13</v>
      </c>
    </row>
    <row r="363" spans="1:18" ht="16.5" thickTop="1" x14ac:dyDescent="0.25">
      <c r="A363" s="9">
        <v>42278</v>
      </c>
      <c r="B363" s="10">
        <f>349560.95+1410837.68</f>
        <v>1760398.63</v>
      </c>
      <c r="C363" s="10">
        <f>22665.57+427+213133.49</f>
        <v>236226.06</v>
      </c>
      <c r="D363" s="11">
        <f>B363-C363</f>
        <v>1524172.5699999998</v>
      </c>
      <c r="E363" s="25" t="s">
        <v>9</v>
      </c>
      <c r="F363" s="15">
        <v>44.55</v>
      </c>
      <c r="G363" s="15">
        <f>3493.2+30300</f>
        <v>33793.199999999997</v>
      </c>
      <c r="H363" s="15">
        <f>3900+69300+98250+111580+35108+21139.7+3321+16695.3+884+28988.9+12667.1+16377+16981.5+33050+33000+124000+40138.5+146000+597+43523.5+99000+117000+419833.64</f>
        <v>1491335.1400000001</v>
      </c>
      <c r="I363" s="37">
        <f>H363+G363+F363</f>
        <v>1525172.8900000001</v>
      </c>
      <c r="J363" s="15">
        <f t="shared" ref="J363:J398" si="29">H363+G363+F363-D363</f>
        <v>1000.320000000298</v>
      </c>
      <c r="K363" s="4"/>
      <c r="L363" s="60" t="s">
        <v>759</v>
      </c>
      <c r="M363" s="60"/>
      <c r="N363" s="60"/>
      <c r="O363" s="60"/>
      <c r="P363" s="60"/>
      <c r="Q363" s="60"/>
      <c r="R363" s="60"/>
    </row>
    <row r="364" spans="1:18" ht="15.75" x14ac:dyDescent="0.25">
      <c r="A364" s="9">
        <v>42279</v>
      </c>
      <c r="B364" s="10">
        <f>314999.45+196308.6</f>
        <v>511308.05000000005</v>
      </c>
      <c r="C364" s="10">
        <f>11651.5+520+2500</f>
        <v>14671.5</v>
      </c>
      <c r="D364" s="11">
        <f t="shared" ref="D364:D398" si="30">B364-C364</f>
        <v>496636.55000000005</v>
      </c>
      <c r="E364" s="42"/>
      <c r="F364" s="31">
        <v>893.1</v>
      </c>
      <c r="G364" s="31">
        <v>4460.3</v>
      </c>
      <c r="H364" s="15">
        <f>54500+48800+7480+9500+90600+100+38000+53970+52200+34633+31700+64800</f>
        <v>486283</v>
      </c>
      <c r="I364" s="37">
        <f t="shared" ref="I364:I393" si="31">H364+G364+F364</f>
        <v>491636.39999999997</v>
      </c>
      <c r="J364" s="15">
        <f t="shared" si="29"/>
        <v>-5000.1500000000815</v>
      </c>
      <c r="K364" s="4"/>
      <c r="L364" s="39" t="s">
        <v>818</v>
      </c>
    </row>
    <row r="365" spans="1:18" ht="15.75" x14ac:dyDescent="0.25">
      <c r="A365" s="9">
        <v>42280</v>
      </c>
      <c r="B365" s="10">
        <f>330280.79+2343782.05</f>
        <v>2674062.84</v>
      </c>
      <c r="C365" s="10">
        <f>20595+65512.42</f>
        <v>86107.42</v>
      </c>
      <c r="D365" s="11">
        <f t="shared" si="30"/>
        <v>2587955.42</v>
      </c>
      <c r="E365" s="25" t="s">
        <v>9</v>
      </c>
      <c r="F365" s="15">
        <v>18069</v>
      </c>
      <c r="G365" s="15">
        <f>24914.9+103829.9+64627.8+129623+30946.5+63443+47533.88+2724.6+176001.8</f>
        <v>643645.37999999989</v>
      </c>
      <c r="H365" s="15">
        <f>72500+231100+373100+21112.92+19721.7+20000+27576+7502+45000+32000+20000+42000+981.5+6072+24150+20000+40000+39499+37327+45000+55000+37063+64000+41000+14936+38800+31450+34800+31600+61300+53420+75765+24640+36395+31013+20000+33666.5+46000+165000+14876.74+69000+50000+46055.2+7429.8+47333</f>
        <v>2255185.3600000003</v>
      </c>
      <c r="I365" s="37">
        <f t="shared" si="31"/>
        <v>2916899.74</v>
      </c>
      <c r="J365" s="15">
        <f t="shared" si="29"/>
        <v>328944.3200000003</v>
      </c>
      <c r="K365" s="97">
        <v>176001.8</v>
      </c>
      <c r="L365" s="60" t="s">
        <v>732</v>
      </c>
      <c r="M365" s="60"/>
      <c r="N365" s="60"/>
    </row>
    <row r="366" spans="1:18" ht="15.75" x14ac:dyDescent="0.25">
      <c r="A366" s="9">
        <v>42281</v>
      </c>
      <c r="B366" s="10">
        <f>177389.5+261182.95</f>
        <v>438572.45</v>
      </c>
      <c r="C366" s="10">
        <f>7968.6+470+13905.4</f>
        <v>22344</v>
      </c>
      <c r="D366" s="11">
        <f t="shared" si="30"/>
        <v>416228.45</v>
      </c>
      <c r="E366" s="25" t="s">
        <v>9</v>
      </c>
      <c r="F366" s="15">
        <v>1705.6</v>
      </c>
      <c r="G366" s="15">
        <v>3526</v>
      </c>
      <c r="H366" s="15">
        <f>50000+20000+100000+50000+56300+129800+4897</f>
        <v>410997</v>
      </c>
      <c r="I366" s="37">
        <f t="shared" si="31"/>
        <v>416228.6</v>
      </c>
      <c r="J366" s="15">
        <f t="shared" si="29"/>
        <v>0.1499999999650754</v>
      </c>
      <c r="K366" s="4"/>
      <c r="L366" s="4"/>
    </row>
    <row r="367" spans="1:18" ht="15.75" x14ac:dyDescent="0.25">
      <c r="A367" s="9">
        <v>42282</v>
      </c>
      <c r="B367" s="10">
        <f>341692.15+2401506.16</f>
        <v>2743198.31</v>
      </c>
      <c r="C367" s="10">
        <f>75942.23+575</f>
        <v>76517.23</v>
      </c>
      <c r="D367" s="11">
        <f t="shared" si="30"/>
        <v>2666681.08</v>
      </c>
      <c r="E367" s="25" t="s">
        <v>9</v>
      </c>
      <c r="F367" s="15">
        <v>7485.4</v>
      </c>
      <c r="G367" s="15">
        <f>9610+9766.4+20451.22+10500.2+20507.1+2745.3</f>
        <v>73580.220000000016</v>
      </c>
      <c r="H367" s="15">
        <f>115291+89150+56774+54100+513340+29020+8563.4+40224+76445.8+72747.5+94641.8+30000+45835+213516.36+361660+407870+47493</f>
        <v>2256671.8600000003</v>
      </c>
      <c r="I367" s="37">
        <f t="shared" si="31"/>
        <v>2337737.4800000004</v>
      </c>
      <c r="J367" s="15">
        <f t="shared" si="29"/>
        <v>-328943.59999999963</v>
      </c>
      <c r="K367" s="4"/>
      <c r="L367" s="60" t="s">
        <v>736</v>
      </c>
      <c r="M367" s="60" t="s">
        <v>706</v>
      </c>
      <c r="N367" s="60"/>
      <c r="O367" s="60"/>
      <c r="P367" s="60"/>
    </row>
    <row r="368" spans="1:18" ht="15.75" x14ac:dyDescent="0.25">
      <c r="A368" s="9">
        <v>42283</v>
      </c>
      <c r="B368" s="10">
        <f>303792.32+841701.65</f>
        <v>1145493.97</v>
      </c>
      <c r="C368" s="10">
        <f>41024+237+195905.48</f>
        <v>237166.48</v>
      </c>
      <c r="D368" s="11">
        <f t="shared" si="30"/>
        <v>908327.49</v>
      </c>
      <c r="E368" s="25" t="s">
        <v>9</v>
      </c>
      <c r="F368" s="15">
        <v>140972</v>
      </c>
      <c r="G368" s="15">
        <v>27856.6</v>
      </c>
      <c r="H368" s="15">
        <f>206300+158000+44700+72000+40770.5+70000+71000+36000+40731</f>
        <v>739501.5</v>
      </c>
      <c r="I368" s="37">
        <f t="shared" si="31"/>
        <v>908330.1</v>
      </c>
      <c r="J368" s="15">
        <f t="shared" si="29"/>
        <v>2.6099999999860302</v>
      </c>
      <c r="K368" s="4"/>
      <c r="L368" s="4"/>
    </row>
    <row r="369" spans="1:17" ht="15.75" x14ac:dyDescent="0.25">
      <c r="A369" s="9">
        <v>42284</v>
      </c>
      <c r="B369" s="10">
        <f>214014.87+1094104.37</f>
        <v>1308119.2400000002</v>
      </c>
      <c r="C369" s="10">
        <f>24371+3359.2</f>
        <v>27730.2</v>
      </c>
      <c r="D369" s="11">
        <f t="shared" si="30"/>
        <v>1280389.0400000003</v>
      </c>
      <c r="E369" s="25" t="s">
        <v>9</v>
      </c>
      <c r="F369" s="15">
        <v>41010.199999999997</v>
      </c>
      <c r="G369" s="15">
        <f>4065.3+124028.57</f>
        <v>128093.87000000001</v>
      </c>
      <c r="H369" s="15">
        <f>22170+81760+174200+61250+26119.44+26565.5+99056.22+38709.5+55000+47500+100000+35414.5+3279.72+128400+4132+66200+40000+39524+62004</f>
        <v>1111284.8799999999</v>
      </c>
      <c r="I369" s="37">
        <f t="shared" si="31"/>
        <v>1280388.95</v>
      </c>
      <c r="J369" s="15">
        <f t="shared" si="29"/>
        <v>-9.0000000316649675E-2</v>
      </c>
      <c r="K369" s="4"/>
      <c r="L369" s="4"/>
    </row>
    <row r="370" spans="1:17" ht="15.75" x14ac:dyDescent="0.25">
      <c r="A370" s="9">
        <v>42285</v>
      </c>
      <c r="B370" s="10">
        <f>281993.54+1371867.15</f>
        <v>1653860.69</v>
      </c>
      <c r="C370" s="10">
        <f>40384.28+50002.5</f>
        <v>90386.78</v>
      </c>
      <c r="D370" s="11">
        <f t="shared" si="30"/>
        <v>1563473.91</v>
      </c>
      <c r="E370" s="42"/>
      <c r="F370" s="15">
        <v>18174.599999999999</v>
      </c>
      <c r="G370" s="15">
        <f>5694.2</f>
        <v>5694.2</v>
      </c>
      <c r="H370" s="15">
        <f>69230+57960+140000+41600+32000+133950+135876.8+104199.35+77171.1+2000+43796+294000+20364+45000+20000+150000+2078.5+70000+37884.6+32248</f>
        <v>1509358.35</v>
      </c>
      <c r="I370" s="37">
        <f t="shared" si="31"/>
        <v>1533227.1500000001</v>
      </c>
      <c r="J370" s="15">
        <f t="shared" si="29"/>
        <v>-30246.759999999776</v>
      </c>
      <c r="K370" s="4"/>
      <c r="L370" s="39" t="s">
        <v>733</v>
      </c>
    </row>
    <row r="371" spans="1:17" ht="15.75" x14ac:dyDescent="0.25">
      <c r="A371" s="9">
        <v>42286</v>
      </c>
      <c r="B371" s="10">
        <f>377879.2+1076470.79</f>
        <v>1454349.99</v>
      </c>
      <c r="C371" s="10">
        <f>72254+300+470+115203.75</f>
        <v>188227.75</v>
      </c>
      <c r="D371" s="11">
        <f t="shared" si="30"/>
        <v>1266122.24</v>
      </c>
      <c r="E371" s="25" t="s">
        <v>9</v>
      </c>
      <c r="F371" s="15">
        <v>49780.6</v>
      </c>
      <c r="G371" s="15">
        <f>8451.6+7447</f>
        <v>15898.6</v>
      </c>
      <c r="H371" s="15">
        <f>125750+114200+48970+54899.5+32381.5+125000+105000+110000+37086+108000+40360+35557+17544.1+52943</f>
        <v>1007691.1</v>
      </c>
      <c r="I371" s="37">
        <f t="shared" si="31"/>
        <v>1073370.3</v>
      </c>
      <c r="J371" s="15">
        <f t="shared" si="29"/>
        <v>-192751.93999999994</v>
      </c>
      <c r="K371" s="4"/>
      <c r="L371" s="60" t="s">
        <v>743</v>
      </c>
      <c r="M371" s="60"/>
    </row>
    <row r="372" spans="1:17" ht="15.75" x14ac:dyDescent="0.25">
      <c r="A372" s="9">
        <v>42287</v>
      </c>
      <c r="B372" s="10">
        <f>194441+1423886.08</f>
        <v>1618327.08</v>
      </c>
      <c r="C372" s="10">
        <f>9852+91188.1</f>
        <v>101040.1</v>
      </c>
      <c r="D372" s="11">
        <f t="shared" si="30"/>
        <v>1517286.98</v>
      </c>
      <c r="E372" s="25" t="s">
        <v>9</v>
      </c>
      <c r="F372" s="15">
        <v>6416.7</v>
      </c>
      <c r="G372" s="15">
        <f>23724.6+28605.15+99003.4+38359.9+59266.35+24339+116085.69+161628.6</f>
        <v>551012.69000000006</v>
      </c>
      <c r="H372" s="15">
        <f>77+32300+90530+73620+121750+139700+111760+68330+92300+30343.02+1387.2+17440.8+56577.96+19661.9+14023.14+8653.36+81404</f>
        <v>959858.38</v>
      </c>
      <c r="I372" s="37">
        <f t="shared" si="31"/>
        <v>1517287.77</v>
      </c>
      <c r="J372" s="15">
        <f t="shared" si="29"/>
        <v>0.7900000000372529</v>
      </c>
      <c r="K372" s="98" t="s">
        <v>741</v>
      </c>
      <c r="L372" s="4"/>
      <c r="M372" s="4"/>
      <c r="N372" s="4"/>
    </row>
    <row r="373" spans="1:17" ht="15.75" x14ac:dyDescent="0.25">
      <c r="A373" s="9">
        <v>42288</v>
      </c>
      <c r="B373" s="10">
        <f>140453.3+169943.36</f>
        <v>310396.65999999997</v>
      </c>
      <c r="C373" s="10">
        <v>12995</v>
      </c>
      <c r="D373" s="11">
        <f t="shared" si="30"/>
        <v>297401.65999999997</v>
      </c>
      <c r="E373" s="25" t="s">
        <v>9</v>
      </c>
      <c r="F373" s="15">
        <v>438.7</v>
      </c>
      <c r="G373" s="15">
        <f>6084.8+4994.7</f>
        <v>11079.5</v>
      </c>
      <c r="H373" s="15">
        <f>36000+88000+53000+45000+60000+3883.5</f>
        <v>285883.5</v>
      </c>
      <c r="I373" s="37">
        <f t="shared" si="31"/>
        <v>297401.7</v>
      </c>
      <c r="J373" s="15">
        <f t="shared" si="29"/>
        <v>4.0000000037252903E-2</v>
      </c>
      <c r="K373" s="4"/>
      <c r="L373" s="4"/>
    </row>
    <row r="374" spans="1:17" ht="15.75" x14ac:dyDescent="0.25">
      <c r="A374" s="9">
        <v>42289</v>
      </c>
      <c r="B374" s="10">
        <f>370123.51+2317277.81</f>
        <v>2687401.3200000003</v>
      </c>
      <c r="C374" s="10">
        <f>24045+98929.5+136800</f>
        <v>259774.5</v>
      </c>
      <c r="D374" s="11">
        <f t="shared" si="30"/>
        <v>2427626.8200000003</v>
      </c>
      <c r="E374" s="25" t="s">
        <v>9</v>
      </c>
      <c r="F374" s="15">
        <v>6759.6</v>
      </c>
      <c r="G374" s="15">
        <f>23233.45+16022.3+10651.2+20757.8+10713+10477.6</f>
        <v>91855.35</v>
      </c>
      <c r="H374" s="15">
        <f>82610+72550+239150+58090+3500+31000+54243+75547+29040+12512+29355.5+37966.5+62549+50964+29000+23015.5+35810+77851.31+77540+43320+47370+56140+71340+91180+84510+58100+37599+65000+50000+44546+80000+21372.5+30000+58051+13300+40000+35000+47000+45000+32952+28081+49000+22773+49000+36304.5+9780</f>
        <v>2329012.81</v>
      </c>
      <c r="I374" s="37">
        <f t="shared" si="31"/>
        <v>2427627.7600000002</v>
      </c>
      <c r="J374" s="15">
        <f t="shared" si="29"/>
        <v>0.93999999994412065</v>
      </c>
      <c r="K374" s="4"/>
      <c r="L374" s="60" t="s">
        <v>770</v>
      </c>
      <c r="M374" s="60"/>
    </row>
    <row r="375" spans="1:17" ht="15.75" x14ac:dyDescent="0.25">
      <c r="A375" s="9">
        <v>42290</v>
      </c>
      <c r="B375" s="10">
        <f>349205.32+461224.19</f>
        <v>810429.51</v>
      </c>
      <c r="C375" s="10">
        <f>262828.2+156889.36</f>
        <v>419717.56</v>
      </c>
      <c r="D375" s="11">
        <f t="shared" si="30"/>
        <v>390711.95</v>
      </c>
      <c r="E375" s="25" t="s">
        <v>9</v>
      </c>
      <c r="F375" s="15">
        <v>5714</v>
      </c>
      <c r="G375" s="15">
        <v>3647</v>
      </c>
      <c r="H375" s="15">
        <f>135500+100000+31870+34500+39444+41036.44</f>
        <v>382350.44</v>
      </c>
      <c r="I375" s="37">
        <f t="shared" si="31"/>
        <v>391711.44</v>
      </c>
      <c r="J375" s="15">
        <f t="shared" si="29"/>
        <v>999.48999999999069</v>
      </c>
      <c r="K375" s="4"/>
      <c r="L375" s="60" t="s">
        <v>737</v>
      </c>
      <c r="M375" s="60" t="s">
        <v>729</v>
      </c>
      <c r="N375" s="60"/>
      <c r="O375" s="60"/>
      <c r="P375" s="60"/>
      <c r="Q375" s="60"/>
    </row>
    <row r="376" spans="1:17" ht="15.75" x14ac:dyDescent="0.25">
      <c r="A376" s="9">
        <v>42291</v>
      </c>
      <c r="B376" s="10">
        <f>243702.94+1343082.95</f>
        <v>1586785.89</v>
      </c>
      <c r="C376" s="10">
        <f>57094.6+470+78025.68</f>
        <v>135590.28</v>
      </c>
      <c r="D376" s="11">
        <f t="shared" si="30"/>
        <v>1451195.6099999999</v>
      </c>
      <c r="E376" s="25" t="s">
        <v>9</v>
      </c>
      <c r="F376" s="15">
        <v>0</v>
      </c>
      <c r="G376" s="15">
        <f>3406+7346.1</f>
        <v>10752.1</v>
      </c>
      <c r="H376" s="15">
        <f>56700+85953+146180+153110+31078+24042+8453+3968.64+90000+50000+85000+34804+77500+95000+75000+32028.5+6500+34582.5+80000+105000+126000+7198+5730.2+2199.8+7842.4+3409.2+4257+2905.2+5000</f>
        <v>1439441.44</v>
      </c>
      <c r="I376" s="37">
        <f t="shared" si="31"/>
        <v>1450193.54</v>
      </c>
      <c r="J376" s="15">
        <f t="shared" si="29"/>
        <v>-1002.0699999998324</v>
      </c>
      <c r="K376" s="4"/>
      <c r="L376" s="60" t="s">
        <v>745</v>
      </c>
      <c r="M376" s="60"/>
    </row>
    <row r="377" spans="1:17" ht="15.75" x14ac:dyDescent="0.25">
      <c r="A377" s="9">
        <v>42292</v>
      </c>
      <c r="B377" s="10">
        <f>420330.41+590401.64</f>
        <v>1010732.05</v>
      </c>
      <c r="C377" s="10">
        <f>35636+95+79705.5</f>
        <v>115436.5</v>
      </c>
      <c r="D377" s="11">
        <f t="shared" si="30"/>
        <v>895295.55</v>
      </c>
      <c r="E377" s="25" t="s">
        <v>9</v>
      </c>
      <c r="F377" s="15">
        <v>2121.3000000000002</v>
      </c>
      <c r="G377" s="15">
        <v>33636.85</v>
      </c>
      <c r="H377" s="15">
        <f>99800+177000+303250+85820+89430+600+27384+43254.47+2000+31000</f>
        <v>859538.47</v>
      </c>
      <c r="I377" s="37">
        <f t="shared" si="31"/>
        <v>895296.62</v>
      </c>
      <c r="J377" s="15">
        <f t="shared" si="29"/>
        <v>1.0699999999487773</v>
      </c>
      <c r="K377" s="4"/>
      <c r="L377" s="4"/>
      <c r="M377" s="60" t="s">
        <v>746</v>
      </c>
      <c r="N377" s="60"/>
    </row>
    <row r="378" spans="1:17" ht="15.75" x14ac:dyDescent="0.25">
      <c r="A378" s="9">
        <v>42293</v>
      </c>
      <c r="B378" s="10">
        <f>502712.45+888912.11</f>
        <v>1391624.56</v>
      </c>
      <c r="C378" s="10">
        <f>36123.4+394.5+270370.56</f>
        <v>306888.46000000002</v>
      </c>
      <c r="D378" s="11">
        <f t="shared" si="30"/>
        <v>1084736.1000000001</v>
      </c>
      <c r="E378" s="25" t="s">
        <v>9</v>
      </c>
      <c r="F378" s="15">
        <v>8570.94</v>
      </c>
      <c r="G378" s="15">
        <f>8870.9+7040.1</f>
        <v>15911</v>
      </c>
      <c r="H378" s="15">
        <f>122500+175900+65000+60000+26050+57900+19050+28260+44500+90000+50000+25900+68169+73616+17845+37733+76482+11075.48+10213.4+60</f>
        <v>1060253.8799999999</v>
      </c>
      <c r="I378" s="37">
        <f t="shared" si="31"/>
        <v>1084735.8199999998</v>
      </c>
      <c r="J378" s="15">
        <f t="shared" si="29"/>
        <v>-0.28000000026077032</v>
      </c>
      <c r="K378" s="4"/>
      <c r="L378" s="4"/>
      <c r="M378" s="60" t="s">
        <v>749</v>
      </c>
      <c r="N378" s="60"/>
      <c r="O378" s="60"/>
      <c r="P378" s="60"/>
    </row>
    <row r="379" spans="1:17" ht="15.75" x14ac:dyDescent="0.25">
      <c r="A379" s="9">
        <v>42294</v>
      </c>
      <c r="B379" s="10">
        <f>385030.19+3190357.02</f>
        <v>3575387.21</v>
      </c>
      <c r="C379" s="10">
        <f>63282+354400.08</f>
        <v>417682.08</v>
      </c>
      <c r="D379" s="11">
        <f t="shared" si="30"/>
        <v>3157705.13</v>
      </c>
      <c r="E379" s="25" t="s">
        <v>9</v>
      </c>
      <c r="F379" s="15">
        <v>18957.03</v>
      </c>
      <c r="G379" s="15">
        <f>5647.6+24656.02+24951.7+46195.8+56351.1</f>
        <v>157802.22</v>
      </c>
      <c r="H379" s="15">
        <f>41700+330500+39193+19219.45+18279+70+47000.8+72038.4+29571.75+71900+71748.9+100012.7+41000+38648+49520.29+32615.5+30000+23880+43751+68000+70000+22172.5+24895+30000+35000+35000+50000+56934+11393+40000+39000+35000+27296.5+61579+67000+14300+6497+20000+25467.5+6655+40000+56500+55000+30000+13809+9484+6361.5+35000+50000+127000+95000+77000+18500+32394.5+34058+80000+185000+189000</f>
        <v>2980945.29</v>
      </c>
      <c r="I379" s="37">
        <f t="shared" si="31"/>
        <v>3157704.54</v>
      </c>
      <c r="J379" s="15">
        <f t="shared" si="29"/>
        <v>-0.58999999985098839</v>
      </c>
      <c r="K379" s="4"/>
      <c r="L379" s="4"/>
      <c r="M379" s="60" t="s">
        <v>750</v>
      </c>
      <c r="N379" s="60"/>
      <c r="O379" s="60"/>
    </row>
    <row r="380" spans="1:17" ht="15.75" x14ac:dyDescent="0.25">
      <c r="A380" s="9">
        <v>42295</v>
      </c>
      <c r="B380" s="10">
        <f>171194.07+279021.75</f>
        <v>450215.82</v>
      </c>
      <c r="C380" s="10">
        <f>6913.2</f>
        <v>6913.2</v>
      </c>
      <c r="D380" s="11">
        <f t="shared" si="30"/>
        <v>443302.62</v>
      </c>
      <c r="E380" s="25" t="s">
        <v>9</v>
      </c>
      <c r="F380" s="15">
        <v>928.2</v>
      </c>
      <c r="G380" s="15">
        <f>9964.3+10272.6+21440.4+9595.3+3024.3</f>
        <v>54296.900000000009</v>
      </c>
      <c r="H380" s="15">
        <f>35300+88000+90000+31200+140000+3577.5</f>
        <v>388077.5</v>
      </c>
      <c r="I380" s="37">
        <f t="shared" si="31"/>
        <v>443302.60000000003</v>
      </c>
      <c r="J380" s="15">
        <f t="shared" si="29"/>
        <v>-1.9999999960418791E-2</v>
      </c>
      <c r="K380" s="4"/>
    </row>
    <row r="381" spans="1:17" ht="15.75" x14ac:dyDescent="0.25">
      <c r="A381" s="9">
        <v>42296</v>
      </c>
      <c r="B381" s="10">
        <f>364503.44+2137570.19</f>
        <v>2502073.63</v>
      </c>
      <c r="C381" s="10">
        <f>64517.1+1197+99309.5</f>
        <v>165023.6</v>
      </c>
      <c r="D381" s="11">
        <f t="shared" si="30"/>
        <v>2337050.0299999998</v>
      </c>
      <c r="E381" s="25" t="s">
        <v>9</v>
      </c>
      <c r="F381" s="15">
        <v>0</v>
      </c>
      <c r="G381" s="15">
        <v>0</v>
      </c>
      <c r="H381" s="15">
        <f>186750+213700+96000+85100+39268+33216+40127+62903+57030+41740+30113+33401+94590+64780+8200.01+52900+76280+24190+59360+8495.82+10325+37983.5+140000+60000+80000+12000+35146+62000+70000+55000+40000+32957+31.5+20+44000+30000+41027.5+6192+25250+60000+53000+13837+80000+40136.5</f>
        <v>2337049.83</v>
      </c>
      <c r="I381" s="37">
        <f t="shared" si="31"/>
        <v>2337049.83</v>
      </c>
      <c r="J381" s="15">
        <f t="shared" si="29"/>
        <v>-0.19999999972060323</v>
      </c>
      <c r="K381" s="4"/>
      <c r="L381" s="4"/>
      <c r="M381" s="60" t="s">
        <v>753</v>
      </c>
    </row>
    <row r="382" spans="1:17" ht="15.75" x14ac:dyDescent="0.25">
      <c r="A382" s="9">
        <v>42297</v>
      </c>
      <c r="B382" s="10">
        <f>277663.53+1118819.98</f>
        <v>1396483.51</v>
      </c>
      <c r="C382" s="10">
        <f>27568+2000+96592.5</f>
        <v>126160.5</v>
      </c>
      <c r="D382" s="11">
        <f t="shared" si="30"/>
        <v>1270323.01</v>
      </c>
      <c r="E382" s="25" t="s">
        <v>9</v>
      </c>
      <c r="F382" s="15">
        <v>7037.6</v>
      </c>
      <c r="G382" s="15">
        <f>55033.85+19149.7+3149</f>
        <v>77332.55</v>
      </c>
      <c r="H382" s="15">
        <f>5858.5+104604+44400+24540+59862+114987+75365+21650+59950+121780+44044+10969.1+37054.4+40235.6+35500+76000+104198.5+205724</f>
        <v>1186722.1000000001</v>
      </c>
      <c r="I382" s="37">
        <f t="shared" si="31"/>
        <v>1271092.2500000002</v>
      </c>
      <c r="J382" s="15">
        <f t="shared" si="29"/>
        <v>769.24000000022352</v>
      </c>
      <c r="K382" s="4"/>
      <c r="L382" s="60" t="s">
        <v>887</v>
      </c>
      <c r="M382" s="60" t="s">
        <v>754</v>
      </c>
    </row>
    <row r="383" spans="1:17" ht="15.75" x14ac:dyDescent="0.25">
      <c r="A383" s="9">
        <v>42298</v>
      </c>
      <c r="B383" s="10">
        <f>281544.96+2868645.81</f>
        <v>3150190.77</v>
      </c>
      <c r="C383" s="10">
        <f>66209.6+520+1875+166660</f>
        <v>235264.6</v>
      </c>
      <c r="D383" s="11">
        <f t="shared" si="30"/>
        <v>2914926.17</v>
      </c>
      <c r="E383" s="25" t="s">
        <v>9</v>
      </c>
      <c r="F383" s="15">
        <v>121143</v>
      </c>
      <c r="G383" s="15">
        <f>131569.07+141472.11+199377.51</f>
        <v>472418.69</v>
      </c>
      <c r="H383" s="15">
        <f>10400+41600+49300+18175+48695+158330+79174+194238+100906+58727+175953+158138.4+18000+24000+5250+50000+19261+130000+100000+10250+50+90500+55750+23600+127750+350000+58273+14400+2421+14500+19000+48000+38700+23224</f>
        <v>2316565.4</v>
      </c>
      <c r="I383" s="37">
        <f t="shared" si="31"/>
        <v>2910127.09</v>
      </c>
      <c r="J383" s="15">
        <f t="shared" si="29"/>
        <v>-4799.0800000000745</v>
      </c>
      <c r="K383" s="15"/>
      <c r="L383" s="60" t="s">
        <v>819</v>
      </c>
      <c r="M383" s="60" t="s">
        <v>755</v>
      </c>
    </row>
    <row r="384" spans="1:17" ht="15.75" x14ac:dyDescent="0.25">
      <c r="A384" s="9">
        <v>42299</v>
      </c>
      <c r="B384" s="10">
        <f>319879.92+687626.99</f>
        <v>1007506.9099999999</v>
      </c>
      <c r="C384" s="10">
        <f>255086.42+300+575+39958.4</f>
        <v>295919.82</v>
      </c>
      <c r="D384" s="11">
        <f t="shared" si="30"/>
        <v>711587.08999999985</v>
      </c>
      <c r="E384" s="25" t="s">
        <v>9</v>
      </c>
      <c r="F384" s="15">
        <v>3965.5</v>
      </c>
      <c r="G384" s="15">
        <v>3548.8</v>
      </c>
      <c r="H384" s="15">
        <f>13614.25+30167+77233+122400+19954+3673.6+7377.4+14900+3495.2+3481+6780.4+66528+24822+45877.07+5000+258770</f>
        <v>704072.92</v>
      </c>
      <c r="I384" s="37">
        <f t="shared" si="31"/>
        <v>711587.22000000009</v>
      </c>
      <c r="J384" s="15">
        <f t="shared" si="29"/>
        <v>0.13000000023748726</v>
      </c>
      <c r="K384" s="4"/>
      <c r="L384" s="4"/>
      <c r="M384" s="252" t="s">
        <v>839</v>
      </c>
      <c r="N384" s="60"/>
      <c r="O384" s="60"/>
    </row>
    <row r="385" spans="1:16" ht="15.75" x14ac:dyDescent="0.25">
      <c r="A385" s="9">
        <v>42300</v>
      </c>
      <c r="B385" s="10">
        <f>520725.15+2426634.67</f>
        <v>2947359.82</v>
      </c>
      <c r="C385" s="10">
        <f>34161.69+520+65524.85</f>
        <v>100206.54000000001</v>
      </c>
      <c r="D385" s="11">
        <f t="shared" si="30"/>
        <v>2847153.28</v>
      </c>
      <c r="E385" s="25" t="s">
        <v>9</v>
      </c>
      <c r="F385" s="15">
        <v>6900</v>
      </c>
      <c r="G385" s="15">
        <v>6179.8</v>
      </c>
      <c r="H385" s="15">
        <f>30880+21650+59900+124680+252810+28965+5573.46+67707.9+2048+44096.8+72400+1265+6571.5+4901+70290+112170+35650+35227+43371+53795.5+57000+1976+12456.5+31194+80000+8248+50400+60000+31357+50000+60000+53000+40000+18042.5+75000+22750+62000+35000+65000+32775+105000+30000+62000+40000+32555.5+25000+33850+80000+110000+8280+40731.5+61500+70000+85000+130000+6</f>
        <v>2834074.16</v>
      </c>
      <c r="I385" s="37">
        <f t="shared" si="31"/>
        <v>2847153.96</v>
      </c>
      <c r="J385" s="15">
        <f t="shared" si="29"/>
        <v>0.68000000016763806</v>
      </c>
      <c r="K385" s="4"/>
      <c r="L385" s="4"/>
      <c r="M385" s="60" t="s">
        <v>761</v>
      </c>
      <c r="N385" s="60"/>
      <c r="O385" s="60"/>
      <c r="P385" s="60"/>
    </row>
    <row r="386" spans="1:16" ht="15.75" x14ac:dyDescent="0.25">
      <c r="A386" s="9">
        <v>42301</v>
      </c>
      <c r="B386" s="10">
        <f>402370.52+1153765.75</f>
        <v>1556136.27</v>
      </c>
      <c r="C386" s="10">
        <f>12829.15+250+88051</f>
        <v>101130.15</v>
      </c>
      <c r="D386" s="11">
        <f t="shared" si="30"/>
        <v>1455006.12</v>
      </c>
      <c r="E386" s="25" t="s">
        <v>9</v>
      </c>
      <c r="F386" s="15">
        <v>784.8</v>
      </c>
      <c r="G386" s="15">
        <f>105397.35+82395.12+52775+65616.7+49343.95+62982.25+8317.5+8143.6+20449.3+10062.1</f>
        <v>465482.86999999994</v>
      </c>
      <c r="H386" s="15">
        <f>50500+25000+144100+130950+72070+114800+193470+6174.09+17851.86+79937+33728+3629.38+3140.28+18500+435+24500+1000+32400+36553</f>
        <v>988738.61</v>
      </c>
      <c r="I386" s="37">
        <f t="shared" si="31"/>
        <v>1455006.28</v>
      </c>
      <c r="J386" s="15">
        <f t="shared" si="29"/>
        <v>0.15999999991618097</v>
      </c>
      <c r="K386" s="15"/>
      <c r="L386" s="4"/>
    </row>
    <row r="387" spans="1:16" ht="15.75" x14ac:dyDescent="0.25">
      <c r="A387" s="9">
        <v>42302</v>
      </c>
      <c r="B387" s="79">
        <f>157555.95+220368.33</f>
        <v>377924.28</v>
      </c>
      <c r="C387" s="10">
        <f>556.5+280+14240</f>
        <v>15076.5</v>
      </c>
      <c r="D387" s="11">
        <f t="shared" si="30"/>
        <v>362847.78</v>
      </c>
      <c r="E387" s="25" t="s">
        <v>9</v>
      </c>
      <c r="F387" s="15">
        <v>0</v>
      </c>
      <c r="G387" s="15">
        <v>0</v>
      </c>
      <c r="H387" s="15">
        <f>41800+50000+70000+60000+25000+45000+70000+1048</f>
        <v>362848</v>
      </c>
      <c r="I387" s="37">
        <f t="shared" si="31"/>
        <v>362848</v>
      </c>
      <c r="J387" s="15">
        <f t="shared" si="29"/>
        <v>0.21999999997206032</v>
      </c>
      <c r="K387" s="4"/>
      <c r="L387" s="4"/>
    </row>
    <row r="388" spans="1:16" ht="15.75" x14ac:dyDescent="0.25">
      <c r="A388" s="9">
        <v>42303</v>
      </c>
      <c r="B388" s="10">
        <f>348560.04+1119658.71</f>
        <v>1468218.75</v>
      </c>
      <c r="C388" s="10">
        <f>42618.58+520+575+211130.6</f>
        <v>254844.18</v>
      </c>
      <c r="D388" s="11">
        <f t="shared" si="30"/>
        <v>1213374.57</v>
      </c>
      <c r="E388" s="42"/>
      <c r="F388" s="15">
        <v>5784.15</v>
      </c>
      <c r="G388" s="15">
        <v>2876</v>
      </c>
      <c r="H388" s="15">
        <f>85100+23400+62950+47500+37965.6+99000+42080+110000+53000+36629.5+130000+34495.5+35000+95000+8490+90000+8228+68000+33175+48000+31000+24840</f>
        <v>1203853.6000000001</v>
      </c>
      <c r="I388" s="37">
        <f t="shared" si="31"/>
        <v>1212513.75</v>
      </c>
      <c r="J388" s="15">
        <f t="shared" si="29"/>
        <v>-860.82000000006519</v>
      </c>
      <c r="K388" s="4"/>
      <c r="L388" s="39" t="s">
        <v>820</v>
      </c>
      <c r="M388" s="60" t="s">
        <v>784</v>
      </c>
      <c r="N388" s="60"/>
    </row>
    <row r="389" spans="1:16" ht="15.75" x14ac:dyDescent="0.25">
      <c r="A389" s="9">
        <v>42304</v>
      </c>
      <c r="B389" s="10">
        <f>338742.51+2281632.63</f>
        <v>2620375.1399999997</v>
      </c>
      <c r="C389" s="10">
        <f>22884.57+1000+50204</f>
        <v>74088.570000000007</v>
      </c>
      <c r="D389" s="11">
        <f t="shared" si="30"/>
        <v>2546286.5699999998</v>
      </c>
      <c r="E389" s="42"/>
      <c r="F389" s="15">
        <v>503</v>
      </c>
      <c r="G389" s="15">
        <v>2647.8</v>
      </c>
      <c r="H389" s="15">
        <f>94000+58000+61182+20600+64500+160620+107880+139100+50014.1+150513.66+117749.5+203805+103150+11959.6+55000+40800+65000+95000+30000+1200+5890+403.6+35000+33680.5+83500+19862.22+34294.5+68500+90000+85000+35284.5+65000+185000+90000+37334.5+35000+9311</f>
        <v>2543134.6800000002</v>
      </c>
      <c r="I389" s="37">
        <f t="shared" si="31"/>
        <v>2546285.48</v>
      </c>
      <c r="J389" s="15">
        <f t="shared" si="29"/>
        <v>-1.0899999998509884</v>
      </c>
      <c r="K389" s="4"/>
      <c r="L389" s="39" t="s">
        <v>834</v>
      </c>
      <c r="M389" s="60" t="s">
        <v>821</v>
      </c>
      <c r="N389" s="60"/>
    </row>
    <row r="390" spans="1:16" ht="15.75" x14ac:dyDescent="0.25">
      <c r="A390" s="9">
        <v>42305</v>
      </c>
      <c r="B390" s="10">
        <f>215148.41+5905333.6</f>
        <v>6120482.0099999998</v>
      </c>
      <c r="C390" s="10">
        <f>235195.4+520+115101.04</f>
        <v>350816.44</v>
      </c>
      <c r="D390" s="11">
        <f t="shared" si="30"/>
        <v>5769665.5699999994</v>
      </c>
      <c r="E390" s="25" t="s">
        <v>9</v>
      </c>
      <c r="F390" s="15">
        <v>21024.94</v>
      </c>
      <c r="G390" s="15">
        <f>195240.46+206665.12+15000+31686.2</f>
        <v>448591.77999999997</v>
      </c>
      <c r="H390" s="15">
        <f>46640+72000+45000+103320+67342+7588+11134+10250.12+11835.1+81472.5+15000+33823.84+58906.95+13873.9+65000+100000+150000+76950+50000+73450+242510+71782.5+90000+70000+34270+20000+38600+32224.5+80000+132200+100000+61897.5+20000+55000+23000+80000+56000+120000+70000+100000+90000+40000+249150+100000+85000+100400+100000+120000+53900+100000+69300+52050+72000+70000+200000+60000+100000+68503.27+20200+75800+24600+50000+101900+168000+16400+521016.3</f>
        <v>5299290.4799999995</v>
      </c>
      <c r="I390" s="37">
        <f t="shared" si="31"/>
        <v>5768907.2000000002</v>
      </c>
      <c r="J390" s="15">
        <f t="shared" si="29"/>
        <v>-758.36999999918044</v>
      </c>
      <c r="K390" s="258">
        <v>46686.2</v>
      </c>
      <c r="L390" s="60" t="s">
        <v>888</v>
      </c>
      <c r="M390" s="60" t="s">
        <v>786</v>
      </c>
      <c r="N390" s="60"/>
    </row>
    <row r="391" spans="1:16" ht="15.75" x14ac:dyDescent="0.25">
      <c r="A391" s="9">
        <v>42306</v>
      </c>
      <c r="B391" s="10">
        <f>319012.08+1465760.58</f>
        <v>1784772.6600000001</v>
      </c>
      <c r="C391" s="10">
        <f>31274.79+17800+12547.66</f>
        <v>61622.45</v>
      </c>
      <c r="D391" s="11">
        <f t="shared" si="30"/>
        <v>1723150.2100000002</v>
      </c>
      <c r="E391" s="42"/>
      <c r="F391" s="15">
        <v>15370</v>
      </c>
      <c r="G391" s="15">
        <f>5554</f>
        <v>5554</v>
      </c>
      <c r="H391" s="15">
        <f>18959+11261+36691+7000+10700+39500+117300+167600+193740+45131.18+6420.4+9809.6+24648.64+20000+30506+50000+70000+10010.5+84110+59970+53405+24892+27696.5+54413.5+75000+62000+11739.2+31770+83900+37900+80050+76100+9330+61100+26720</f>
        <v>1729373.52</v>
      </c>
      <c r="I391" s="37">
        <f t="shared" si="31"/>
        <v>1750297.52</v>
      </c>
      <c r="J391" s="15">
        <f t="shared" si="29"/>
        <v>27147.309999999823</v>
      </c>
      <c r="K391" s="4"/>
      <c r="L391" s="39" t="s">
        <v>822</v>
      </c>
    </row>
    <row r="392" spans="1:16" ht="15.75" x14ac:dyDescent="0.25">
      <c r="A392" s="9">
        <v>42307</v>
      </c>
      <c r="B392" s="10">
        <f>347485.2+238598.3</f>
        <v>586083.5</v>
      </c>
      <c r="C392" s="10">
        <f>30166.15+1998+6196</f>
        <v>38360.15</v>
      </c>
      <c r="D392" s="11">
        <f t="shared" si="30"/>
        <v>547723.35</v>
      </c>
      <c r="E392" s="25" t="s">
        <v>9</v>
      </c>
      <c r="F392" s="15">
        <v>10744.6</v>
      </c>
      <c r="G392" s="15">
        <v>0</v>
      </c>
      <c r="H392" s="15">
        <f>95600+110000+149070+20446.7+6935.4+95800+26922.5</f>
        <v>504774.60000000003</v>
      </c>
      <c r="I392" s="37">
        <f t="shared" si="31"/>
        <v>515519.2</v>
      </c>
      <c r="J392" s="15">
        <f t="shared" si="29"/>
        <v>-32204.149999999965</v>
      </c>
      <c r="K392" s="4"/>
      <c r="L392" s="60" t="s">
        <v>794</v>
      </c>
      <c r="M392" s="60" t="s">
        <v>789</v>
      </c>
      <c r="N392" s="60"/>
      <c r="O392" s="60"/>
      <c r="P392" s="60"/>
    </row>
    <row r="393" spans="1:16" ht="15.75" x14ac:dyDescent="0.25">
      <c r="A393" s="9">
        <v>42308</v>
      </c>
      <c r="B393" s="10">
        <f>671089.22+2657866</f>
        <v>3328955.2199999997</v>
      </c>
      <c r="C393" s="10">
        <f>22551.51+43023</f>
        <v>65574.509999999995</v>
      </c>
      <c r="D393" s="11">
        <f t="shared" si="30"/>
        <v>3263380.71</v>
      </c>
      <c r="E393" s="25" t="s">
        <v>9</v>
      </c>
      <c r="F393" s="15">
        <v>13864.9</v>
      </c>
      <c r="G393" s="15">
        <f>26979+39458.04+8617.46+8976.2+20165.6+3452.4+10298.32+79881.8+40870.6+75854.6+53366.2+181184.8</f>
        <v>549105.02</v>
      </c>
      <c r="H393" s="15">
        <f>184460+275540+288220+139410+54740+145680+183660+36898.8+35000+46232+135250+40023+6097.5+290000+168000+62000+184270+73400+147400+130000+16800+12286+3573.18+40370+500+600</f>
        <v>2700410.48</v>
      </c>
      <c r="I393" s="37">
        <f t="shared" si="31"/>
        <v>3263380.4</v>
      </c>
      <c r="J393" s="15">
        <f t="shared" si="29"/>
        <v>-0.31000000005587935</v>
      </c>
      <c r="K393" s="4"/>
      <c r="L393" s="4"/>
    </row>
    <row r="394" spans="1:16" ht="15.75" x14ac:dyDescent="0.25">
      <c r="A394" s="9"/>
      <c r="B394" s="10"/>
      <c r="C394" s="10"/>
      <c r="D394" s="11">
        <f t="shared" si="30"/>
        <v>0</v>
      </c>
      <c r="E394" s="4"/>
      <c r="F394" s="4"/>
      <c r="G394" s="15"/>
      <c r="H394" s="15"/>
      <c r="I394" s="4"/>
      <c r="J394" s="15">
        <f t="shared" si="29"/>
        <v>0</v>
      </c>
      <c r="K394" s="4"/>
    </row>
    <row r="395" spans="1:16" ht="15.75" x14ac:dyDescent="0.25">
      <c r="A395" s="9"/>
      <c r="B395" s="10"/>
      <c r="C395" s="10"/>
      <c r="D395" s="11">
        <f t="shared" si="30"/>
        <v>0</v>
      </c>
      <c r="E395" s="4"/>
      <c r="F395" s="4"/>
      <c r="G395" s="15"/>
      <c r="H395" s="15"/>
      <c r="I395" s="4"/>
      <c r="J395" s="15">
        <f t="shared" si="29"/>
        <v>0</v>
      </c>
      <c r="K395" s="4"/>
    </row>
    <row r="396" spans="1:16" ht="15.75" x14ac:dyDescent="0.25">
      <c r="A396" s="14"/>
      <c r="B396" s="13"/>
      <c r="C396" s="10"/>
      <c r="D396" s="11">
        <f t="shared" si="30"/>
        <v>0</v>
      </c>
      <c r="E396" s="4"/>
      <c r="F396" s="4"/>
      <c r="G396" s="15"/>
      <c r="H396" s="15"/>
      <c r="I396" s="4"/>
      <c r="J396" s="15">
        <f t="shared" si="29"/>
        <v>0</v>
      </c>
      <c r="K396" s="4"/>
    </row>
    <row r="397" spans="1:16" ht="15.75" x14ac:dyDescent="0.25">
      <c r="A397" s="14"/>
      <c r="B397" s="10"/>
      <c r="C397" s="10"/>
      <c r="D397" s="11">
        <f t="shared" si="30"/>
        <v>0</v>
      </c>
      <c r="E397" s="4"/>
      <c r="F397" s="4"/>
      <c r="G397" s="15"/>
      <c r="H397" s="15"/>
      <c r="I397" s="4"/>
      <c r="J397" s="15">
        <f t="shared" si="29"/>
        <v>0</v>
      </c>
      <c r="K397" s="4"/>
    </row>
    <row r="398" spans="1:16" ht="15.75" x14ac:dyDescent="0.25">
      <c r="A398" s="14"/>
      <c r="B398" s="10">
        <f>SUM(B363:B397)</f>
        <v>55977226.74000001</v>
      </c>
      <c r="C398" s="10">
        <f>SUM(C363:C397)</f>
        <v>4639503.1100000013</v>
      </c>
      <c r="D398" s="11">
        <f t="shared" si="30"/>
        <v>51337723.63000001</v>
      </c>
      <c r="E398" s="4"/>
      <c r="F398" s="15"/>
      <c r="G398" s="15"/>
      <c r="H398" s="15"/>
      <c r="I398" s="4"/>
      <c r="J398" s="15">
        <f t="shared" si="29"/>
        <v>-51337723.63000001</v>
      </c>
      <c r="K398" s="4"/>
    </row>
    <row r="400" spans="1:16" ht="18.75" x14ac:dyDescent="0.3">
      <c r="A400" s="1"/>
      <c r="B400" s="57" t="s">
        <v>266</v>
      </c>
      <c r="C400" s="57"/>
      <c r="D400" s="2"/>
      <c r="E400" s="3"/>
      <c r="F400" s="4"/>
      <c r="G400" s="15"/>
      <c r="H400" s="4"/>
      <c r="I400" s="4"/>
      <c r="J400" s="4"/>
      <c r="K400" s="4"/>
    </row>
    <row r="401" spans="1:17" ht="15.75" x14ac:dyDescent="0.25">
      <c r="A401" s="5"/>
      <c r="B401" s="6"/>
      <c r="C401" s="23" t="s">
        <v>6</v>
      </c>
      <c r="D401" s="7"/>
      <c r="E401" s="3"/>
      <c r="F401" s="4"/>
      <c r="G401" s="15"/>
      <c r="H401" s="4"/>
      <c r="I401" s="4"/>
      <c r="J401" s="4"/>
      <c r="K401" s="4"/>
    </row>
    <row r="402" spans="1:17" ht="16.5" thickBot="1" x14ac:dyDescent="0.3">
      <c r="A402" s="19" t="s">
        <v>0</v>
      </c>
      <c r="B402" s="20" t="s">
        <v>1</v>
      </c>
      <c r="C402" s="21" t="s">
        <v>2</v>
      </c>
      <c r="D402" s="22" t="s">
        <v>4</v>
      </c>
      <c r="E402" s="3"/>
      <c r="F402" s="38" t="s">
        <v>19</v>
      </c>
      <c r="G402" s="32" t="s">
        <v>10</v>
      </c>
      <c r="H402" s="27" t="s">
        <v>8</v>
      </c>
      <c r="I402" s="50"/>
      <c r="J402" s="33" t="s">
        <v>11</v>
      </c>
      <c r="K402" s="34" t="s">
        <v>13</v>
      </c>
    </row>
    <row r="403" spans="1:17" ht="16.5" thickTop="1" x14ac:dyDescent="0.25">
      <c r="A403" s="9">
        <v>42309</v>
      </c>
      <c r="B403" s="10">
        <f>279875.34+375456.1</f>
        <v>655331.43999999994</v>
      </c>
      <c r="C403" s="10">
        <f>7094+68775.2</f>
        <v>75869.2</v>
      </c>
      <c r="D403" s="11">
        <f>B403-C403</f>
        <v>579462.24</v>
      </c>
      <c r="E403" s="42"/>
      <c r="F403" s="15">
        <v>1658.4</v>
      </c>
      <c r="G403" s="15">
        <v>0</v>
      </c>
      <c r="H403" s="15">
        <f>27660+60000+42500+75000+50000+100000+40000+74000+71000+37000+599</f>
        <v>577759</v>
      </c>
      <c r="I403" s="37">
        <f>H403+G403+F403</f>
        <v>579417.4</v>
      </c>
      <c r="J403" s="15">
        <f t="shared" ref="J403:J438" si="32">H403+G403+F403-D403</f>
        <v>-44.839999999967404</v>
      </c>
      <c r="K403" s="4"/>
      <c r="L403" s="39" t="s">
        <v>797</v>
      </c>
    </row>
    <row r="404" spans="1:17" ht="15.75" x14ac:dyDescent="0.25">
      <c r="A404" s="9">
        <v>42310</v>
      </c>
      <c r="B404" s="10">
        <f>185482.95+184279.9</f>
        <v>369762.85</v>
      </c>
      <c r="C404" s="10">
        <f>25163.5+520</f>
        <v>25683.5</v>
      </c>
      <c r="D404" s="11">
        <f t="shared" ref="D404:D438" si="33">B404-C404</f>
        <v>344079.35</v>
      </c>
      <c r="E404" s="25" t="s">
        <v>9</v>
      </c>
      <c r="F404" s="31">
        <v>20</v>
      </c>
      <c r="G404" s="31">
        <v>0</v>
      </c>
      <c r="H404" s="15">
        <f>226950+14390.9+101718.5</f>
        <v>343059.4</v>
      </c>
      <c r="I404" s="37">
        <f t="shared" ref="I404:I433" si="34">H404+G404+F404</f>
        <v>343079.4</v>
      </c>
      <c r="J404" s="15">
        <f t="shared" si="32"/>
        <v>-999.94999999995343</v>
      </c>
      <c r="K404" s="4"/>
      <c r="L404" s="60" t="s">
        <v>823</v>
      </c>
      <c r="M404" s="60" t="s">
        <v>798</v>
      </c>
      <c r="N404" s="60"/>
    </row>
    <row r="405" spans="1:17" ht="15.75" x14ac:dyDescent="0.25">
      <c r="A405" s="9">
        <v>42311</v>
      </c>
      <c r="B405" s="10">
        <f>332991.1+425341.52</f>
        <v>758332.62</v>
      </c>
      <c r="C405" s="10">
        <f>9301.97+279+152147.14</f>
        <v>161728.11000000002</v>
      </c>
      <c r="D405" s="11">
        <f t="shared" si="33"/>
        <v>596604.51</v>
      </c>
      <c r="E405" s="25" t="s">
        <v>9</v>
      </c>
      <c r="F405" s="15">
        <v>8559</v>
      </c>
      <c r="G405" s="15">
        <v>3304.6</v>
      </c>
      <c r="H405" s="15">
        <f>130000+228400+191930+119+35292</f>
        <v>585741</v>
      </c>
      <c r="I405" s="37">
        <f t="shared" si="34"/>
        <v>597604.6</v>
      </c>
      <c r="J405" s="15">
        <f t="shared" si="32"/>
        <v>1000.0899999999674</v>
      </c>
      <c r="K405" s="43"/>
      <c r="L405" s="60" t="s">
        <v>825</v>
      </c>
      <c r="M405" s="60"/>
    </row>
    <row r="406" spans="1:17" ht="15.75" x14ac:dyDescent="0.25">
      <c r="A406" s="9">
        <v>42312</v>
      </c>
      <c r="B406" s="10">
        <f>410161.48+644449.75</f>
        <v>1054611.23</v>
      </c>
      <c r="C406" s="10">
        <f>137183.8+219977.24</f>
        <v>357161.04</v>
      </c>
      <c r="D406" s="11">
        <f t="shared" si="33"/>
        <v>697450.19</v>
      </c>
      <c r="E406" s="42"/>
      <c r="F406" s="15">
        <v>181.7</v>
      </c>
      <c r="G406" s="15">
        <f>2482.4+37230.9+35561.2</f>
        <v>75274.5</v>
      </c>
      <c r="H406" s="15">
        <f>8500+263400+30109.04+5583.6+10990+52205.6+46821.6</f>
        <v>417609.83999999991</v>
      </c>
      <c r="I406" s="37">
        <f t="shared" si="34"/>
        <v>493066.03999999992</v>
      </c>
      <c r="J406" s="15">
        <f t="shared" si="32"/>
        <v>-204384.15000000002</v>
      </c>
      <c r="K406" s="4"/>
      <c r="L406" s="39" t="s">
        <v>827</v>
      </c>
      <c r="M406" s="60" t="s">
        <v>799</v>
      </c>
      <c r="N406" s="60"/>
    </row>
    <row r="407" spans="1:17" ht="15.75" x14ac:dyDescent="0.25">
      <c r="A407" s="9">
        <v>42313</v>
      </c>
      <c r="B407" s="10">
        <f>484297.64+6968062.32</f>
        <v>7452359.96</v>
      </c>
      <c r="C407" s="10">
        <f>105008.77+155417.3</f>
        <v>260426.07</v>
      </c>
      <c r="D407" s="11">
        <f t="shared" si="33"/>
        <v>7191933.8899999997</v>
      </c>
      <c r="E407" s="25" t="s">
        <v>9</v>
      </c>
      <c r="F407" s="15">
        <v>11992.17</v>
      </c>
      <c r="G407" s="15">
        <v>8090.4</v>
      </c>
      <c r="H407" s="15">
        <f>14913+17057+38951+79511+237500+30525.5+44710+2578+76400+292000+41850+143150+61215+33533+65763+54502+42653+26905+35569+40000+27888.5+51000+34263+48500+45000+44420+31206+24840+38485.5+65600+33450+43550+69760+56100+11500+93000+36000+35971.5+50000+30000+35958+80000+33164.5+80000+89000+41155+63545+140880+94665+6380.5+85000+1347.6+34104+135000+13560+12142.42+70000+99000+36346.5+20000+33157.5+40000+93500+190000+125304.2+85000+95670+176032.5+158700+3387.5+208310+53357.76+203200+18020+115000+25500+138800+104700+105580+28648+203100+66851+110000+239100+25100+68490+96000+289900+150000+65440+66430+8704+18400+101300+94500+15610+130000</f>
        <v>7171860.9800000004</v>
      </c>
      <c r="I407" s="37">
        <f t="shared" si="34"/>
        <v>7191943.5500000007</v>
      </c>
      <c r="J407" s="15">
        <f t="shared" si="32"/>
        <v>9.6600000010803342</v>
      </c>
      <c r="K407" s="4"/>
      <c r="L407" s="4"/>
      <c r="M407" s="60" t="s">
        <v>800</v>
      </c>
      <c r="N407" s="60"/>
      <c r="O407" s="60"/>
    </row>
    <row r="408" spans="1:17" ht="15.75" x14ac:dyDescent="0.25">
      <c r="A408" s="9">
        <v>42314</v>
      </c>
      <c r="B408" s="10">
        <f>448783.52+441646.3</f>
        <v>890429.82000000007</v>
      </c>
      <c r="C408" s="10">
        <f>42767.45+945+71232</f>
        <v>114944.45</v>
      </c>
      <c r="D408" s="11">
        <f t="shared" si="33"/>
        <v>775485.37000000011</v>
      </c>
      <c r="E408" s="42"/>
      <c r="F408" s="15">
        <v>15423</v>
      </c>
      <c r="G408" s="15">
        <v>4833.8999999999996</v>
      </c>
      <c r="H408" s="15">
        <f>62733+44430+40500+100000+287550+14512.4+41198+85000+78449.2</f>
        <v>754372.6</v>
      </c>
      <c r="I408" s="37">
        <f t="shared" si="34"/>
        <v>774629.5</v>
      </c>
      <c r="J408" s="15">
        <f t="shared" si="32"/>
        <v>-855.87000000011176</v>
      </c>
      <c r="K408" s="4"/>
      <c r="L408" s="39" t="s">
        <v>828</v>
      </c>
      <c r="M408" s="60" t="s">
        <v>811</v>
      </c>
      <c r="N408" s="60"/>
      <c r="O408" s="60"/>
      <c r="P408" s="60"/>
    </row>
    <row r="409" spans="1:17" ht="15.75" x14ac:dyDescent="0.25">
      <c r="A409" s="9">
        <v>42315</v>
      </c>
      <c r="B409" s="10">
        <f>372779.49+2441867.04</f>
        <v>2814646.5300000003</v>
      </c>
      <c r="C409" s="10">
        <f>53216.3+1900+108407.6</f>
        <v>163523.90000000002</v>
      </c>
      <c r="D409" s="11">
        <f t="shared" si="33"/>
        <v>2651122.6300000004</v>
      </c>
      <c r="E409" s="25" t="s">
        <v>9</v>
      </c>
      <c r="F409" s="15">
        <v>1133730</v>
      </c>
      <c r="G409" s="15">
        <f>56775.2+1745.8+44495.4+50888.15+34947.5+47674.52</f>
        <v>236526.56999999998</v>
      </c>
      <c r="H409" s="15">
        <f>66000+85500+117150+164580+21139.22+67055+5053.44+1300+120000+29677.5+20000+45425+50000+110000+66000+60000+42208+24000+79000+16946.82+2723.3+30000+4800.12+5496.8+8291.8+38520</f>
        <v>1280867.0000000002</v>
      </c>
      <c r="I409" s="37">
        <f t="shared" si="34"/>
        <v>2651123.5700000003</v>
      </c>
      <c r="J409" s="15">
        <f t="shared" si="32"/>
        <v>0.93999999994412065</v>
      </c>
      <c r="K409" s="4"/>
      <c r="L409" s="39" t="s">
        <v>829</v>
      </c>
    </row>
    <row r="410" spans="1:17" ht="15.75" x14ac:dyDescent="0.25">
      <c r="A410" s="9">
        <v>42316</v>
      </c>
      <c r="B410" s="10">
        <f>189442.11+253014.3</f>
        <v>442456.41</v>
      </c>
      <c r="C410" s="10">
        <f>7756+470</f>
        <v>8226</v>
      </c>
      <c r="D410" s="11">
        <f t="shared" si="33"/>
        <v>434230.41</v>
      </c>
      <c r="E410" s="25" t="s">
        <v>9</v>
      </c>
      <c r="F410" s="15">
        <v>17246.599999999999</v>
      </c>
      <c r="G410" s="15">
        <v>0</v>
      </c>
      <c r="H410" s="15">
        <f>47000+104000+113000+132900+20084</f>
        <v>416984</v>
      </c>
      <c r="I410" s="37">
        <f t="shared" si="34"/>
        <v>434230.6</v>
      </c>
      <c r="J410" s="15">
        <f t="shared" si="32"/>
        <v>0.19000000000232831</v>
      </c>
      <c r="K410" s="4"/>
      <c r="L410" s="4"/>
    </row>
    <row r="411" spans="1:17" ht="15.75" x14ac:dyDescent="0.25">
      <c r="A411" s="9">
        <v>42317</v>
      </c>
      <c r="B411" s="10">
        <f>298029.85+1253173.65+28521</f>
        <v>1579724.5</v>
      </c>
      <c r="C411" s="10">
        <f>61681.12+1000+500+10000+575+87990.84</f>
        <v>161746.96</v>
      </c>
      <c r="D411" s="11">
        <f t="shared" si="33"/>
        <v>1417977.54</v>
      </c>
      <c r="E411" s="25" t="s">
        <v>9</v>
      </c>
      <c r="F411" s="15">
        <v>579.4</v>
      </c>
      <c r="G411" s="15">
        <f>8485.8+9107.6+19928.4+9641.6+29194.84</f>
        <v>76358.240000000005</v>
      </c>
      <c r="H411" s="15">
        <f>125500+122100+264450+61000+156960+10703.7+26000+214.2+66000+105750+96658.6+38404.15+123666.37+33266.85+47421.5+11021+14390.16+3109.84+34422</f>
        <v>1341038.3700000001</v>
      </c>
      <c r="I411" s="37">
        <f t="shared" si="34"/>
        <v>1417976.01</v>
      </c>
      <c r="J411" s="15">
        <f t="shared" si="32"/>
        <v>-1.5300000000279397</v>
      </c>
      <c r="K411" s="4"/>
      <c r="L411" s="60" t="s">
        <v>889</v>
      </c>
      <c r="M411" s="60"/>
    </row>
    <row r="412" spans="1:17" ht="15.75" x14ac:dyDescent="0.25">
      <c r="A412" s="9">
        <v>42318</v>
      </c>
      <c r="B412" s="10">
        <f>226502.1+1856250.24</f>
        <v>2082752.34</v>
      </c>
      <c r="C412" s="10">
        <f>17728.1+45987.92</f>
        <v>63716.02</v>
      </c>
      <c r="D412" s="11">
        <f t="shared" si="33"/>
        <v>2019036.32</v>
      </c>
      <c r="E412" s="25" t="s">
        <v>9</v>
      </c>
      <c r="F412" s="15">
        <v>1737</v>
      </c>
      <c r="G412" s="15">
        <v>3274.4</v>
      </c>
      <c r="H412" s="15">
        <f>120550+28360+8000+12465+146767+218680+5121.9+27835+6866.6+12811.4+372+4391.6+876+11658.4+13445.16+35000+77600+80905+92813.03+36258+75000+28329+37000+45000+20000+37500+7482+50000+51000+19126+65000+50000+34247.5+46973.5+6255+5279+48000+21680+17368+25000+11595.5+2614+11626+42270+74650+62500+46700+42550+48300+40200</f>
        <v>2014021.59</v>
      </c>
      <c r="I412" s="37">
        <f t="shared" si="34"/>
        <v>2019032.99</v>
      </c>
      <c r="J412" s="15">
        <f t="shared" si="32"/>
        <v>-3.3300000000745058</v>
      </c>
      <c r="K412" s="4"/>
      <c r="M412" s="60" t="s">
        <v>813</v>
      </c>
      <c r="N412" s="60"/>
      <c r="O412" s="60"/>
      <c r="P412" s="60"/>
    </row>
    <row r="413" spans="1:17" ht="15.75" x14ac:dyDescent="0.25">
      <c r="A413" s="9">
        <v>42319</v>
      </c>
      <c r="B413" s="10">
        <f>278427.04+687802.65</f>
        <v>966229.69</v>
      </c>
      <c r="C413" s="10">
        <f>10360.35+45519</f>
        <v>55879.35</v>
      </c>
      <c r="D413" s="11">
        <f t="shared" si="33"/>
        <v>910350.34</v>
      </c>
      <c r="E413" s="25" t="s">
        <v>9</v>
      </c>
      <c r="F413" s="15">
        <v>97220.2</v>
      </c>
      <c r="G413" s="15">
        <v>3699.8</v>
      </c>
      <c r="H413" s="15">
        <f>24000+50400+144510+83990+117750+14606.9+28927.8+4140.1+5925.4+6409.2+1853.8+6348.8+3650.4+74600+10500+128504+74920+28402</f>
        <v>809438.4</v>
      </c>
      <c r="I413" s="37">
        <f t="shared" si="34"/>
        <v>910358.4</v>
      </c>
      <c r="J413" s="15">
        <f t="shared" si="32"/>
        <v>8.0600000000558794</v>
      </c>
      <c r="K413" s="4"/>
      <c r="L413" s="4"/>
    </row>
    <row r="414" spans="1:17" ht="15.75" x14ac:dyDescent="0.25">
      <c r="A414" s="9">
        <v>42320</v>
      </c>
      <c r="B414" s="10">
        <f>361710.64+2107337.75</f>
        <v>2469048.39</v>
      </c>
      <c r="C414" s="10">
        <f>11332.94+87346.74</f>
        <v>98679.680000000008</v>
      </c>
      <c r="D414" s="11">
        <f t="shared" si="33"/>
        <v>2370368.71</v>
      </c>
      <c r="E414" s="42"/>
      <c r="F414" s="15">
        <v>12814.2</v>
      </c>
      <c r="G414" s="15">
        <v>0</v>
      </c>
      <c r="H414" s="15">
        <f>36616+110000+153600+126500+127250+2361.6+4792.6+37338.5+26983+53550+41927+61131.5+54487.5+8229+2834.52+110000+39522+70000+11060+41000+40329+140000+120000+210000+41353+146500+41223.5+55000+75000+1712.66+44000+68894</f>
        <v>2103195.38</v>
      </c>
      <c r="I414" s="37">
        <f t="shared" si="34"/>
        <v>2116009.58</v>
      </c>
      <c r="J414" s="15">
        <f t="shared" si="32"/>
        <v>-254359.12999999989</v>
      </c>
      <c r="K414" s="4"/>
      <c r="L414" s="39" t="s">
        <v>843</v>
      </c>
    </row>
    <row r="415" spans="1:17" ht="15.75" x14ac:dyDescent="0.25">
      <c r="A415" s="9">
        <v>42321</v>
      </c>
      <c r="B415" s="10">
        <f>541134.32+1434390.37</f>
        <v>1975524.69</v>
      </c>
      <c r="C415" s="10">
        <f>128665.4+470+495791.18</f>
        <v>624926.57999999996</v>
      </c>
      <c r="D415" s="11">
        <f t="shared" si="33"/>
        <v>1350598.1099999999</v>
      </c>
      <c r="E415" s="25" t="s">
        <v>9</v>
      </c>
      <c r="F415" s="15">
        <v>13.8</v>
      </c>
      <c r="G415" s="15">
        <v>2792.8</v>
      </c>
      <c r="H415" s="15">
        <f>39750+40882+34725+37548+42505+74000+40000+75000+70000+39539.5+270.5+95000+37420+100000+79300+85420+12800.01+30450+27207+17368+51426+55000+52573+90000+33371+5000+39109.2+42127</f>
        <v>1347791.21</v>
      </c>
      <c r="I415" s="37">
        <f t="shared" si="34"/>
        <v>1350597.81</v>
      </c>
      <c r="J415" s="15">
        <f t="shared" si="32"/>
        <v>-0.29999999981373549</v>
      </c>
      <c r="K415" s="4"/>
      <c r="L415" s="4"/>
      <c r="M415" s="60" t="s">
        <v>844</v>
      </c>
      <c r="N415" s="60"/>
      <c r="O415" s="60"/>
      <c r="P415" s="60"/>
      <c r="Q415" s="60"/>
    </row>
    <row r="416" spans="1:17" ht="15.75" x14ac:dyDescent="0.25">
      <c r="A416" s="9">
        <v>42322</v>
      </c>
      <c r="B416" s="10">
        <f>503975.97+1017209.35</f>
        <v>1521185.3199999998</v>
      </c>
      <c r="C416" s="10">
        <f>38910.84+176596.8</f>
        <v>215507.63999999998</v>
      </c>
      <c r="D416" s="11">
        <f t="shared" si="33"/>
        <v>1305677.68</v>
      </c>
      <c r="E416" s="42"/>
      <c r="F416" s="15">
        <v>22717.24</v>
      </c>
      <c r="G416" s="15">
        <f>31522.79+38918.96+66747.8+40731.9</f>
        <v>177921.44999999998</v>
      </c>
      <c r="H416" s="15">
        <f>5250+62000+41691.5+132340+153680+137800+151700+36938+59054+119300+2404.74+16691.6+9715.4+29638</f>
        <v>958203.24</v>
      </c>
      <c r="I416" s="37">
        <f t="shared" si="34"/>
        <v>1158841.93</v>
      </c>
      <c r="J416" s="15">
        <f t="shared" si="32"/>
        <v>-146835.75</v>
      </c>
      <c r="K416" s="98">
        <v>112395.45</v>
      </c>
      <c r="L416" s="39" t="s">
        <v>891</v>
      </c>
      <c r="M416" s="60" t="s">
        <v>863</v>
      </c>
    </row>
    <row r="417" spans="1:18" ht="15.75" x14ac:dyDescent="0.25">
      <c r="A417" s="9">
        <v>42323</v>
      </c>
      <c r="B417" s="10">
        <f>195934.7+474574.37</f>
        <v>670509.07000000007</v>
      </c>
      <c r="C417" s="10">
        <f>17625.02+800</f>
        <v>18425.02</v>
      </c>
      <c r="D417" s="11">
        <f t="shared" si="33"/>
        <v>652084.05000000005</v>
      </c>
      <c r="E417" s="42"/>
      <c r="F417" s="15">
        <v>69</v>
      </c>
      <c r="G417" s="15">
        <f>8907.6+19708.44+9742.5+8997.81+4485+2464.8</f>
        <v>54306.15</v>
      </c>
      <c r="H417" s="15">
        <f>4185+31000+35000+114500+500+126000+138400+100+148000</f>
        <v>597685</v>
      </c>
      <c r="I417" s="37">
        <f t="shared" si="34"/>
        <v>652060.15</v>
      </c>
      <c r="J417" s="15">
        <f t="shared" si="32"/>
        <v>-23.900000000023283</v>
      </c>
      <c r="K417" s="4"/>
      <c r="L417" s="39" t="s">
        <v>892</v>
      </c>
    </row>
    <row r="418" spans="1:18" ht="15.75" x14ac:dyDescent="0.25">
      <c r="A418" s="9">
        <v>42324</v>
      </c>
      <c r="B418" s="10">
        <f>393231.41+259596.25</f>
        <v>652827.65999999992</v>
      </c>
      <c r="C418" s="10">
        <f>6329+2624</f>
        <v>8953</v>
      </c>
      <c r="D418" s="11">
        <f t="shared" si="33"/>
        <v>643874.65999999992</v>
      </c>
      <c r="E418" s="42"/>
      <c r="F418" s="15">
        <v>59</v>
      </c>
      <c r="G418" s="15">
        <v>2911.8</v>
      </c>
      <c r="H418" s="15">
        <f>200000+10354+200+110050+116500+142000+14452.2+37256</f>
        <v>630812.19999999995</v>
      </c>
      <c r="I418" s="37">
        <f t="shared" si="34"/>
        <v>633783</v>
      </c>
      <c r="J418" s="15">
        <f t="shared" si="32"/>
        <v>-10091.659999999916</v>
      </c>
      <c r="K418" s="4"/>
      <c r="L418" s="39" t="s">
        <v>867</v>
      </c>
      <c r="M418" s="60" t="s">
        <v>849</v>
      </c>
      <c r="N418" s="60"/>
    </row>
    <row r="419" spans="1:18" ht="15.75" x14ac:dyDescent="0.25">
      <c r="A419" s="9">
        <v>42325</v>
      </c>
      <c r="B419" s="10">
        <f>414378.24+807437.15</f>
        <v>1221815.3900000001</v>
      </c>
      <c r="C419" s="10">
        <f>120585.86+258652.08</f>
        <v>379237.94</v>
      </c>
      <c r="D419" s="11">
        <f t="shared" si="33"/>
        <v>842577.45000000019</v>
      </c>
      <c r="E419" s="25" t="s">
        <v>9</v>
      </c>
      <c r="F419" s="15">
        <v>472.8</v>
      </c>
      <c r="G419" s="15">
        <v>2441.8000000000002</v>
      </c>
      <c r="H419" s="15">
        <f>45587+4633+205100+5635.8+47728.45+94038.3+3755.6+5797+186+840+22634+279240+86588+35000+2900</f>
        <v>839663.14999999991</v>
      </c>
      <c r="I419" s="37">
        <f t="shared" si="34"/>
        <v>842577.75</v>
      </c>
      <c r="J419" s="15">
        <f t="shared" si="32"/>
        <v>0.29999999981373549</v>
      </c>
      <c r="K419" s="4"/>
      <c r="L419" s="4"/>
      <c r="M419" s="60" t="s">
        <v>850</v>
      </c>
      <c r="N419" s="60"/>
    </row>
    <row r="420" spans="1:18" ht="15.75" x14ac:dyDescent="0.25">
      <c r="A420" s="9">
        <v>42326</v>
      </c>
      <c r="B420" s="10">
        <f>329765.53+981998.64</f>
        <v>1311764.17</v>
      </c>
      <c r="C420" s="10">
        <f>19579.34+470+69691</f>
        <v>89740.34</v>
      </c>
      <c r="D420" s="11">
        <f t="shared" si="33"/>
        <v>1222023.8299999998</v>
      </c>
      <c r="E420" s="42"/>
      <c r="F420" s="15">
        <v>793.5</v>
      </c>
      <c r="G420" s="15">
        <f>2847.18+5616</f>
        <v>8463.18</v>
      </c>
      <c r="H420" s="15">
        <f>274750+108520+135160+4962+520+44588+83794.05+35580+9464+29541+101450+10183+39452.4</f>
        <v>877964.45000000007</v>
      </c>
      <c r="I420" s="37">
        <f t="shared" si="34"/>
        <v>887221.13000000012</v>
      </c>
      <c r="J420" s="15">
        <f t="shared" si="32"/>
        <v>-334802.69999999972</v>
      </c>
      <c r="K420" s="4"/>
      <c r="L420" s="39" t="s">
        <v>894</v>
      </c>
    </row>
    <row r="421" spans="1:18" ht="15.75" x14ac:dyDescent="0.25">
      <c r="A421" s="9">
        <v>42327</v>
      </c>
      <c r="B421" s="10">
        <f>403288.34+4778661.22</f>
        <v>5181949.5599999996</v>
      </c>
      <c r="C421" s="10">
        <f>56397.02+10016</f>
        <v>66413.01999999999</v>
      </c>
      <c r="D421" s="11">
        <f t="shared" si="33"/>
        <v>5115536.54</v>
      </c>
      <c r="E421" s="25" t="s">
        <v>9</v>
      </c>
      <c r="F421" s="15">
        <v>123011.38</v>
      </c>
      <c r="G421" s="15">
        <v>7507.5</v>
      </c>
      <c r="H421" s="15">
        <f>23520+11238+130000+56380+72320+113770+11404.36+4334.8+53987.64+13906.86+18982.4+169184+46450+49532+85156+54000+45000+26000+22250+80900+300000+631000+12065+500000+168000+133270+9651.08+295000+31350+82000+110000+41816+39858.2+3830.4+5378.1+6780+34000+32000+93.86+40686.5+4323.72+27000+115000+43281.5+3000+42436.5+58000+75000+105000+312.4+3185.54+42458.5+75000+101000+130000+700+42900+56800+59100+60500+97000+23700+50000+13730+65000+34913.5+5500+47500+4898.5+32683</f>
        <v>4985018.3600000003</v>
      </c>
      <c r="I421" s="37">
        <f t="shared" si="34"/>
        <v>5115537.24</v>
      </c>
      <c r="J421" s="15">
        <f t="shared" si="32"/>
        <v>0.70000000018626451</v>
      </c>
      <c r="K421" s="4"/>
      <c r="L421" s="4"/>
    </row>
    <row r="422" spans="1:18" ht="15.75" x14ac:dyDescent="0.25">
      <c r="A422" s="9">
        <v>42328</v>
      </c>
      <c r="B422" s="10">
        <f>430035.38+1152964.4</f>
        <v>1582999.7799999998</v>
      </c>
      <c r="C422" s="10">
        <f>59586.01+166758</f>
        <v>226344.01</v>
      </c>
      <c r="D422" s="11">
        <f t="shared" si="33"/>
        <v>1356655.7699999998</v>
      </c>
      <c r="E422" s="42"/>
      <c r="F422" s="15">
        <v>1983.4</v>
      </c>
      <c r="G422" s="15">
        <v>0</v>
      </c>
      <c r="H422" s="15">
        <f>61268+28100+205660+71300+140900+18120.2+7661.2+520+39325.5+53100+7269+6960+5107.26+174040+106291+1237.68+29054+408+47819.5+128000+42922+1401.7+135000+832.68+41885</f>
        <v>1354182.7199999997</v>
      </c>
      <c r="I422" s="37">
        <f t="shared" si="34"/>
        <v>1356166.1199999996</v>
      </c>
      <c r="J422" s="15">
        <f t="shared" si="32"/>
        <v>-489.6500000001397</v>
      </c>
      <c r="K422" s="4"/>
      <c r="L422" s="39" t="s">
        <v>885</v>
      </c>
      <c r="M422" s="60" t="s">
        <v>883</v>
      </c>
      <c r="N422" s="60"/>
      <c r="O422" s="60"/>
      <c r="P422" s="60"/>
      <c r="Q422" s="60"/>
      <c r="R422" s="60"/>
    </row>
    <row r="423" spans="1:18" ht="15.75" x14ac:dyDescent="0.25">
      <c r="A423" s="9">
        <v>42329</v>
      </c>
      <c r="B423" s="10">
        <f>307626.76+2433603.05</f>
        <v>2741229.8099999996</v>
      </c>
      <c r="C423" s="10">
        <f>23252.38+126298.24</f>
        <v>149550.62</v>
      </c>
      <c r="D423" s="11">
        <f t="shared" si="33"/>
        <v>2591679.1899999995</v>
      </c>
      <c r="E423" s="42"/>
      <c r="F423" s="15">
        <v>26402.2</v>
      </c>
      <c r="G423" s="15">
        <f>48227.75+36372.89+7699.4+39843.05</f>
        <v>132143.09</v>
      </c>
      <c r="H423" s="15">
        <f>48614+150220+198650+67300+144393+90000+91000+40000+193764.5+29434.42+25267.84+15435+226000+159000+36000+150000+195900+55085+1444.8+13920.64+10281.28+73254</f>
        <v>2014964.48</v>
      </c>
      <c r="I423" s="37">
        <f t="shared" si="34"/>
        <v>2173509.77</v>
      </c>
      <c r="J423" s="15">
        <f t="shared" si="32"/>
        <v>-418169.41999999946</v>
      </c>
      <c r="K423" s="15"/>
      <c r="L423" s="39" t="s">
        <v>895</v>
      </c>
      <c r="M423" s="60" t="s">
        <v>863</v>
      </c>
    </row>
    <row r="424" spans="1:18" ht="15.75" x14ac:dyDescent="0.25">
      <c r="A424" s="9">
        <v>42330</v>
      </c>
      <c r="B424" s="10">
        <f>152858.69+66241.9</f>
        <v>219100.59</v>
      </c>
      <c r="C424" s="10">
        <f>9010+9033</f>
        <v>18043</v>
      </c>
      <c r="D424" s="11">
        <f t="shared" si="33"/>
        <v>201057.59</v>
      </c>
      <c r="E424" s="25" t="s">
        <v>9</v>
      </c>
      <c r="F424" s="15">
        <v>0</v>
      </c>
      <c r="G424" s="15">
        <v>0</v>
      </c>
      <c r="H424" s="15">
        <f>2058+50000+70000+79000</f>
        <v>201058</v>
      </c>
      <c r="I424" s="37">
        <f t="shared" si="34"/>
        <v>201058</v>
      </c>
      <c r="J424" s="15">
        <f t="shared" si="32"/>
        <v>0.41000000000349246</v>
      </c>
      <c r="K424" s="4"/>
      <c r="L424" s="39" t="s">
        <v>903</v>
      </c>
    </row>
    <row r="425" spans="1:18" ht="15.75" x14ac:dyDescent="0.25">
      <c r="A425" s="9">
        <v>42331</v>
      </c>
      <c r="B425" s="10"/>
      <c r="C425" s="10"/>
      <c r="D425" s="11">
        <f t="shared" si="33"/>
        <v>0</v>
      </c>
      <c r="E425" s="25"/>
      <c r="F425" s="15"/>
      <c r="G425" s="15"/>
      <c r="H425" s="15"/>
      <c r="I425" s="37">
        <f t="shared" si="34"/>
        <v>0</v>
      </c>
      <c r="J425" s="15">
        <f t="shared" si="32"/>
        <v>0</v>
      </c>
      <c r="K425" s="4"/>
    </row>
    <row r="426" spans="1:18" ht="15.75" x14ac:dyDescent="0.25">
      <c r="A426" s="9">
        <v>42332</v>
      </c>
      <c r="B426" s="10"/>
      <c r="C426" s="10"/>
      <c r="D426" s="11">
        <f t="shared" si="33"/>
        <v>0</v>
      </c>
      <c r="E426" s="25"/>
      <c r="F426" s="15"/>
      <c r="G426" s="15"/>
      <c r="H426" s="15"/>
      <c r="I426" s="37">
        <f t="shared" si="34"/>
        <v>0</v>
      </c>
      <c r="J426" s="15">
        <f t="shared" si="32"/>
        <v>0</v>
      </c>
      <c r="K426" s="15"/>
    </row>
    <row r="427" spans="1:18" ht="15.75" x14ac:dyDescent="0.25">
      <c r="A427" s="9">
        <v>42333</v>
      </c>
      <c r="B427" s="79"/>
      <c r="C427" s="80"/>
      <c r="D427" s="11">
        <f t="shared" si="33"/>
        <v>0</v>
      </c>
      <c r="E427" s="25"/>
      <c r="F427" s="15"/>
      <c r="G427" s="15"/>
      <c r="H427" s="15"/>
      <c r="I427" s="37">
        <f t="shared" si="34"/>
        <v>0</v>
      </c>
      <c r="J427" s="15">
        <f t="shared" si="32"/>
        <v>0</v>
      </c>
      <c r="K427" s="4"/>
    </row>
    <row r="428" spans="1:18" ht="15.75" x14ac:dyDescent="0.25">
      <c r="A428" s="9">
        <v>42334</v>
      </c>
      <c r="B428" s="10"/>
      <c r="C428" s="10"/>
      <c r="D428" s="11">
        <f t="shared" si="33"/>
        <v>0</v>
      </c>
      <c r="E428" s="25"/>
      <c r="F428" s="15"/>
      <c r="G428" s="15"/>
      <c r="H428" s="15"/>
      <c r="I428" s="37">
        <f t="shared" si="34"/>
        <v>0</v>
      </c>
      <c r="J428" s="15">
        <f t="shared" si="32"/>
        <v>0</v>
      </c>
      <c r="K428" s="4"/>
    </row>
    <row r="429" spans="1:18" ht="15.75" x14ac:dyDescent="0.25">
      <c r="A429" s="9">
        <v>42335</v>
      </c>
      <c r="B429" s="10"/>
      <c r="C429" s="10"/>
      <c r="D429" s="11">
        <f t="shared" si="33"/>
        <v>0</v>
      </c>
      <c r="E429" s="25"/>
      <c r="F429" s="15"/>
      <c r="G429" s="15"/>
      <c r="H429" s="15"/>
      <c r="I429" s="37">
        <f t="shared" si="34"/>
        <v>0</v>
      </c>
      <c r="J429" s="15">
        <f t="shared" si="32"/>
        <v>0</v>
      </c>
      <c r="K429" s="4"/>
    </row>
    <row r="430" spans="1:18" ht="15.75" x14ac:dyDescent="0.25">
      <c r="A430" s="9">
        <v>42336</v>
      </c>
      <c r="B430" s="10"/>
      <c r="C430" s="10"/>
      <c r="D430" s="11">
        <f t="shared" si="33"/>
        <v>0</v>
      </c>
      <c r="E430" s="25"/>
      <c r="F430" s="15"/>
      <c r="G430" s="15"/>
      <c r="H430" s="15"/>
      <c r="I430" s="37">
        <f t="shared" si="34"/>
        <v>0</v>
      </c>
      <c r="J430" s="15">
        <f t="shared" si="32"/>
        <v>0</v>
      </c>
      <c r="K430" s="4"/>
    </row>
    <row r="431" spans="1:18" ht="15.75" x14ac:dyDescent="0.25">
      <c r="A431" s="9">
        <v>42337</v>
      </c>
      <c r="B431" s="10"/>
      <c r="C431" s="10"/>
      <c r="D431" s="11">
        <f t="shared" si="33"/>
        <v>0</v>
      </c>
      <c r="E431" s="25"/>
      <c r="F431" s="15"/>
      <c r="G431" s="15"/>
      <c r="H431" s="15"/>
      <c r="I431" s="37">
        <f t="shared" si="34"/>
        <v>0</v>
      </c>
      <c r="J431" s="15">
        <f t="shared" si="32"/>
        <v>0</v>
      </c>
      <c r="K431" s="4"/>
    </row>
    <row r="432" spans="1:18" ht="15.75" x14ac:dyDescent="0.25">
      <c r="A432" s="9">
        <v>42338</v>
      </c>
      <c r="B432" s="10"/>
      <c r="C432" s="10"/>
      <c r="D432" s="11">
        <f t="shared" si="33"/>
        <v>0</v>
      </c>
      <c r="E432" s="25"/>
      <c r="F432" s="15"/>
      <c r="G432" s="15"/>
      <c r="H432" s="15"/>
      <c r="I432" s="37">
        <f t="shared" si="34"/>
        <v>0</v>
      </c>
      <c r="J432" s="15">
        <f t="shared" si="32"/>
        <v>0</v>
      </c>
      <c r="K432" s="4"/>
    </row>
    <row r="433" spans="1:11" ht="15.75" x14ac:dyDescent="0.25">
      <c r="A433" s="9"/>
      <c r="B433" s="10"/>
      <c r="C433" s="10"/>
      <c r="D433" s="11">
        <f t="shared" si="33"/>
        <v>0</v>
      </c>
      <c r="E433" s="25"/>
      <c r="F433" s="15"/>
      <c r="G433" s="15"/>
      <c r="H433" s="15"/>
      <c r="I433" s="37">
        <f t="shared" si="34"/>
        <v>0</v>
      </c>
      <c r="J433" s="15">
        <f t="shared" si="32"/>
        <v>0</v>
      </c>
      <c r="K433" s="4"/>
    </row>
    <row r="434" spans="1:11" ht="15.75" x14ac:dyDescent="0.25">
      <c r="A434" s="9"/>
      <c r="B434" s="10"/>
      <c r="C434" s="10"/>
      <c r="D434" s="11">
        <f t="shared" si="33"/>
        <v>0</v>
      </c>
      <c r="E434" s="4"/>
      <c r="F434" s="4"/>
      <c r="G434" s="15"/>
      <c r="H434" s="15"/>
      <c r="I434" s="4"/>
      <c r="J434" s="15">
        <f t="shared" si="32"/>
        <v>0</v>
      </c>
      <c r="K434" s="4"/>
    </row>
    <row r="435" spans="1:11" ht="15.75" x14ac:dyDescent="0.25">
      <c r="A435" s="14"/>
      <c r="B435" s="10"/>
      <c r="C435" s="10"/>
      <c r="D435" s="11">
        <f t="shared" si="33"/>
        <v>0</v>
      </c>
      <c r="E435" s="4"/>
      <c r="F435" s="4"/>
      <c r="G435" s="15"/>
      <c r="H435" s="15"/>
      <c r="I435" s="4"/>
      <c r="J435" s="15">
        <f t="shared" si="32"/>
        <v>0</v>
      </c>
      <c r="K435" s="4"/>
    </row>
    <row r="436" spans="1:11" ht="15.75" x14ac:dyDescent="0.25">
      <c r="A436" s="14"/>
      <c r="B436" s="13"/>
      <c r="C436" s="10"/>
      <c r="D436" s="11">
        <f t="shared" si="33"/>
        <v>0</v>
      </c>
      <c r="E436" s="4"/>
      <c r="F436" s="4"/>
      <c r="G436" s="15"/>
      <c r="H436" s="15"/>
      <c r="I436" s="4"/>
      <c r="J436" s="15">
        <f t="shared" si="32"/>
        <v>0</v>
      </c>
      <c r="K436" s="4"/>
    </row>
    <row r="437" spans="1:11" ht="15.75" x14ac:dyDescent="0.25">
      <c r="A437" s="14"/>
      <c r="B437" s="10"/>
      <c r="C437" s="10"/>
      <c r="D437" s="11">
        <f t="shared" si="33"/>
        <v>0</v>
      </c>
      <c r="E437" s="4"/>
      <c r="F437" s="4"/>
      <c r="G437" s="15"/>
      <c r="H437" s="15"/>
      <c r="I437" s="4"/>
      <c r="J437" s="15">
        <f t="shared" si="32"/>
        <v>0</v>
      </c>
      <c r="K437" s="4"/>
    </row>
    <row r="438" spans="1:11" ht="15.75" x14ac:dyDescent="0.25">
      <c r="A438" s="14"/>
      <c r="B438" s="10">
        <f>SUM(B403:B437)</f>
        <v>38614591.820000015</v>
      </c>
      <c r="C438" s="10">
        <f>SUM(C403:C437)</f>
        <v>3344725.45</v>
      </c>
      <c r="D438" s="11">
        <f t="shared" si="33"/>
        <v>35269866.370000012</v>
      </c>
      <c r="E438" s="4"/>
      <c r="F438" s="15"/>
      <c r="G438" s="15"/>
      <c r="H438" s="15"/>
      <c r="I438" s="4"/>
      <c r="J438" s="15">
        <f t="shared" si="32"/>
        <v>-35269866.370000012</v>
      </c>
      <c r="K438" s="4"/>
    </row>
    <row r="440" spans="1:11" ht="18.75" x14ac:dyDescent="0.3">
      <c r="A440" s="1"/>
      <c r="B440" s="57" t="s">
        <v>267</v>
      </c>
      <c r="C440" s="57"/>
      <c r="D440" s="2"/>
      <c r="E440" s="3"/>
      <c r="F440" s="4"/>
      <c r="G440" s="15"/>
      <c r="H440" s="4"/>
      <c r="I440" s="4"/>
      <c r="J440" s="4"/>
      <c r="K440" s="4"/>
    </row>
    <row r="441" spans="1:11" ht="15.75" x14ac:dyDescent="0.25">
      <c r="A441" s="5"/>
      <c r="B441" s="6"/>
      <c r="C441" s="23" t="s">
        <v>6</v>
      </c>
      <c r="D441" s="7"/>
      <c r="E441" s="3"/>
      <c r="F441" s="4"/>
      <c r="G441" s="15"/>
      <c r="H441" s="4"/>
      <c r="I441" s="4"/>
      <c r="J441" s="4"/>
      <c r="K441" s="4"/>
    </row>
    <row r="442" spans="1:11" ht="16.5" thickBot="1" x14ac:dyDescent="0.3">
      <c r="A442" s="19" t="s">
        <v>0</v>
      </c>
      <c r="B442" s="20" t="s">
        <v>1</v>
      </c>
      <c r="C442" s="21" t="s">
        <v>2</v>
      </c>
      <c r="D442" s="22" t="s">
        <v>4</v>
      </c>
      <c r="E442" s="3"/>
      <c r="F442" s="38" t="s">
        <v>19</v>
      </c>
      <c r="G442" s="32" t="s">
        <v>10</v>
      </c>
      <c r="H442" s="27" t="s">
        <v>8</v>
      </c>
      <c r="I442" s="50"/>
      <c r="J442" s="33" t="s">
        <v>11</v>
      </c>
      <c r="K442" s="34" t="s">
        <v>13</v>
      </c>
    </row>
    <row r="443" spans="1:11" ht="16.5" thickTop="1" x14ac:dyDescent="0.25">
      <c r="A443" s="9"/>
      <c r="B443" s="10"/>
      <c r="C443" s="10"/>
      <c r="D443" s="11">
        <f>B443-C443</f>
        <v>0</v>
      </c>
      <c r="E443" s="25"/>
      <c r="F443" s="15"/>
      <c r="G443" s="15"/>
      <c r="H443" s="15"/>
      <c r="I443" s="37">
        <f>H443+G443+F443</f>
        <v>0</v>
      </c>
      <c r="J443" s="15">
        <f t="shared" ref="J443:J478" si="35">H443+G443+F443-D443</f>
        <v>0</v>
      </c>
      <c r="K443" s="4"/>
    </row>
    <row r="444" spans="1:11" ht="15.75" x14ac:dyDescent="0.25">
      <c r="A444" s="9"/>
      <c r="B444" s="10"/>
      <c r="C444" s="10"/>
      <c r="D444" s="11">
        <f t="shared" ref="D444:D478" si="36">B444-C444</f>
        <v>0</v>
      </c>
      <c r="E444" s="25"/>
      <c r="F444" s="31"/>
      <c r="G444" s="31"/>
      <c r="H444" s="15"/>
      <c r="I444" s="37">
        <f t="shared" ref="I444:I473" si="37">H444+G444+F444</f>
        <v>0</v>
      </c>
      <c r="J444" s="15">
        <f t="shared" si="35"/>
        <v>0</v>
      </c>
      <c r="K444" s="4"/>
    </row>
    <row r="445" spans="1:11" ht="15.75" x14ac:dyDescent="0.25">
      <c r="A445" s="9"/>
      <c r="B445" s="10"/>
      <c r="C445" s="10"/>
      <c r="D445" s="11">
        <f t="shared" si="36"/>
        <v>0</v>
      </c>
      <c r="E445" s="25"/>
      <c r="F445" s="15"/>
      <c r="G445" s="15"/>
      <c r="H445" s="15"/>
      <c r="I445" s="37">
        <f t="shared" si="37"/>
        <v>0</v>
      </c>
      <c r="J445" s="15">
        <f t="shared" si="35"/>
        <v>0</v>
      </c>
      <c r="K445" s="43"/>
    </row>
    <row r="446" spans="1:11" ht="15.75" x14ac:dyDescent="0.25">
      <c r="A446" s="9"/>
      <c r="B446" s="10"/>
      <c r="C446" s="10"/>
      <c r="D446" s="11">
        <f t="shared" si="36"/>
        <v>0</v>
      </c>
      <c r="E446" s="25"/>
      <c r="F446" s="15"/>
      <c r="G446" s="15"/>
      <c r="H446" s="15"/>
      <c r="I446" s="37">
        <f t="shared" si="37"/>
        <v>0</v>
      </c>
      <c r="J446" s="15">
        <f t="shared" si="35"/>
        <v>0</v>
      </c>
      <c r="K446" s="4"/>
    </row>
    <row r="447" spans="1:11" ht="15.75" x14ac:dyDescent="0.25">
      <c r="A447" s="9"/>
      <c r="B447" s="10"/>
      <c r="C447" s="10"/>
      <c r="D447" s="11">
        <f t="shared" si="36"/>
        <v>0</v>
      </c>
      <c r="E447" s="25"/>
      <c r="F447" s="15"/>
      <c r="G447" s="15"/>
      <c r="H447" s="15"/>
      <c r="I447" s="37">
        <f t="shared" si="37"/>
        <v>0</v>
      </c>
      <c r="J447" s="15">
        <f t="shared" si="35"/>
        <v>0</v>
      </c>
      <c r="K447" s="4"/>
    </row>
    <row r="448" spans="1:11" ht="15.75" x14ac:dyDescent="0.25">
      <c r="A448" s="9"/>
      <c r="B448" s="10"/>
      <c r="C448" s="10"/>
      <c r="D448" s="11">
        <f t="shared" si="36"/>
        <v>0</v>
      </c>
      <c r="E448" s="25"/>
      <c r="F448" s="15"/>
      <c r="G448" s="15"/>
      <c r="H448" s="15"/>
      <c r="I448" s="37">
        <f t="shared" si="37"/>
        <v>0</v>
      </c>
      <c r="J448" s="15">
        <f t="shared" si="35"/>
        <v>0</v>
      </c>
      <c r="K448" s="4"/>
    </row>
    <row r="449" spans="1:11" ht="15.75" x14ac:dyDescent="0.25">
      <c r="A449" s="9"/>
      <c r="B449" s="10"/>
      <c r="C449" s="10"/>
      <c r="D449" s="11">
        <f t="shared" si="36"/>
        <v>0</v>
      </c>
      <c r="E449" s="25"/>
      <c r="F449" s="15"/>
      <c r="G449" s="15"/>
      <c r="H449" s="15"/>
      <c r="I449" s="37">
        <f t="shared" si="37"/>
        <v>0</v>
      </c>
      <c r="J449" s="15">
        <f t="shared" si="35"/>
        <v>0</v>
      </c>
      <c r="K449" s="4"/>
    </row>
    <row r="450" spans="1:11" ht="15.75" x14ac:dyDescent="0.25">
      <c r="A450" s="9"/>
      <c r="B450" s="10"/>
      <c r="C450" s="10"/>
      <c r="D450" s="11">
        <f t="shared" si="36"/>
        <v>0</v>
      </c>
      <c r="E450" s="25"/>
      <c r="F450" s="15"/>
      <c r="G450" s="15"/>
      <c r="H450" s="15"/>
      <c r="I450" s="37">
        <f t="shared" si="37"/>
        <v>0</v>
      </c>
      <c r="J450" s="15">
        <f t="shared" si="35"/>
        <v>0</v>
      </c>
      <c r="K450" s="4"/>
    </row>
    <row r="451" spans="1:11" ht="15.75" x14ac:dyDescent="0.25">
      <c r="A451" s="9"/>
      <c r="B451" s="10"/>
      <c r="C451" s="10"/>
      <c r="D451" s="11">
        <f t="shared" si="36"/>
        <v>0</v>
      </c>
      <c r="E451" s="25"/>
      <c r="F451" s="15"/>
      <c r="G451" s="15"/>
      <c r="H451" s="15"/>
      <c r="I451" s="37">
        <f t="shared" si="37"/>
        <v>0</v>
      </c>
      <c r="J451" s="15">
        <f t="shared" si="35"/>
        <v>0</v>
      </c>
      <c r="K451" s="4"/>
    </row>
    <row r="452" spans="1:11" ht="15.75" x14ac:dyDescent="0.25">
      <c r="A452" s="9"/>
      <c r="B452" s="10"/>
      <c r="C452" s="10"/>
      <c r="D452" s="11">
        <f t="shared" si="36"/>
        <v>0</v>
      </c>
      <c r="E452" s="25"/>
      <c r="F452" s="15"/>
      <c r="G452" s="15"/>
      <c r="H452" s="15"/>
      <c r="I452" s="37">
        <f t="shared" si="37"/>
        <v>0</v>
      </c>
      <c r="J452" s="15">
        <f t="shared" si="35"/>
        <v>0</v>
      </c>
      <c r="K452" s="4"/>
    </row>
    <row r="453" spans="1:11" ht="15.75" x14ac:dyDescent="0.25">
      <c r="A453" s="9"/>
      <c r="B453" s="10"/>
      <c r="C453" s="10"/>
      <c r="D453" s="11">
        <f t="shared" si="36"/>
        <v>0</v>
      </c>
      <c r="E453" s="25"/>
      <c r="F453" s="15"/>
      <c r="G453" s="15"/>
      <c r="H453" s="15"/>
      <c r="I453" s="37">
        <f t="shared" si="37"/>
        <v>0</v>
      </c>
      <c r="J453" s="15">
        <f t="shared" si="35"/>
        <v>0</v>
      </c>
      <c r="K453" s="4"/>
    </row>
    <row r="454" spans="1:11" ht="15.75" x14ac:dyDescent="0.25">
      <c r="A454" s="9"/>
      <c r="B454" s="10"/>
      <c r="C454" s="10"/>
      <c r="D454" s="11">
        <f t="shared" si="36"/>
        <v>0</v>
      </c>
      <c r="E454" s="25"/>
      <c r="F454" s="15"/>
      <c r="G454" s="15"/>
      <c r="H454" s="15"/>
      <c r="I454" s="37">
        <f t="shared" si="37"/>
        <v>0</v>
      </c>
      <c r="J454" s="15">
        <f t="shared" si="35"/>
        <v>0</v>
      </c>
      <c r="K454" s="4"/>
    </row>
    <row r="455" spans="1:11" ht="15.75" x14ac:dyDescent="0.25">
      <c r="A455" s="9"/>
      <c r="B455" s="10"/>
      <c r="C455" s="10"/>
      <c r="D455" s="11">
        <f t="shared" si="36"/>
        <v>0</v>
      </c>
      <c r="E455" s="25"/>
      <c r="F455" s="15"/>
      <c r="G455" s="15"/>
      <c r="H455" s="15"/>
      <c r="I455" s="37">
        <f t="shared" si="37"/>
        <v>0</v>
      </c>
      <c r="J455" s="15">
        <f t="shared" si="35"/>
        <v>0</v>
      </c>
      <c r="K455" s="4"/>
    </row>
    <row r="456" spans="1:11" ht="15.75" x14ac:dyDescent="0.25">
      <c r="A456" s="9"/>
      <c r="B456" s="10"/>
      <c r="C456" s="10"/>
      <c r="D456" s="11">
        <f t="shared" si="36"/>
        <v>0</v>
      </c>
      <c r="E456" s="25"/>
      <c r="F456" s="15"/>
      <c r="G456" s="15"/>
      <c r="H456" s="15"/>
      <c r="I456" s="37">
        <f t="shared" si="37"/>
        <v>0</v>
      </c>
      <c r="J456" s="15">
        <f t="shared" si="35"/>
        <v>0</v>
      </c>
      <c r="K456" s="4"/>
    </row>
    <row r="457" spans="1:11" ht="15.75" x14ac:dyDescent="0.25">
      <c r="A457" s="9"/>
      <c r="B457" s="10"/>
      <c r="C457" s="10"/>
      <c r="D457" s="11">
        <f t="shared" si="36"/>
        <v>0</v>
      </c>
      <c r="E457" s="25"/>
      <c r="F457" s="15"/>
      <c r="G457" s="15"/>
      <c r="H457" s="15"/>
      <c r="I457" s="37">
        <f t="shared" si="37"/>
        <v>0</v>
      </c>
      <c r="J457" s="15">
        <f t="shared" si="35"/>
        <v>0</v>
      </c>
      <c r="K457" s="4"/>
    </row>
    <row r="458" spans="1:11" ht="15.75" x14ac:dyDescent="0.25">
      <c r="A458" s="9"/>
      <c r="B458" s="10"/>
      <c r="C458" s="10"/>
      <c r="D458" s="11">
        <f t="shared" si="36"/>
        <v>0</v>
      </c>
      <c r="E458" s="25"/>
      <c r="F458" s="15"/>
      <c r="G458" s="15"/>
      <c r="H458" s="15"/>
      <c r="I458" s="37">
        <f t="shared" si="37"/>
        <v>0</v>
      </c>
      <c r="J458" s="15">
        <f t="shared" si="35"/>
        <v>0</v>
      </c>
      <c r="K458" s="4"/>
    </row>
    <row r="459" spans="1:11" ht="15.75" x14ac:dyDescent="0.25">
      <c r="A459" s="9"/>
      <c r="B459" s="10"/>
      <c r="C459" s="10"/>
      <c r="D459" s="11">
        <f t="shared" si="36"/>
        <v>0</v>
      </c>
      <c r="E459" s="25"/>
      <c r="F459" s="15"/>
      <c r="G459" s="15"/>
      <c r="H459" s="15"/>
      <c r="I459" s="37">
        <f t="shared" si="37"/>
        <v>0</v>
      </c>
      <c r="J459" s="15">
        <f t="shared" si="35"/>
        <v>0</v>
      </c>
      <c r="K459" s="4"/>
    </row>
    <row r="460" spans="1:11" ht="15.75" x14ac:dyDescent="0.25">
      <c r="A460" s="9"/>
      <c r="B460" s="10"/>
      <c r="C460" s="10"/>
      <c r="D460" s="11">
        <f t="shared" si="36"/>
        <v>0</v>
      </c>
      <c r="E460" s="25"/>
      <c r="F460" s="15"/>
      <c r="G460" s="15"/>
      <c r="H460" s="15"/>
      <c r="I460" s="37">
        <f t="shared" si="37"/>
        <v>0</v>
      </c>
      <c r="J460" s="15">
        <f t="shared" si="35"/>
        <v>0</v>
      </c>
      <c r="K460" s="4"/>
    </row>
    <row r="461" spans="1:11" ht="15.75" x14ac:dyDescent="0.25">
      <c r="A461" s="9"/>
      <c r="B461" s="10"/>
      <c r="C461" s="10"/>
      <c r="D461" s="11">
        <f t="shared" si="36"/>
        <v>0</v>
      </c>
      <c r="E461" s="25"/>
      <c r="F461" s="15"/>
      <c r="G461" s="15"/>
      <c r="H461" s="15"/>
      <c r="I461" s="37">
        <f t="shared" si="37"/>
        <v>0</v>
      </c>
      <c r="J461" s="15">
        <f t="shared" si="35"/>
        <v>0</v>
      </c>
      <c r="K461" s="4"/>
    </row>
    <row r="462" spans="1:11" ht="15.75" x14ac:dyDescent="0.25">
      <c r="A462" s="9"/>
      <c r="B462" s="10"/>
      <c r="C462" s="10"/>
      <c r="D462" s="11">
        <f t="shared" si="36"/>
        <v>0</v>
      </c>
      <c r="E462" s="25"/>
      <c r="F462" s="15"/>
      <c r="G462" s="15"/>
      <c r="H462" s="15"/>
      <c r="I462" s="37">
        <f t="shared" si="37"/>
        <v>0</v>
      </c>
      <c r="J462" s="15">
        <f t="shared" si="35"/>
        <v>0</v>
      </c>
      <c r="K462" s="4"/>
    </row>
    <row r="463" spans="1:11" ht="15.75" x14ac:dyDescent="0.25">
      <c r="A463" s="9"/>
      <c r="B463" s="10"/>
      <c r="C463" s="10"/>
      <c r="D463" s="11">
        <f t="shared" si="36"/>
        <v>0</v>
      </c>
      <c r="E463" s="25"/>
      <c r="F463" s="15"/>
      <c r="G463" s="15"/>
      <c r="H463" s="15"/>
      <c r="I463" s="37">
        <f t="shared" si="37"/>
        <v>0</v>
      </c>
      <c r="J463" s="15">
        <f t="shared" si="35"/>
        <v>0</v>
      </c>
      <c r="K463" s="15"/>
    </row>
    <row r="464" spans="1:11" ht="15.75" x14ac:dyDescent="0.25">
      <c r="A464" s="9"/>
      <c r="B464" s="10"/>
      <c r="C464" s="10"/>
      <c r="D464" s="11">
        <f t="shared" si="36"/>
        <v>0</v>
      </c>
      <c r="E464" s="25"/>
      <c r="F464" s="15"/>
      <c r="G464" s="15"/>
      <c r="H464" s="15"/>
      <c r="I464" s="37">
        <f t="shared" si="37"/>
        <v>0</v>
      </c>
      <c r="J464" s="15">
        <f t="shared" si="35"/>
        <v>0</v>
      </c>
      <c r="K464" s="4"/>
    </row>
    <row r="465" spans="1:11" ht="15.75" x14ac:dyDescent="0.25">
      <c r="A465" s="9"/>
      <c r="B465" s="10"/>
      <c r="C465" s="10"/>
      <c r="D465" s="11">
        <f t="shared" si="36"/>
        <v>0</v>
      </c>
      <c r="E465" s="25"/>
      <c r="F465" s="15"/>
      <c r="G465" s="15"/>
      <c r="H465" s="15"/>
      <c r="I465" s="37">
        <f t="shared" si="37"/>
        <v>0</v>
      </c>
      <c r="J465" s="15">
        <f t="shared" si="35"/>
        <v>0</v>
      </c>
      <c r="K465" s="4"/>
    </row>
    <row r="466" spans="1:11" ht="15.75" x14ac:dyDescent="0.25">
      <c r="A466" s="9"/>
      <c r="B466" s="10"/>
      <c r="C466" s="10"/>
      <c r="D466" s="11">
        <f t="shared" si="36"/>
        <v>0</v>
      </c>
      <c r="E466" s="25"/>
      <c r="F466" s="15"/>
      <c r="G466" s="15"/>
      <c r="H466" s="15"/>
      <c r="I466" s="37">
        <f t="shared" si="37"/>
        <v>0</v>
      </c>
      <c r="J466" s="15">
        <f t="shared" si="35"/>
        <v>0</v>
      </c>
      <c r="K466" s="15"/>
    </row>
    <row r="467" spans="1:11" ht="15.75" x14ac:dyDescent="0.25">
      <c r="A467" s="9"/>
      <c r="B467" s="79"/>
      <c r="C467" s="80"/>
      <c r="D467" s="11">
        <f t="shared" si="36"/>
        <v>0</v>
      </c>
      <c r="E467" s="25"/>
      <c r="F467" s="15"/>
      <c r="G467" s="15"/>
      <c r="H467" s="15"/>
      <c r="I467" s="37">
        <f t="shared" si="37"/>
        <v>0</v>
      </c>
      <c r="J467" s="15">
        <f t="shared" si="35"/>
        <v>0</v>
      </c>
      <c r="K467" s="4"/>
    </row>
    <row r="468" spans="1:11" ht="15.75" x14ac:dyDescent="0.25">
      <c r="A468" s="9"/>
      <c r="B468" s="10"/>
      <c r="C468" s="10"/>
      <c r="D468" s="11">
        <f t="shared" si="36"/>
        <v>0</v>
      </c>
      <c r="E468" s="25"/>
      <c r="F468" s="15"/>
      <c r="G468" s="15"/>
      <c r="H468" s="15"/>
      <c r="I468" s="37">
        <f t="shared" si="37"/>
        <v>0</v>
      </c>
      <c r="J468" s="15">
        <f t="shared" si="35"/>
        <v>0</v>
      </c>
      <c r="K468" s="4"/>
    </row>
    <row r="469" spans="1:11" ht="15.75" x14ac:dyDescent="0.25">
      <c r="A469" s="9"/>
      <c r="B469" s="10"/>
      <c r="C469" s="10"/>
      <c r="D469" s="11">
        <f t="shared" si="36"/>
        <v>0</v>
      </c>
      <c r="E469" s="25"/>
      <c r="F469" s="15"/>
      <c r="G469" s="15"/>
      <c r="H469" s="15"/>
      <c r="I469" s="37">
        <f t="shared" si="37"/>
        <v>0</v>
      </c>
      <c r="J469" s="15">
        <f t="shared" si="35"/>
        <v>0</v>
      </c>
      <c r="K469" s="4"/>
    </row>
    <row r="470" spans="1:11" ht="15.75" x14ac:dyDescent="0.25">
      <c r="A470" s="9"/>
      <c r="B470" s="10"/>
      <c r="C470" s="10"/>
      <c r="D470" s="11">
        <f t="shared" si="36"/>
        <v>0</v>
      </c>
      <c r="E470" s="25"/>
      <c r="F470" s="15"/>
      <c r="G470" s="15"/>
      <c r="H470" s="15"/>
      <c r="I470" s="37">
        <f t="shared" si="37"/>
        <v>0</v>
      </c>
      <c r="J470" s="15">
        <f t="shared" si="35"/>
        <v>0</v>
      </c>
      <c r="K470" s="4"/>
    </row>
    <row r="471" spans="1:11" ht="15.75" x14ac:dyDescent="0.25">
      <c r="A471" s="9"/>
      <c r="B471" s="10"/>
      <c r="C471" s="10"/>
      <c r="D471" s="11">
        <f t="shared" si="36"/>
        <v>0</v>
      </c>
      <c r="E471" s="25"/>
      <c r="F471" s="15"/>
      <c r="G471" s="15"/>
      <c r="H471" s="15"/>
      <c r="I471" s="37">
        <f t="shared" si="37"/>
        <v>0</v>
      </c>
      <c r="J471" s="15">
        <f t="shared" si="35"/>
        <v>0</v>
      </c>
      <c r="K471" s="4"/>
    </row>
    <row r="472" spans="1:11" ht="15.75" x14ac:dyDescent="0.25">
      <c r="A472" s="9"/>
      <c r="B472" s="10"/>
      <c r="C472" s="10"/>
      <c r="D472" s="11">
        <f t="shared" si="36"/>
        <v>0</v>
      </c>
      <c r="E472" s="25"/>
      <c r="F472" s="15"/>
      <c r="G472" s="15"/>
      <c r="H472" s="15"/>
      <c r="I472" s="37">
        <f t="shared" si="37"/>
        <v>0</v>
      </c>
      <c r="J472" s="15">
        <f t="shared" si="35"/>
        <v>0</v>
      </c>
      <c r="K472" s="4"/>
    </row>
    <row r="473" spans="1:11" ht="15.75" x14ac:dyDescent="0.25">
      <c r="A473" s="9"/>
      <c r="B473" s="10"/>
      <c r="C473" s="10"/>
      <c r="D473" s="11">
        <f t="shared" si="36"/>
        <v>0</v>
      </c>
      <c r="E473" s="25"/>
      <c r="F473" s="15"/>
      <c r="G473" s="15"/>
      <c r="H473" s="15"/>
      <c r="I473" s="37">
        <f t="shared" si="37"/>
        <v>0</v>
      </c>
      <c r="J473" s="15">
        <f t="shared" si="35"/>
        <v>0</v>
      </c>
      <c r="K473" s="4"/>
    </row>
    <row r="474" spans="1:11" ht="15.75" x14ac:dyDescent="0.25">
      <c r="A474" s="9"/>
      <c r="B474" s="10"/>
      <c r="C474" s="10"/>
      <c r="D474" s="11">
        <f t="shared" si="36"/>
        <v>0</v>
      </c>
      <c r="E474" s="4"/>
      <c r="F474" s="4"/>
      <c r="G474" s="15"/>
      <c r="H474" s="15"/>
      <c r="I474" s="4"/>
      <c r="J474" s="15">
        <f t="shared" si="35"/>
        <v>0</v>
      </c>
      <c r="K474" s="4"/>
    </row>
    <row r="475" spans="1:11" ht="15.75" x14ac:dyDescent="0.25">
      <c r="A475" s="14"/>
      <c r="B475" s="10"/>
      <c r="C475" s="10"/>
      <c r="D475" s="11">
        <f t="shared" si="36"/>
        <v>0</v>
      </c>
      <c r="E475" s="4"/>
      <c r="F475" s="4"/>
      <c r="G475" s="15"/>
      <c r="H475" s="15"/>
      <c r="I475" s="4"/>
      <c r="J475" s="15">
        <f t="shared" si="35"/>
        <v>0</v>
      </c>
      <c r="K475" s="4"/>
    </row>
    <row r="476" spans="1:11" ht="15.75" x14ac:dyDescent="0.25">
      <c r="A476" s="14"/>
      <c r="B476" s="13"/>
      <c r="C476" s="10"/>
      <c r="D476" s="11">
        <f t="shared" si="36"/>
        <v>0</v>
      </c>
      <c r="E476" s="4"/>
      <c r="F476" s="4"/>
      <c r="G476" s="15"/>
      <c r="H476" s="15"/>
      <c r="I476" s="4"/>
      <c r="J476" s="15">
        <f t="shared" si="35"/>
        <v>0</v>
      </c>
      <c r="K476" s="4"/>
    </row>
    <row r="477" spans="1:11" ht="15.75" x14ac:dyDescent="0.25">
      <c r="A477" s="14"/>
      <c r="B477" s="10"/>
      <c r="C477" s="10"/>
      <c r="D477" s="11">
        <f t="shared" si="36"/>
        <v>0</v>
      </c>
      <c r="E477" s="4"/>
      <c r="F477" s="4"/>
      <c r="G477" s="15"/>
      <c r="H477" s="15"/>
      <c r="I477" s="4"/>
      <c r="J477" s="15">
        <f t="shared" si="35"/>
        <v>0</v>
      </c>
      <c r="K477" s="4"/>
    </row>
    <row r="478" spans="1:11" ht="15.75" x14ac:dyDescent="0.25">
      <c r="A478" s="14"/>
      <c r="B478" s="10">
        <f>SUM(B443:B477)</f>
        <v>0</v>
      </c>
      <c r="C478" s="10">
        <f>SUM(C443:C477)</f>
        <v>0</v>
      </c>
      <c r="D478" s="11">
        <f t="shared" si="36"/>
        <v>0</v>
      </c>
      <c r="E478" s="4"/>
      <c r="F478" s="15"/>
      <c r="G478" s="15"/>
      <c r="H478" s="15"/>
      <c r="I478" s="4"/>
      <c r="J478" s="15">
        <f t="shared" si="35"/>
        <v>0</v>
      </c>
      <c r="K478" s="4"/>
    </row>
  </sheetData>
  <mergeCells count="8">
    <mergeCell ref="T254:V254"/>
    <mergeCell ref="V292:X292"/>
    <mergeCell ref="Z77:AB77"/>
    <mergeCell ref="U52:W53"/>
    <mergeCell ref="B4:C4"/>
    <mergeCell ref="F4:G4"/>
    <mergeCell ref="F126:H126"/>
    <mergeCell ref="B126:C126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8"/>
  <sheetViews>
    <sheetView workbookViewId="0">
      <selection activeCell="E5" sqref="E5"/>
    </sheetView>
  </sheetViews>
  <sheetFormatPr baseColWidth="10" defaultRowHeight="15" x14ac:dyDescent="0.25"/>
  <cols>
    <col min="5" max="5" width="28.85546875" customWidth="1"/>
    <col min="6" max="6" width="12.42578125" bestFit="1" customWidth="1"/>
  </cols>
  <sheetData>
    <row r="2" spans="1:6" x14ac:dyDescent="0.25">
      <c r="C2" s="297" t="s">
        <v>848</v>
      </c>
      <c r="D2" s="297"/>
      <c r="E2" s="297"/>
    </row>
    <row r="4" spans="1:6" x14ac:dyDescent="0.25">
      <c r="A4" s="265">
        <v>42282</v>
      </c>
      <c r="B4" s="4" t="s">
        <v>854</v>
      </c>
      <c r="F4" s="245">
        <v>50000</v>
      </c>
    </row>
    <row r="5" spans="1:6" x14ac:dyDescent="0.25">
      <c r="A5" s="265">
        <v>42293</v>
      </c>
      <c r="B5" s="4" t="s">
        <v>853</v>
      </c>
      <c r="F5" s="245">
        <v>20000</v>
      </c>
    </row>
    <row r="6" spans="1:6" x14ac:dyDescent="0.25">
      <c r="A6" s="265">
        <v>42300</v>
      </c>
      <c r="B6" s="4" t="s">
        <v>855</v>
      </c>
      <c r="F6" s="245">
        <v>20000</v>
      </c>
    </row>
    <row r="7" spans="1:6" x14ac:dyDescent="0.25">
      <c r="A7" s="265">
        <v>42307</v>
      </c>
      <c r="B7" s="4" t="s">
        <v>851</v>
      </c>
      <c r="F7" s="245">
        <v>20000</v>
      </c>
    </row>
    <row r="8" spans="1:6" x14ac:dyDescent="0.25">
      <c r="A8" s="265">
        <v>42314</v>
      </c>
      <c r="B8" s="4" t="s">
        <v>852</v>
      </c>
      <c r="F8" s="245">
        <v>20000</v>
      </c>
    </row>
    <row r="9" spans="1:6" x14ac:dyDescent="0.25">
      <c r="A9" s="265">
        <v>42321</v>
      </c>
      <c r="B9" s="4" t="s">
        <v>853</v>
      </c>
      <c r="F9" s="245">
        <v>20000</v>
      </c>
    </row>
    <row r="10" spans="1:6" x14ac:dyDescent="0.25">
      <c r="A10" s="265">
        <v>42328</v>
      </c>
      <c r="B10" s="4" t="s">
        <v>853</v>
      </c>
      <c r="F10" s="245">
        <v>20000</v>
      </c>
    </row>
    <row r="11" spans="1:6" x14ac:dyDescent="0.25">
      <c r="A11" s="101"/>
      <c r="F11" s="245"/>
    </row>
    <row r="12" spans="1:6" x14ac:dyDescent="0.25">
      <c r="A12" s="101"/>
      <c r="F12" s="245"/>
    </row>
    <row r="13" spans="1:6" ht="15.75" x14ac:dyDescent="0.25">
      <c r="A13" s="101"/>
      <c r="F13" s="267">
        <f>SUM(F4:F12)</f>
        <v>170000</v>
      </c>
    </row>
    <row r="14" spans="1:6" x14ac:dyDescent="0.25">
      <c r="A14" s="101"/>
    </row>
    <row r="15" spans="1:6" x14ac:dyDescent="0.25">
      <c r="A15" s="101"/>
    </row>
    <row r="16" spans="1:6" x14ac:dyDescent="0.25">
      <c r="A16" s="101"/>
    </row>
    <row r="17" spans="1:6" x14ac:dyDescent="0.25">
      <c r="A17" s="101"/>
      <c r="C17" s="297" t="s">
        <v>847</v>
      </c>
      <c r="D17" s="297"/>
      <c r="E17" s="297"/>
    </row>
    <row r="18" spans="1:6" x14ac:dyDescent="0.25">
      <c r="A18" s="101"/>
      <c r="C18" s="101"/>
      <c r="D18" s="101"/>
      <c r="E18" s="101"/>
    </row>
    <row r="19" spans="1:6" x14ac:dyDescent="0.25">
      <c r="A19" s="265">
        <v>42261</v>
      </c>
      <c r="B19" s="4" t="s">
        <v>860</v>
      </c>
      <c r="F19" s="245">
        <v>250000</v>
      </c>
    </row>
    <row r="20" spans="1:6" x14ac:dyDescent="0.25">
      <c r="A20" s="265">
        <v>42263</v>
      </c>
      <c r="B20" s="4" t="s">
        <v>861</v>
      </c>
      <c r="F20" s="245">
        <v>60000</v>
      </c>
    </row>
    <row r="21" spans="1:6" x14ac:dyDescent="0.25">
      <c r="A21" s="265">
        <v>42290</v>
      </c>
      <c r="B21" s="266" t="s">
        <v>856</v>
      </c>
      <c r="F21" s="245">
        <v>250000</v>
      </c>
    </row>
    <row r="22" spans="1:6" x14ac:dyDescent="0.25">
      <c r="A22" s="265">
        <v>42294</v>
      </c>
      <c r="B22" s="4" t="s">
        <v>857</v>
      </c>
      <c r="F22" s="245">
        <v>40000</v>
      </c>
    </row>
    <row r="23" spans="1:6" x14ac:dyDescent="0.25">
      <c r="A23" s="265">
        <v>42324</v>
      </c>
      <c r="B23" s="4" t="s">
        <v>859</v>
      </c>
      <c r="F23" s="245">
        <v>200000</v>
      </c>
    </row>
    <row r="24" spans="1:6" x14ac:dyDescent="0.25">
      <c r="A24" s="265">
        <v>42325</v>
      </c>
      <c r="B24" s="4" t="s">
        <v>858</v>
      </c>
      <c r="F24" s="245">
        <v>100000</v>
      </c>
    </row>
    <row r="25" spans="1:6" x14ac:dyDescent="0.25">
      <c r="A25" s="101"/>
      <c r="F25" s="245"/>
    </row>
    <row r="26" spans="1:6" x14ac:dyDescent="0.25">
      <c r="A26" s="101"/>
      <c r="F26" s="245"/>
    </row>
    <row r="27" spans="1:6" ht="15.75" x14ac:dyDescent="0.25">
      <c r="A27" s="101"/>
      <c r="F27" s="267">
        <f>SUM(F19:F26)</f>
        <v>900000</v>
      </c>
    </row>
    <row r="28" spans="1:6" x14ac:dyDescent="0.25">
      <c r="A28" s="101"/>
    </row>
    <row r="29" spans="1:6" x14ac:dyDescent="0.25">
      <c r="A29" s="101"/>
    </row>
    <row r="30" spans="1:6" x14ac:dyDescent="0.25">
      <c r="A30" s="101"/>
    </row>
    <row r="31" spans="1:6" x14ac:dyDescent="0.25">
      <c r="A31" s="101"/>
    </row>
    <row r="32" spans="1:6" x14ac:dyDescent="0.25">
      <c r="A32" s="101"/>
    </row>
    <row r="33" spans="1:6" x14ac:dyDescent="0.25">
      <c r="A33" s="101"/>
      <c r="C33" s="297" t="s">
        <v>881</v>
      </c>
      <c r="D33" s="297"/>
      <c r="E33" s="297"/>
    </row>
    <row r="34" spans="1:6" x14ac:dyDescent="0.25">
      <c r="A34" s="101"/>
    </row>
    <row r="35" spans="1:6" x14ac:dyDescent="0.25">
      <c r="A35" s="265">
        <v>42328</v>
      </c>
      <c r="B35" t="s">
        <v>882</v>
      </c>
      <c r="F35" s="269">
        <v>2650</v>
      </c>
    </row>
    <row r="36" spans="1:6" x14ac:dyDescent="0.25">
      <c r="A36" s="101"/>
      <c r="F36" s="269"/>
    </row>
    <row r="37" spans="1:6" x14ac:dyDescent="0.25">
      <c r="A37" s="101"/>
      <c r="F37" s="269"/>
    </row>
    <row r="38" spans="1:6" x14ac:dyDescent="0.25">
      <c r="A38" s="101"/>
      <c r="F38" s="269"/>
    </row>
    <row r="39" spans="1:6" x14ac:dyDescent="0.25">
      <c r="A39" s="101"/>
      <c r="F39" s="269"/>
    </row>
    <row r="40" spans="1:6" x14ac:dyDescent="0.25">
      <c r="A40" s="101"/>
      <c r="F40" s="269"/>
    </row>
    <row r="41" spans="1:6" x14ac:dyDescent="0.25">
      <c r="A41" s="101"/>
      <c r="F41" s="269"/>
    </row>
    <row r="42" spans="1:6" x14ac:dyDescent="0.25">
      <c r="A42" s="101"/>
      <c r="F42" s="269"/>
    </row>
    <row r="43" spans="1:6" x14ac:dyDescent="0.25">
      <c r="A43" s="101"/>
      <c r="F43" s="269"/>
    </row>
    <row r="44" spans="1:6" x14ac:dyDescent="0.25">
      <c r="A44" s="101"/>
      <c r="F44" s="269"/>
    </row>
    <row r="45" spans="1:6" x14ac:dyDescent="0.25">
      <c r="A45" s="101"/>
      <c r="F45" s="269"/>
    </row>
    <row r="46" spans="1:6" x14ac:dyDescent="0.25">
      <c r="A46" s="101"/>
      <c r="F46" s="269"/>
    </row>
    <row r="47" spans="1:6" x14ac:dyDescent="0.25">
      <c r="A47" s="101"/>
      <c r="F47" s="269"/>
    </row>
    <row r="48" spans="1:6" x14ac:dyDescent="0.25">
      <c r="A48" s="101"/>
      <c r="F48" s="269"/>
    </row>
    <row r="49" spans="1:6" x14ac:dyDescent="0.25">
      <c r="A49" s="101"/>
      <c r="F49" s="269"/>
    </row>
    <row r="50" spans="1:6" x14ac:dyDescent="0.25">
      <c r="A50" s="101"/>
      <c r="F50" s="269"/>
    </row>
    <row r="51" spans="1:6" x14ac:dyDescent="0.25">
      <c r="A51" s="101"/>
      <c r="F51" s="269"/>
    </row>
    <row r="52" spans="1:6" x14ac:dyDescent="0.25">
      <c r="A52" s="101"/>
      <c r="F52" s="269"/>
    </row>
    <row r="53" spans="1:6" x14ac:dyDescent="0.25">
      <c r="A53" s="101"/>
      <c r="F53" s="269"/>
    </row>
    <row r="54" spans="1:6" x14ac:dyDescent="0.25">
      <c r="A54" s="101"/>
      <c r="F54" s="269"/>
    </row>
    <row r="55" spans="1:6" x14ac:dyDescent="0.25">
      <c r="A55" s="101"/>
      <c r="F55" s="269"/>
    </row>
    <row r="56" spans="1:6" x14ac:dyDescent="0.25">
      <c r="A56" s="101"/>
      <c r="F56" s="269"/>
    </row>
    <row r="57" spans="1:6" x14ac:dyDescent="0.25">
      <c r="F57" s="269"/>
    </row>
    <row r="58" spans="1:6" x14ac:dyDescent="0.25">
      <c r="F58" s="269"/>
    </row>
  </sheetData>
  <mergeCells count="3">
    <mergeCell ref="C17:E17"/>
    <mergeCell ref="C2:E2"/>
    <mergeCell ref="C33:E33"/>
  </mergeCell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80"/>
  <sheetViews>
    <sheetView topLeftCell="A406" workbookViewId="0">
      <selection activeCell="J424" sqref="J424"/>
    </sheetView>
  </sheetViews>
  <sheetFormatPr baseColWidth="10" defaultRowHeight="15" x14ac:dyDescent="0.25"/>
  <cols>
    <col min="2" max="2" width="21.7109375" customWidth="1"/>
    <col min="5" max="5" width="15.7109375" customWidth="1"/>
    <col min="7" max="7" width="8" customWidth="1"/>
    <col min="8" max="8" width="15.5703125" customWidth="1"/>
  </cols>
  <sheetData>
    <row r="2" spans="1:21" ht="18.75" x14ac:dyDescent="0.3">
      <c r="B2" s="299" t="s">
        <v>44</v>
      </c>
      <c r="C2" s="299"/>
      <c r="D2" s="299"/>
      <c r="E2" s="299"/>
      <c r="F2" s="299"/>
    </row>
    <row r="4" spans="1:21" s="4" customFormat="1" ht="16.5" thickBot="1" x14ac:dyDescent="0.3">
      <c r="A4" s="19" t="s">
        <v>0</v>
      </c>
      <c r="B4" s="20" t="s">
        <v>1</v>
      </c>
      <c r="C4" s="8" t="s">
        <v>3</v>
      </c>
      <c r="D4" s="21" t="s">
        <v>2</v>
      </c>
      <c r="E4" s="22" t="s">
        <v>4</v>
      </c>
      <c r="F4" s="27" t="s">
        <v>8</v>
      </c>
      <c r="J4" s="298" t="s">
        <v>73</v>
      </c>
      <c r="K4" s="298"/>
      <c r="L4" s="298"/>
      <c r="M4" s="298"/>
    </row>
    <row r="5" spans="1:21" s="4" customFormat="1" ht="16.5" thickTop="1" x14ac:dyDescent="0.25">
      <c r="A5" s="65">
        <v>42005</v>
      </c>
      <c r="B5" s="276" t="s">
        <v>45</v>
      </c>
      <c r="C5" s="277"/>
      <c r="D5" s="278"/>
      <c r="E5" s="66">
        <f>0</f>
        <v>0</v>
      </c>
      <c r="F5" s="30"/>
      <c r="G5" s="25"/>
      <c r="H5" s="15">
        <f>F5-E5</f>
        <v>0</v>
      </c>
      <c r="I5" s="15"/>
    </row>
    <row r="6" spans="1:21" s="4" customFormat="1" ht="15.75" x14ac:dyDescent="0.25">
      <c r="A6" s="9">
        <v>42006</v>
      </c>
      <c r="B6" s="10">
        <v>162213</v>
      </c>
      <c r="C6" s="10">
        <v>60473.45</v>
      </c>
      <c r="D6" s="10">
        <v>100</v>
      </c>
      <c r="E6" s="11">
        <f>B6-C6-D6</f>
        <v>101639.55</v>
      </c>
      <c r="F6" s="15">
        <f>50000+40000+11639.5</f>
        <v>101639.5</v>
      </c>
      <c r="G6" s="25" t="s">
        <v>9</v>
      </c>
      <c r="H6" s="15">
        <f t="shared" ref="H6:H36" si="0">F6-E6</f>
        <v>-5.0000000002910383E-2</v>
      </c>
      <c r="I6" s="15"/>
    </row>
    <row r="7" spans="1:21" s="4" customFormat="1" ht="15.75" x14ac:dyDescent="0.25">
      <c r="A7" s="9">
        <v>42007</v>
      </c>
      <c r="B7" s="10">
        <v>222192.5</v>
      </c>
      <c r="C7" s="10">
        <v>208377</v>
      </c>
      <c r="D7" s="10">
        <v>325</v>
      </c>
      <c r="E7" s="11">
        <f t="shared" ref="E7:E40" si="1">B7-C7-D7</f>
        <v>13490.5</v>
      </c>
      <c r="F7" s="15">
        <v>13490.5</v>
      </c>
      <c r="G7" s="25" t="s">
        <v>9</v>
      </c>
      <c r="H7" s="15">
        <f t="shared" si="0"/>
        <v>0</v>
      </c>
      <c r="I7" s="15"/>
    </row>
    <row r="8" spans="1:21" s="4" customFormat="1" ht="15.75" x14ac:dyDescent="0.25">
      <c r="A8" s="9">
        <v>42008</v>
      </c>
      <c r="B8" s="10">
        <v>74498</v>
      </c>
      <c r="C8" s="10">
        <v>54117.85</v>
      </c>
      <c r="D8" s="10">
        <v>330</v>
      </c>
      <c r="E8" s="11">
        <f t="shared" si="1"/>
        <v>20050.150000000001</v>
      </c>
      <c r="F8" s="15">
        <v>20050</v>
      </c>
      <c r="G8" s="25" t="s">
        <v>9</v>
      </c>
      <c r="H8" s="15">
        <f t="shared" si="0"/>
        <v>-0.15000000000145519</v>
      </c>
      <c r="I8" s="15"/>
    </row>
    <row r="9" spans="1:21" s="4" customFormat="1" ht="15.75" x14ac:dyDescent="0.25">
      <c r="A9" s="9">
        <v>42009</v>
      </c>
      <c r="B9" s="10">
        <v>244072</v>
      </c>
      <c r="C9" s="10">
        <v>238473.49</v>
      </c>
      <c r="D9" s="10">
        <v>170</v>
      </c>
      <c r="E9" s="11">
        <f t="shared" si="1"/>
        <v>5428.5100000000093</v>
      </c>
      <c r="F9" s="15">
        <v>5428.5</v>
      </c>
      <c r="G9" s="25" t="s">
        <v>9</v>
      </c>
      <c r="H9" s="15">
        <f t="shared" si="0"/>
        <v>-1.0000000009313226E-2</v>
      </c>
      <c r="I9" s="15" t="s">
        <v>71</v>
      </c>
    </row>
    <row r="10" spans="1:21" s="4" customFormat="1" ht="15.75" x14ac:dyDescent="0.25">
      <c r="A10" s="9">
        <v>42010</v>
      </c>
      <c r="B10" s="10">
        <v>150681</v>
      </c>
      <c r="C10" s="10">
        <v>146843</v>
      </c>
      <c r="D10" s="10">
        <v>100</v>
      </c>
      <c r="E10" s="11">
        <f t="shared" si="1"/>
        <v>3738</v>
      </c>
      <c r="F10" s="15">
        <v>3738</v>
      </c>
      <c r="G10" s="25" t="s">
        <v>9</v>
      </c>
      <c r="H10" s="15">
        <f t="shared" si="0"/>
        <v>0</v>
      </c>
      <c r="I10" s="73" t="s">
        <v>70</v>
      </c>
      <c r="J10" s="74"/>
    </row>
    <row r="11" spans="1:21" s="4" customFormat="1" ht="15.75" x14ac:dyDescent="0.25">
      <c r="A11" s="9">
        <v>42011</v>
      </c>
      <c r="B11" s="10">
        <v>136376</v>
      </c>
      <c r="C11" s="10">
        <v>122924.68</v>
      </c>
      <c r="D11" s="10">
        <v>308</v>
      </c>
      <c r="E11" s="11">
        <f t="shared" si="1"/>
        <v>13143.320000000007</v>
      </c>
      <c r="F11" s="15">
        <v>13143.5</v>
      </c>
      <c r="G11" s="25" t="s">
        <v>9</v>
      </c>
      <c r="H11" s="15">
        <f t="shared" si="0"/>
        <v>0.17999999999301508</v>
      </c>
      <c r="I11" s="73" t="s">
        <v>81</v>
      </c>
      <c r="J11" s="74"/>
      <c r="K11" s="74"/>
    </row>
    <row r="12" spans="1:21" s="4" customFormat="1" ht="15.75" x14ac:dyDescent="0.25">
      <c r="A12" s="9">
        <v>42012</v>
      </c>
      <c r="B12" s="10">
        <v>164194.5</v>
      </c>
      <c r="C12" s="10">
        <v>153296.70000000001</v>
      </c>
      <c r="D12" s="10">
        <v>210</v>
      </c>
      <c r="E12" s="11">
        <f t="shared" si="1"/>
        <v>10687.799999999988</v>
      </c>
      <c r="F12" s="15">
        <v>10688</v>
      </c>
      <c r="G12" s="25" t="s">
        <v>9</v>
      </c>
      <c r="H12" s="15">
        <f t="shared" si="0"/>
        <v>0.20000000001164153</v>
      </c>
      <c r="I12" s="72" t="s">
        <v>72</v>
      </c>
      <c r="J12" s="51"/>
      <c r="K12" s="51"/>
      <c r="L12" s="51"/>
      <c r="M12" s="51"/>
    </row>
    <row r="13" spans="1:21" s="4" customFormat="1" ht="15.75" x14ac:dyDescent="0.25">
      <c r="A13" s="9">
        <v>42013</v>
      </c>
      <c r="B13" s="10">
        <v>230654.5</v>
      </c>
      <c r="C13" s="10">
        <v>208954.46</v>
      </c>
      <c r="D13" s="10">
        <v>110</v>
      </c>
      <c r="E13" s="11">
        <f t="shared" si="1"/>
        <v>21590.040000000008</v>
      </c>
      <c r="F13" s="15">
        <v>21590</v>
      </c>
      <c r="G13" s="25" t="s">
        <v>9</v>
      </c>
      <c r="H13" s="15">
        <f t="shared" si="0"/>
        <v>-4.0000000008149073E-2</v>
      </c>
      <c r="I13" s="72" t="s">
        <v>74</v>
      </c>
      <c r="J13" s="51"/>
      <c r="K13" s="51"/>
    </row>
    <row r="14" spans="1:21" s="4" customFormat="1" ht="15.75" x14ac:dyDescent="0.25">
      <c r="A14" s="9">
        <v>42014</v>
      </c>
      <c r="B14" s="10">
        <v>190444</v>
      </c>
      <c r="C14" s="10">
        <v>162799</v>
      </c>
      <c r="D14" s="10">
        <v>110</v>
      </c>
      <c r="E14" s="11">
        <f t="shared" si="1"/>
        <v>27535</v>
      </c>
      <c r="F14" s="15">
        <v>27535</v>
      </c>
      <c r="G14" s="25" t="s">
        <v>9</v>
      </c>
      <c r="H14" s="15">
        <f t="shared" si="0"/>
        <v>0</v>
      </c>
      <c r="I14" s="15" t="s">
        <v>75</v>
      </c>
    </row>
    <row r="15" spans="1:21" s="4" customFormat="1" ht="15.75" x14ac:dyDescent="0.25">
      <c r="A15" s="9">
        <v>42015</v>
      </c>
      <c r="B15" s="10">
        <v>169902</v>
      </c>
      <c r="C15" s="10">
        <v>168000</v>
      </c>
      <c r="D15" s="10">
        <v>200</v>
      </c>
      <c r="E15" s="11">
        <f t="shared" si="1"/>
        <v>1702</v>
      </c>
      <c r="F15" s="15">
        <v>1702</v>
      </c>
      <c r="G15" s="25" t="s">
        <v>9</v>
      </c>
      <c r="H15" s="15">
        <f t="shared" si="0"/>
        <v>0</v>
      </c>
      <c r="I15" s="30" t="s">
        <v>76</v>
      </c>
      <c r="J15" s="24"/>
      <c r="K15" s="24"/>
      <c r="L15" s="24"/>
      <c r="M15" s="24"/>
    </row>
    <row r="16" spans="1:21" s="4" customFormat="1" ht="15.75" x14ac:dyDescent="0.25">
      <c r="A16" s="9">
        <v>42016</v>
      </c>
      <c r="B16" s="10">
        <v>204873.5</v>
      </c>
      <c r="C16" s="10">
        <v>145094.1</v>
      </c>
      <c r="D16" s="10">
        <v>200</v>
      </c>
      <c r="E16" s="11">
        <f t="shared" si="1"/>
        <v>59579.399999999994</v>
      </c>
      <c r="F16" s="15">
        <f>45000+14579.5</f>
        <v>59579.5</v>
      </c>
      <c r="G16" s="25" t="s">
        <v>9</v>
      </c>
      <c r="H16" s="15">
        <f t="shared" si="0"/>
        <v>0.10000000000582077</v>
      </c>
      <c r="I16" s="55" t="s">
        <v>77</v>
      </c>
      <c r="J16" s="46"/>
      <c r="K16" s="46"/>
      <c r="L16" s="46"/>
      <c r="M16" s="75"/>
      <c r="N16" s="75"/>
      <c r="O16" s="75"/>
      <c r="P16" s="75"/>
      <c r="Q16" s="24"/>
      <c r="R16" s="24"/>
      <c r="S16" s="24"/>
      <c r="T16" s="24"/>
      <c r="U16" s="24"/>
    </row>
    <row r="17" spans="1:19" s="4" customFormat="1" ht="15.75" x14ac:dyDescent="0.25">
      <c r="A17" s="9">
        <v>42017</v>
      </c>
      <c r="B17" s="10">
        <v>98030.5</v>
      </c>
      <c r="C17" s="10">
        <v>89778.7</v>
      </c>
      <c r="D17" s="10">
        <v>110</v>
      </c>
      <c r="E17" s="11">
        <f t="shared" si="1"/>
        <v>8141.8000000000029</v>
      </c>
      <c r="F17" s="15">
        <v>8142</v>
      </c>
      <c r="G17" s="25" t="s">
        <v>9</v>
      </c>
      <c r="H17" s="15">
        <f t="shared" si="0"/>
        <v>0.19999999999708962</v>
      </c>
      <c r="I17" s="15"/>
    </row>
    <row r="18" spans="1:19" s="4" customFormat="1" ht="15.75" x14ac:dyDescent="0.25">
      <c r="A18" s="9">
        <v>42018</v>
      </c>
      <c r="B18" s="10">
        <v>106035</v>
      </c>
      <c r="C18" s="10">
        <v>83028.12</v>
      </c>
      <c r="D18" s="10">
        <v>196</v>
      </c>
      <c r="E18" s="11">
        <f t="shared" si="1"/>
        <v>22810.880000000005</v>
      </c>
      <c r="F18" s="15">
        <v>22811</v>
      </c>
      <c r="G18" s="25" t="s">
        <v>9</v>
      </c>
      <c r="H18" s="15">
        <f t="shared" si="0"/>
        <v>0.11999999999534339</v>
      </c>
      <c r="I18" s="68" t="s">
        <v>82</v>
      </c>
      <c r="J18" s="69"/>
      <c r="K18" s="76"/>
      <c r="L18" s="76"/>
      <c r="M18" s="76"/>
      <c r="N18" s="76"/>
      <c r="O18" s="77"/>
      <c r="P18" s="77"/>
      <c r="Q18" s="77"/>
      <c r="R18" s="77"/>
    </row>
    <row r="19" spans="1:19" s="4" customFormat="1" ht="15.75" x14ac:dyDescent="0.25">
      <c r="A19" s="9">
        <v>42019</v>
      </c>
      <c r="B19" s="10">
        <v>82410.5</v>
      </c>
      <c r="C19" s="10">
        <v>75538</v>
      </c>
      <c r="D19" s="10">
        <v>110</v>
      </c>
      <c r="E19" s="11">
        <f t="shared" si="1"/>
        <v>6762.5</v>
      </c>
      <c r="F19" s="15">
        <f>5000+1762.5</f>
        <v>6762.5</v>
      </c>
      <c r="G19" s="25" t="s">
        <v>9</v>
      </c>
      <c r="H19" s="15">
        <f t="shared" si="0"/>
        <v>0</v>
      </c>
      <c r="I19" s="68" t="s">
        <v>78</v>
      </c>
      <c r="J19" s="69"/>
      <c r="K19" s="69"/>
    </row>
    <row r="20" spans="1:19" s="4" customFormat="1" ht="15.75" x14ac:dyDescent="0.25">
      <c r="A20" s="9">
        <v>42020</v>
      </c>
      <c r="B20" s="10">
        <v>89080.5</v>
      </c>
      <c r="C20" s="10">
        <v>85457.3</v>
      </c>
      <c r="D20" s="10">
        <v>110</v>
      </c>
      <c r="E20" s="11">
        <f t="shared" si="1"/>
        <v>3513.1999999999971</v>
      </c>
      <c r="F20" s="15">
        <v>3513</v>
      </c>
      <c r="G20" s="25" t="s">
        <v>9</v>
      </c>
      <c r="H20" s="15">
        <f t="shared" si="0"/>
        <v>-0.19999999999708962</v>
      </c>
      <c r="I20" s="68" t="s">
        <v>79</v>
      </c>
      <c r="J20" s="69"/>
      <c r="K20" s="69"/>
      <c r="L20" s="69"/>
      <c r="Q20" s="70"/>
      <c r="R20" s="70"/>
    </row>
    <row r="21" spans="1:19" s="4" customFormat="1" ht="15.75" x14ac:dyDescent="0.25">
      <c r="A21" s="9">
        <v>42021</v>
      </c>
      <c r="B21" s="10">
        <v>171586.5</v>
      </c>
      <c r="C21" s="10">
        <v>159988</v>
      </c>
      <c r="D21" s="10">
        <v>170</v>
      </c>
      <c r="E21" s="11">
        <f t="shared" si="1"/>
        <v>11428.5</v>
      </c>
      <c r="F21" s="15">
        <f>11129+300</f>
        <v>11429</v>
      </c>
      <c r="G21" s="25" t="s">
        <v>9</v>
      </c>
      <c r="H21" s="15">
        <f t="shared" si="0"/>
        <v>0.5</v>
      </c>
      <c r="I21" s="71" t="s">
        <v>80</v>
      </c>
      <c r="J21" s="70"/>
      <c r="K21" s="70"/>
      <c r="L21" s="70"/>
    </row>
    <row r="22" spans="1:19" s="4" customFormat="1" ht="15.75" x14ac:dyDescent="0.25">
      <c r="A22" s="9">
        <v>42022</v>
      </c>
      <c r="B22" s="10">
        <v>53933</v>
      </c>
      <c r="C22" s="10">
        <v>558</v>
      </c>
      <c r="D22" s="10">
        <v>50200</v>
      </c>
      <c r="E22" s="11">
        <f t="shared" si="1"/>
        <v>3175</v>
      </c>
      <c r="F22" s="15">
        <v>3175</v>
      </c>
      <c r="G22" s="25" t="s">
        <v>9</v>
      </c>
      <c r="H22" s="15">
        <f t="shared" si="0"/>
        <v>0</v>
      </c>
      <c r="I22" s="15"/>
    </row>
    <row r="23" spans="1:19" s="4" customFormat="1" ht="15.75" x14ac:dyDescent="0.25">
      <c r="A23" s="9">
        <v>42023</v>
      </c>
      <c r="B23" s="10">
        <v>195700.08</v>
      </c>
      <c r="C23" s="10">
        <v>107560.3</v>
      </c>
      <c r="D23" s="10">
        <v>65210</v>
      </c>
      <c r="E23" s="11">
        <f t="shared" si="1"/>
        <v>22929.779999999984</v>
      </c>
      <c r="F23" s="15">
        <v>22930</v>
      </c>
      <c r="G23" s="25" t="s">
        <v>9</v>
      </c>
      <c r="H23" s="15">
        <f t="shared" si="0"/>
        <v>0.22000000001571607</v>
      </c>
      <c r="I23" s="15" t="s">
        <v>83</v>
      </c>
      <c r="O23" s="78"/>
      <c r="P23" s="78"/>
      <c r="Q23" s="78"/>
      <c r="R23" s="78"/>
    </row>
    <row r="24" spans="1:19" s="4" customFormat="1" ht="15.75" x14ac:dyDescent="0.25">
      <c r="A24" s="9">
        <v>42024</v>
      </c>
      <c r="B24" s="10">
        <v>122293.5</v>
      </c>
      <c r="C24" s="10">
        <v>55467.9</v>
      </c>
      <c r="D24" s="10">
        <v>60100</v>
      </c>
      <c r="E24" s="11">
        <f t="shared" si="1"/>
        <v>6725.6000000000058</v>
      </c>
      <c r="F24" s="15">
        <v>6725</v>
      </c>
      <c r="G24" s="25" t="s">
        <v>9</v>
      </c>
      <c r="H24" s="15">
        <f t="shared" si="0"/>
        <v>-0.60000000000582077</v>
      </c>
      <c r="I24" s="15" t="s">
        <v>84</v>
      </c>
    </row>
    <row r="25" spans="1:19" s="4" customFormat="1" ht="15.75" x14ac:dyDescent="0.25">
      <c r="A25" s="9">
        <v>42025</v>
      </c>
      <c r="B25" s="10">
        <v>114215</v>
      </c>
      <c r="C25" s="10">
        <v>42670.5</v>
      </c>
      <c r="D25" s="10">
        <v>70110</v>
      </c>
      <c r="E25" s="11">
        <f t="shared" si="1"/>
        <v>1434.5</v>
      </c>
      <c r="F25" s="15">
        <v>1434.5</v>
      </c>
      <c r="G25" s="25" t="s">
        <v>9</v>
      </c>
      <c r="H25" s="15">
        <f t="shared" si="0"/>
        <v>0</v>
      </c>
      <c r="I25" s="15" t="s">
        <v>115</v>
      </c>
    </row>
    <row r="26" spans="1:19" s="4" customFormat="1" ht="15.75" x14ac:dyDescent="0.25">
      <c r="A26" s="9">
        <v>42026</v>
      </c>
      <c r="B26" s="10">
        <v>69192</v>
      </c>
      <c r="C26" s="10">
        <v>65641.2</v>
      </c>
      <c r="D26" s="10">
        <v>170</v>
      </c>
      <c r="E26" s="11">
        <f t="shared" si="1"/>
        <v>3380.8000000000029</v>
      </c>
      <c r="F26" s="15">
        <v>3381</v>
      </c>
      <c r="G26" s="25" t="s">
        <v>9</v>
      </c>
      <c r="H26" s="15">
        <f t="shared" si="0"/>
        <v>0.19999999999708962</v>
      </c>
      <c r="I26" s="89" t="s">
        <v>116</v>
      </c>
      <c r="J26" s="90"/>
      <c r="K26" s="82"/>
      <c r="L26" s="82"/>
      <c r="M26" s="82"/>
      <c r="N26" s="82"/>
      <c r="O26" s="82"/>
    </row>
    <row r="27" spans="1:19" s="4" customFormat="1" ht="15.75" x14ac:dyDescent="0.25">
      <c r="A27" s="9">
        <v>42027</v>
      </c>
      <c r="B27" s="10">
        <v>90807</v>
      </c>
      <c r="C27" s="10">
        <v>37409</v>
      </c>
      <c r="D27" s="10">
        <v>50180</v>
      </c>
      <c r="E27" s="11">
        <f t="shared" si="1"/>
        <v>3218</v>
      </c>
      <c r="F27" s="15">
        <v>3218</v>
      </c>
      <c r="G27" s="25" t="s">
        <v>9</v>
      </c>
      <c r="H27" s="15">
        <f t="shared" si="0"/>
        <v>0</v>
      </c>
      <c r="I27" s="15" t="s">
        <v>118</v>
      </c>
      <c r="L27" s="90"/>
      <c r="M27" s="90"/>
      <c r="N27" s="90"/>
    </row>
    <row r="28" spans="1:19" s="4" customFormat="1" ht="15.75" x14ac:dyDescent="0.25">
      <c r="A28" s="9">
        <v>42028</v>
      </c>
      <c r="B28" s="10">
        <v>119756</v>
      </c>
      <c r="C28" s="10">
        <v>81925.5</v>
      </c>
      <c r="D28" s="10">
        <v>34950</v>
      </c>
      <c r="E28" s="11">
        <f t="shared" si="1"/>
        <v>2880.5</v>
      </c>
      <c r="F28" s="15">
        <v>2880.5</v>
      </c>
      <c r="G28" s="25" t="s">
        <v>9</v>
      </c>
      <c r="H28" s="15">
        <f t="shared" si="0"/>
        <v>0</v>
      </c>
      <c r="I28" s="15" t="s">
        <v>119</v>
      </c>
      <c r="P28" s="90"/>
      <c r="Q28" s="90"/>
      <c r="R28" s="90"/>
      <c r="S28" s="90"/>
    </row>
    <row r="29" spans="1:19" s="4" customFormat="1" ht="15.75" x14ac:dyDescent="0.25">
      <c r="A29" s="9">
        <v>42029</v>
      </c>
      <c r="B29" s="10">
        <v>78417.5</v>
      </c>
      <c r="C29" s="10">
        <v>33026.1</v>
      </c>
      <c r="D29" s="10">
        <v>45200</v>
      </c>
      <c r="E29" s="11">
        <f t="shared" si="1"/>
        <v>191.40000000000146</v>
      </c>
      <c r="F29" s="15">
        <v>191.5</v>
      </c>
      <c r="G29" s="25" t="s">
        <v>9</v>
      </c>
      <c r="H29" s="15">
        <f t="shared" si="0"/>
        <v>9.9999999998544808E-2</v>
      </c>
      <c r="I29" s="88" t="s">
        <v>117</v>
      </c>
      <c r="J29" s="60"/>
      <c r="K29" s="60"/>
      <c r="L29" s="60"/>
      <c r="M29" s="60"/>
    </row>
    <row r="30" spans="1:19" s="4" customFormat="1" ht="15.75" x14ac:dyDescent="0.25">
      <c r="A30" s="9">
        <v>42030</v>
      </c>
      <c r="B30" s="10">
        <v>110859.5</v>
      </c>
      <c r="C30" s="10">
        <v>3774.5</v>
      </c>
      <c r="D30" s="10">
        <v>95170</v>
      </c>
      <c r="E30" s="11">
        <f t="shared" si="1"/>
        <v>11915</v>
      </c>
      <c r="F30" s="15">
        <f>11115+800</f>
        <v>11915</v>
      </c>
      <c r="G30" s="25" t="s">
        <v>9</v>
      </c>
      <c r="H30" s="15">
        <f t="shared" si="0"/>
        <v>0</v>
      </c>
      <c r="I30" s="15" t="s">
        <v>120</v>
      </c>
    </row>
    <row r="31" spans="1:19" s="4" customFormat="1" ht="15.75" x14ac:dyDescent="0.25">
      <c r="A31" s="9">
        <v>42031</v>
      </c>
      <c r="B31" s="10">
        <v>119448</v>
      </c>
      <c r="C31" s="10">
        <v>54044.4</v>
      </c>
      <c r="D31" s="10">
        <v>55100</v>
      </c>
      <c r="E31" s="11">
        <f t="shared" si="1"/>
        <v>10303.599999999999</v>
      </c>
      <c r="F31" s="15">
        <v>10303.5</v>
      </c>
      <c r="G31" s="25" t="s">
        <v>9</v>
      </c>
      <c r="H31" s="15">
        <f t="shared" si="0"/>
        <v>-9.9999999998544808E-2</v>
      </c>
      <c r="I31" s="15" t="s">
        <v>121</v>
      </c>
    </row>
    <row r="32" spans="1:19" s="4" customFormat="1" ht="15.75" x14ac:dyDescent="0.25">
      <c r="A32" s="9">
        <v>42032</v>
      </c>
      <c r="B32" s="10">
        <v>51301.5</v>
      </c>
      <c r="C32" s="10">
        <v>1250</v>
      </c>
      <c r="D32" s="10">
        <v>200</v>
      </c>
      <c r="E32" s="11">
        <f t="shared" si="1"/>
        <v>49851.5</v>
      </c>
      <c r="F32" s="15">
        <f>33000+16851.5</f>
        <v>49851.5</v>
      </c>
      <c r="G32" s="25" t="s">
        <v>9</v>
      </c>
      <c r="H32" s="15">
        <f t="shared" si="0"/>
        <v>0</v>
      </c>
      <c r="I32" s="15"/>
    </row>
    <row r="33" spans="1:9" s="4" customFormat="1" ht="15.75" x14ac:dyDescent="0.25">
      <c r="A33" s="9">
        <v>42033</v>
      </c>
      <c r="B33" s="10">
        <v>114651.5</v>
      </c>
      <c r="C33" s="10">
        <v>15741</v>
      </c>
      <c r="D33" s="10">
        <v>162</v>
      </c>
      <c r="E33" s="11">
        <f t="shared" si="1"/>
        <v>98748.5</v>
      </c>
      <c r="F33" s="15">
        <f>37000+61748.5</f>
        <v>98748.5</v>
      </c>
      <c r="G33" s="25" t="s">
        <v>9</v>
      </c>
      <c r="H33" s="15">
        <f t="shared" si="0"/>
        <v>0</v>
      </c>
      <c r="I33" s="15"/>
    </row>
    <row r="34" spans="1:9" s="4" customFormat="1" ht="15.75" x14ac:dyDescent="0.25">
      <c r="A34" s="9">
        <v>42034</v>
      </c>
      <c r="B34" s="10">
        <v>158988</v>
      </c>
      <c r="C34" s="10">
        <v>65327</v>
      </c>
      <c r="D34" s="10">
        <v>110</v>
      </c>
      <c r="E34" s="11">
        <f t="shared" si="1"/>
        <v>93551</v>
      </c>
      <c r="F34" s="15">
        <f>3551+75000+15000</f>
        <v>93551</v>
      </c>
      <c r="G34" s="25" t="s">
        <v>9</v>
      </c>
      <c r="H34" s="15">
        <f t="shared" si="0"/>
        <v>0</v>
      </c>
      <c r="I34" s="15"/>
    </row>
    <row r="35" spans="1:9" s="4" customFormat="1" ht="15.75" x14ac:dyDescent="0.25">
      <c r="A35" s="9">
        <v>42035</v>
      </c>
      <c r="B35" s="10">
        <v>246203.5</v>
      </c>
      <c r="C35" s="10">
        <v>23269</v>
      </c>
      <c r="D35" s="10">
        <v>105140</v>
      </c>
      <c r="E35" s="11">
        <f t="shared" si="1"/>
        <v>117794.5</v>
      </c>
      <c r="F35" s="15">
        <f>23500+65000+29294.5</f>
        <v>117794.5</v>
      </c>
      <c r="G35" s="25" t="s">
        <v>9</v>
      </c>
      <c r="H35" s="15">
        <f t="shared" si="0"/>
        <v>0</v>
      </c>
      <c r="I35" s="15" t="s">
        <v>126</v>
      </c>
    </row>
    <row r="36" spans="1:9" s="4" customFormat="1" ht="15.75" x14ac:dyDescent="0.25">
      <c r="A36" s="9"/>
      <c r="B36" s="10"/>
      <c r="C36" s="10"/>
      <c r="D36" s="10"/>
      <c r="E36" s="11">
        <f t="shared" si="1"/>
        <v>0</v>
      </c>
      <c r="F36" s="15"/>
      <c r="G36" s="25"/>
      <c r="H36" s="15">
        <f t="shared" si="0"/>
        <v>0</v>
      </c>
      <c r="I36" s="15"/>
    </row>
    <row r="37" spans="1:9" s="4" customFormat="1" ht="15.75" x14ac:dyDescent="0.25">
      <c r="A37" s="9"/>
      <c r="B37" s="10"/>
      <c r="C37" s="10"/>
      <c r="D37" s="10"/>
      <c r="E37" s="11">
        <f t="shared" si="1"/>
        <v>0</v>
      </c>
      <c r="F37" s="15"/>
      <c r="I37" s="15"/>
    </row>
    <row r="38" spans="1:9" s="4" customFormat="1" ht="15.75" x14ac:dyDescent="0.25">
      <c r="A38" s="14"/>
      <c r="B38" s="13"/>
      <c r="C38" s="10"/>
      <c r="D38" s="10"/>
      <c r="E38" s="11">
        <f t="shared" si="1"/>
        <v>0</v>
      </c>
      <c r="F38" s="15"/>
      <c r="G38" s="189" t="s">
        <v>9</v>
      </c>
      <c r="I38" s="15"/>
    </row>
    <row r="39" spans="1:9" s="4" customFormat="1" ht="15.75" x14ac:dyDescent="0.25">
      <c r="A39" s="14"/>
      <c r="B39" s="10"/>
      <c r="C39" s="10"/>
      <c r="D39" s="10"/>
      <c r="E39" s="11">
        <f t="shared" si="1"/>
        <v>0</v>
      </c>
      <c r="F39" s="15"/>
      <c r="I39" s="15"/>
    </row>
    <row r="40" spans="1:9" s="4" customFormat="1" ht="15.75" x14ac:dyDescent="0.25">
      <c r="A40" s="14"/>
      <c r="B40" s="10">
        <f>SUM(B5:B39)</f>
        <v>4143010.08</v>
      </c>
      <c r="C40" s="10"/>
      <c r="D40" s="10">
        <f>SUM(D5:D39)</f>
        <v>634861</v>
      </c>
      <c r="E40" s="11">
        <f t="shared" si="1"/>
        <v>3508149.08</v>
      </c>
      <c r="F40" s="15"/>
      <c r="I40" s="15"/>
    </row>
    <row r="42" spans="1:9" ht="18.75" x14ac:dyDescent="0.3">
      <c r="B42" s="275" t="s">
        <v>59</v>
      </c>
      <c r="C42" s="275"/>
      <c r="D42" s="275"/>
      <c r="E42" s="275"/>
      <c r="F42" s="275"/>
    </row>
    <row r="44" spans="1:9" s="4" customFormat="1" ht="16.5" thickBot="1" x14ac:dyDescent="0.3">
      <c r="A44" s="19" t="s">
        <v>0</v>
      </c>
      <c r="B44" s="20" t="s">
        <v>1</v>
      </c>
      <c r="C44" s="8" t="s">
        <v>3</v>
      </c>
      <c r="D44" s="21" t="s">
        <v>2</v>
      </c>
      <c r="E44" s="22" t="s">
        <v>4</v>
      </c>
      <c r="F44" s="27" t="s">
        <v>8</v>
      </c>
    </row>
    <row r="45" spans="1:9" s="4" customFormat="1" ht="16.5" thickTop="1" x14ac:dyDescent="0.25">
      <c r="A45" s="9">
        <v>42036</v>
      </c>
      <c r="B45" s="10">
        <v>167913.5</v>
      </c>
      <c r="C45" s="10">
        <v>18178</v>
      </c>
      <c r="D45" s="10">
        <v>100200</v>
      </c>
      <c r="E45" s="11">
        <f>B45-C45-D45</f>
        <v>49535.5</v>
      </c>
      <c r="F45" s="15">
        <v>49535.5</v>
      </c>
      <c r="G45" s="25" t="s">
        <v>9</v>
      </c>
      <c r="H45" s="15">
        <f>F45-E45</f>
        <v>0</v>
      </c>
      <c r="I45" s="15" t="s">
        <v>133</v>
      </c>
    </row>
    <row r="46" spans="1:9" s="4" customFormat="1" ht="15.75" x14ac:dyDescent="0.25">
      <c r="A46" s="9">
        <v>42037</v>
      </c>
      <c r="B46" s="10">
        <v>197180</v>
      </c>
      <c r="C46" s="10">
        <v>4402</v>
      </c>
      <c r="D46" s="10">
        <v>110</v>
      </c>
      <c r="E46" s="11">
        <f t="shared" ref="E46:E80" si="2">B46-C46-D46</f>
        <v>192668</v>
      </c>
      <c r="F46" s="15">
        <f>17668+50000+60000+65000</f>
        <v>192668</v>
      </c>
      <c r="G46" s="25" t="s">
        <v>9</v>
      </c>
      <c r="H46" s="15">
        <f t="shared" ref="H46:H76" si="3">F46-E46</f>
        <v>0</v>
      </c>
      <c r="I46" s="15" t="s">
        <v>133</v>
      </c>
    </row>
    <row r="47" spans="1:9" s="4" customFormat="1" ht="15.75" x14ac:dyDescent="0.25">
      <c r="A47" s="9">
        <v>42038</v>
      </c>
      <c r="B47" s="10">
        <v>109482</v>
      </c>
      <c r="C47" s="10">
        <v>529</v>
      </c>
      <c r="D47" s="10">
        <v>110</v>
      </c>
      <c r="E47" s="11">
        <f t="shared" si="2"/>
        <v>108843</v>
      </c>
      <c r="F47" s="15">
        <f>14843+20000+34000+40000</f>
        <v>108843</v>
      </c>
      <c r="G47" s="25" t="s">
        <v>9</v>
      </c>
      <c r="H47" s="15">
        <f t="shared" si="3"/>
        <v>0</v>
      </c>
      <c r="I47" s="15" t="s">
        <v>133</v>
      </c>
    </row>
    <row r="48" spans="1:9" s="4" customFormat="1" ht="15.75" x14ac:dyDescent="0.25">
      <c r="A48" s="9">
        <v>42039</v>
      </c>
      <c r="B48" s="10">
        <v>55597.279999999999</v>
      </c>
      <c r="C48" s="10">
        <v>0</v>
      </c>
      <c r="D48" s="10">
        <v>170</v>
      </c>
      <c r="E48" s="11">
        <f t="shared" si="2"/>
        <v>55427.28</v>
      </c>
      <c r="F48" s="15">
        <f>19000+20000+16427</f>
        <v>55427</v>
      </c>
      <c r="G48" s="25" t="s">
        <v>9</v>
      </c>
      <c r="H48" s="15">
        <f t="shared" si="3"/>
        <v>-0.27999999999883585</v>
      </c>
      <c r="I48" s="15" t="s">
        <v>133</v>
      </c>
    </row>
    <row r="49" spans="1:9" s="4" customFormat="1" ht="15.75" x14ac:dyDescent="0.25">
      <c r="A49" s="9">
        <v>42040</v>
      </c>
      <c r="B49" s="10">
        <v>145410.5</v>
      </c>
      <c r="C49" s="10">
        <v>13689</v>
      </c>
      <c r="D49" s="10">
        <v>136</v>
      </c>
      <c r="E49" s="11">
        <f t="shared" si="2"/>
        <v>131585.5</v>
      </c>
      <c r="F49" s="15">
        <f>21585.5+30000+45000+35000</f>
        <v>131585.5</v>
      </c>
      <c r="G49" s="25" t="s">
        <v>9</v>
      </c>
      <c r="H49" s="15">
        <f t="shared" si="3"/>
        <v>0</v>
      </c>
      <c r="I49" s="15" t="s">
        <v>133</v>
      </c>
    </row>
    <row r="50" spans="1:9" s="4" customFormat="1" ht="15.75" x14ac:dyDescent="0.25">
      <c r="A50" s="9">
        <v>42041</v>
      </c>
      <c r="B50" s="10">
        <v>163343</v>
      </c>
      <c r="C50" s="10">
        <v>16295</v>
      </c>
      <c r="D50" s="10">
        <v>160</v>
      </c>
      <c r="E50" s="11">
        <f t="shared" si="2"/>
        <v>146888</v>
      </c>
      <c r="F50" s="15">
        <f>18388+85000+43500</f>
        <v>146888</v>
      </c>
      <c r="G50" s="25" t="s">
        <v>9</v>
      </c>
      <c r="H50" s="15">
        <f t="shared" si="3"/>
        <v>0</v>
      </c>
      <c r="I50" s="15" t="s">
        <v>133</v>
      </c>
    </row>
    <row r="51" spans="1:9" s="4" customFormat="1" ht="15.75" x14ac:dyDescent="0.25">
      <c r="A51" s="9">
        <v>42042</v>
      </c>
      <c r="B51" s="10">
        <v>205686.5</v>
      </c>
      <c r="C51" s="10">
        <v>4296</v>
      </c>
      <c r="D51" s="10">
        <v>150</v>
      </c>
      <c r="E51" s="11">
        <f t="shared" si="2"/>
        <v>201240.5</v>
      </c>
      <c r="F51" s="15">
        <f>50000+20000+33000+75000+23240.5</f>
        <v>201240.5</v>
      </c>
      <c r="G51" s="25" t="s">
        <v>9</v>
      </c>
      <c r="H51" s="15">
        <f t="shared" si="3"/>
        <v>0</v>
      </c>
      <c r="I51" s="15" t="s">
        <v>133</v>
      </c>
    </row>
    <row r="52" spans="1:9" s="4" customFormat="1" ht="15.75" x14ac:dyDescent="0.25">
      <c r="A52" s="9">
        <v>42043</v>
      </c>
      <c r="B52" s="10">
        <v>81897</v>
      </c>
      <c r="C52" s="10">
        <v>20786</v>
      </c>
      <c r="D52" s="10">
        <v>300</v>
      </c>
      <c r="E52" s="11">
        <f t="shared" si="2"/>
        <v>60811</v>
      </c>
      <c r="F52" s="15">
        <f>30811+30000</f>
        <v>60811</v>
      </c>
      <c r="G52" s="25" t="s">
        <v>9</v>
      </c>
      <c r="H52" s="15">
        <f t="shared" si="3"/>
        <v>0</v>
      </c>
      <c r="I52" s="15" t="s">
        <v>133</v>
      </c>
    </row>
    <row r="53" spans="1:9" s="4" customFormat="1" ht="15.75" x14ac:dyDescent="0.25">
      <c r="A53" s="9">
        <v>42044</v>
      </c>
      <c r="B53" s="10">
        <v>182657</v>
      </c>
      <c r="C53" s="10">
        <v>8358</v>
      </c>
      <c r="D53" s="10">
        <v>190</v>
      </c>
      <c r="E53" s="11">
        <f t="shared" si="2"/>
        <v>174109</v>
      </c>
      <c r="F53" s="15">
        <f>20000+40000+50000+17109+47000</f>
        <v>174109</v>
      </c>
      <c r="G53" s="25" t="s">
        <v>9</v>
      </c>
      <c r="H53" s="15">
        <f t="shared" si="3"/>
        <v>0</v>
      </c>
      <c r="I53" s="15" t="s">
        <v>133</v>
      </c>
    </row>
    <row r="54" spans="1:9" s="4" customFormat="1" ht="15.75" x14ac:dyDescent="0.25">
      <c r="A54" s="9">
        <v>42045</v>
      </c>
      <c r="B54" s="10">
        <v>120711</v>
      </c>
      <c r="C54" s="10">
        <v>200</v>
      </c>
      <c r="D54" s="10">
        <v>692</v>
      </c>
      <c r="E54" s="11">
        <f t="shared" si="2"/>
        <v>119819</v>
      </c>
      <c r="F54" s="15">
        <f>18819+56000+45000</f>
        <v>119819</v>
      </c>
      <c r="G54" s="25" t="s">
        <v>9</v>
      </c>
      <c r="H54" s="15">
        <f t="shared" si="3"/>
        <v>0</v>
      </c>
      <c r="I54" s="15" t="s">
        <v>133</v>
      </c>
    </row>
    <row r="55" spans="1:9" s="4" customFormat="1" ht="15.75" x14ac:dyDescent="0.25">
      <c r="A55" s="9">
        <v>42046</v>
      </c>
      <c r="B55" s="10">
        <v>107129.96</v>
      </c>
      <c r="C55" s="10">
        <v>0</v>
      </c>
      <c r="D55" s="10">
        <v>160</v>
      </c>
      <c r="E55" s="11">
        <f t="shared" si="2"/>
        <v>106969.96</v>
      </c>
      <c r="F55" s="15">
        <f>25000+60000+21970</f>
        <v>106970</v>
      </c>
      <c r="G55" s="25" t="s">
        <v>9</v>
      </c>
      <c r="H55" s="15">
        <f t="shared" si="3"/>
        <v>3.9999999993597157E-2</v>
      </c>
      <c r="I55" s="15" t="s">
        <v>133</v>
      </c>
    </row>
    <row r="56" spans="1:9" s="4" customFormat="1" ht="15.75" x14ac:dyDescent="0.25">
      <c r="A56" s="9">
        <v>42047</v>
      </c>
      <c r="B56" s="10">
        <v>95577.1</v>
      </c>
      <c r="C56" s="10">
        <v>38552</v>
      </c>
      <c r="D56" s="10">
        <v>450</v>
      </c>
      <c r="E56" s="11">
        <f t="shared" si="2"/>
        <v>56575.100000000006</v>
      </c>
      <c r="F56" s="15">
        <f>3000+33000+20575</f>
        <v>56575</v>
      </c>
      <c r="G56" s="25" t="s">
        <v>9</v>
      </c>
      <c r="H56" s="15">
        <f t="shared" si="3"/>
        <v>-0.10000000000582077</v>
      </c>
      <c r="I56" s="15" t="s">
        <v>133</v>
      </c>
    </row>
    <row r="57" spans="1:9" s="4" customFormat="1" ht="15.75" x14ac:dyDescent="0.25">
      <c r="A57" s="9">
        <v>42048</v>
      </c>
      <c r="B57" s="10">
        <v>231908</v>
      </c>
      <c r="C57" s="10">
        <v>12570</v>
      </c>
      <c r="D57" s="10">
        <v>110</v>
      </c>
      <c r="E57" s="11">
        <f t="shared" si="2"/>
        <v>219228</v>
      </c>
      <c r="F57" s="15">
        <f>50000+25000+90000+54228</f>
        <v>219228</v>
      </c>
      <c r="G57" s="25" t="s">
        <v>9</v>
      </c>
      <c r="H57" s="15">
        <f t="shared" si="3"/>
        <v>0</v>
      </c>
      <c r="I57" s="15" t="s">
        <v>133</v>
      </c>
    </row>
    <row r="58" spans="1:9" s="4" customFormat="1" ht="15.75" x14ac:dyDescent="0.25">
      <c r="A58" s="9">
        <v>42049</v>
      </c>
      <c r="B58" s="10">
        <v>224986.5</v>
      </c>
      <c r="C58" s="10">
        <v>32174</v>
      </c>
      <c r="D58" s="10">
        <v>110</v>
      </c>
      <c r="E58" s="11">
        <f t="shared" si="2"/>
        <v>192702.5</v>
      </c>
      <c r="F58" s="15">
        <f>48000+70000+50000+24702.5</f>
        <v>192702.5</v>
      </c>
      <c r="G58" s="25" t="s">
        <v>9</v>
      </c>
      <c r="H58" s="15">
        <f t="shared" si="3"/>
        <v>0</v>
      </c>
      <c r="I58" s="15" t="s">
        <v>133</v>
      </c>
    </row>
    <row r="59" spans="1:9" s="4" customFormat="1" ht="15.75" x14ac:dyDescent="0.25">
      <c r="A59" s="9">
        <v>42050</v>
      </c>
      <c r="B59" s="10">
        <v>147396.5</v>
      </c>
      <c r="C59" s="10">
        <v>1174.5</v>
      </c>
      <c r="D59" s="10">
        <v>210</v>
      </c>
      <c r="E59" s="11">
        <f t="shared" si="2"/>
        <v>146012</v>
      </c>
      <c r="F59" s="15">
        <f>56012+65000+25000</f>
        <v>146012</v>
      </c>
      <c r="G59" s="25" t="s">
        <v>9</v>
      </c>
      <c r="H59" s="15">
        <f t="shared" si="3"/>
        <v>0</v>
      </c>
      <c r="I59" s="15" t="s">
        <v>133</v>
      </c>
    </row>
    <row r="60" spans="1:9" s="4" customFormat="1" ht="15.75" x14ac:dyDescent="0.25">
      <c r="A60" s="9">
        <v>42051</v>
      </c>
      <c r="B60" s="10">
        <v>141552.5</v>
      </c>
      <c r="C60" s="10">
        <v>16033.8</v>
      </c>
      <c r="D60" s="10">
        <v>230</v>
      </c>
      <c r="E60" s="11">
        <f t="shared" si="2"/>
        <v>125288.7</v>
      </c>
      <c r="F60" s="15">
        <f>77000+26000+22289</f>
        <v>125289</v>
      </c>
      <c r="G60" s="25" t="s">
        <v>9</v>
      </c>
      <c r="H60" s="15">
        <f t="shared" si="3"/>
        <v>0.30000000000291038</v>
      </c>
      <c r="I60" s="15" t="s">
        <v>133</v>
      </c>
    </row>
    <row r="61" spans="1:9" s="4" customFormat="1" ht="15.75" x14ac:dyDescent="0.25">
      <c r="A61" s="9">
        <v>42052</v>
      </c>
      <c r="B61" s="10">
        <v>187244</v>
      </c>
      <c r="C61" s="10">
        <v>7550</v>
      </c>
      <c r="D61" s="10">
        <v>288</v>
      </c>
      <c r="E61" s="11">
        <f t="shared" si="2"/>
        <v>179406</v>
      </c>
      <c r="F61" s="15">
        <f>26281+46500+95000+11625</f>
        <v>179406</v>
      </c>
      <c r="G61" s="25" t="s">
        <v>9</v>
      </c>
      <c r="H61" s="15">
        <f t="shared" si="3"/>
        <v>0</v>
      </c>
      <c r="I61" s="15" t="s">
        <v>133</v>
      </c>
    </row>
    <row r="62" spans="1:9" s="4" customFormat="1" ht="15.75" x14ac:dyDescent="0.25">
      <c r="A62" s="9">
        <v>42053</v>
      </c>
      <c r="B62" s="10">
        <v>61672.37</v>
      </c>
      <c r="C62" s="10">
        <v>0</v>
      </c>
      <c r="D62" s="10">
        <v>100</v>
      </c>
      <c r="E62" s="11">
        <f t="shared" si="2"/>
        <v>61572.37</v>
      </c>
      <c r="F62" s="15">
        <f>31572.5+30000</f>
        <v>61572.5</v>
      </c>
      <c r="G62" s="25" t="s">
        <v>9</v>
      </c>
      <c r="H62" s="15">
        <f t="shared" si="3"/>
        <v>0.12999999999738066</v>
      </c>
      <c r="I62" s="15" t="s">
        <v>133</v>
      </c>
    </row>
    <row r="63" spans="1:9" s="4" customFormat="1" ht="15.75" x14ac:dyDescent="0.25">
      <c r="A63" s="9">
        <v>42054</v>
      </c>
      <c r="B63" s="10">
        <v>175746.52</v>
      </c>
      <c r="C63" s="10">
        <v>36422</v>
      </c>
      <c r="D63" s="10">
        <v>190</v>
      </c>
      <c r="E63" s="11">
        <f t="shared" si="2"/>
        <v>139134.51999999999</v>
      </c>
      <c r="F63" s="15">
        <f>30000+50000+33000+26134.5</f>
        <v>139134.5</v>
      </c>
      <c r="G63" s="25" t="s">
        <v>9</v>
      </c>
      <c r="H63" s="15">
        <f t="shared" si="3"/>
        <v>-1.9999999989522621E-2</v>
      </c>
      <c r="I63" s="15" t="s">
        <v>133</v>
      </c>
    </row>
    <row r="64" spans="1:9" s="4" customFormat="1" ht="15.75" x14ac:dyDescent="0.25">
      <c r="A64" s="9">
        <v>42055</v>
      </c>
      <c r="B64" s="10">
        <v>133850.5</v>
      </c>
      <c r="C64" s="10">
        <v>20753</v>
      </c>
      <c r="D64" s="10">
        <v>100</v>
      </c>
      <c r="E64" s="11">
        <f t="shared" si="2"/>
        <v>112997.5</v>
      </c>
      <c r="F64" s="15">
        <f>55000+15000+35000+7997.5</f>
        <v>112997.5</v>
      </c>
      <c r="G64" s="25" t="s">
        <v>9</v>
      </c>
      <c r="H64" s="15">
        <f t="shared" si="3"/>
        <v>0</v>
      </c>
      <c r="I64" s="15" t="s">
        <v>133</v>
      </c>
    </row>
    <row r="65" spans="1:10" s="4" customFormat="1" ht="15.75" x14ac:dyDescent="0.25">
      <c r="A65" s="9">
        <v>42056</v>
      </c>
      <c r="B65" s="10">
        <v>260448.5</v>
      </c>
      <c r="C65" s="10">
        <v>23855</v>
      </c>
      <c r="D65" s="10">
        <v>960</v>
      </c>
      <c r="E65" s="11">
        <f t="shared" si="2"/>
        <v>235633.5</v>
      </c>
      <c r="F65" s="15">
        <f>50000+40000+75000+70633.5</f>
        <v>235633.5</v>
      </c>
      <c r="G65" s="25" t="s">
        <v>9</v>
      </c>
      <c r="H65" s="15">
        <f t="shared" si="3"/>
        <v>0</v>
      </c>
      <c r="I65" s="15" t="s">
        <v>133</v>
      </c>
    </row>
    <row r="66" spans="1:10" s="4" customFormat="1" ht="15.75" x14ac:dyDescent="0.25">
      <c r="A66" s="9">
        <v>42057</v>
      </c>
      <c r="B66" s="10">
        <v>175834.5</v>
      </c>
      <c r="C66" s="10">
        <v>2148</v>
      </c>
      <c r="D66" s="10">
        <v>210</v>
      </c>
      <c r="E66" s="11">
        <f t="shared" si="2"/>
        <v>173476.5</v>
      </c>
      <c r="F66" s="15">
        <f>55000+60000+50000+8476.5</f>
        <v>173476.5</v>
      </c>
      <c r="G66" s="25" t="s">
        <v>9</v>
      </c>
      <c r="H66" s="15">
        <f t="shared" si="3"/>
        <v>0</v>
      </c>
      <c r="I66" s="15" t="s">
        <v>133</v>
      </c>
    </row>
    <row r="67" spans="1:10" s="4" customFormat="1" ht="15.75" x14ac:dyDescent="0.25">
      <c r="A67" s="9">
        <v>42058</v>
      </c>
      <c r="B67" s="10">
        <v>131205.5</v>
      </c>
      <c r="C67" s="10">
        <v>997</v>
      </c>
      <c r="D67" s="10">
        <v>85160</v>
      </c>
      <c r="E67" s="11">
        <f t="shared" si="2"/>
        <v>45048.5</v>
      </c>
      <c r="F67" s="15">
        <f>21500+23548.5</f>
        <v>45048.5</v>
      </c>
      <c r="G67" s="25" t="s">
        <v>9</v>
      </c>
      <c r="H67" s="15">
        <f t="shared" si="3"/>
        <v>0</v>
      </c>
      <c r="I67" s="15" t="s">
        <v>133</v>
      </c>
      <c r="J67" s="4" t="s">
        <v>149</v>
      </c>
    </row>
    <row r="68" spans="1:10" s="4" customFormat="1" ht="15.75" x14ac:dyDescent="0.25">
      <c r="A68" s="9">
        <v>42059</v>
      </c>
      <c r="B68" s="10">
        <v>94763.5</v>
      </c>
      <c r="C68" s="10">
        <v>9099</v>
      </c>
      <c r="D68" s="10">
        <v>45180</v>
      </c>
      <c r="E68" s="11">
        <f t="shared" si="2"/>
        <v>40484.5</v>
      </c>
      <c r="F68" s="15">
        <f>13000+27484.5</f>
        <v>40484.5</v>
      </c>
      <c r="G68" s="25" t="s">
        <v>9</v>
      </c>
      <c r="H68" s="15">
        <f t="shared" si="3"/>
        <v>0</v>
      </c>
      <c r="I68" s="15" t="s">
        <v>133</v>
      </c>
      <c r="J68" s="4" t="s">
        <v>148</v>
      </c>
    </row>
    <row r="69" spans="1:10" s="4" customFormat="1" ht="15.75" x14ac:dyDescent="0.25">
      <c r="A69" s="9">
        <v>42060</v>
      </c>
      <c r="B69" s="10">
        <v>110216.53</v>
      </c>
      <c r="C69" s="10">
        <v>20737.8</v>
      </c>
      <c r="D69" s="10">
        <v>40216</v>
      </c>
      <c r="E69" s="11">
        <f t="shared" si="2"/>
        <v>49262.729999999996</v>
      </c>
      <c r="F69" s="15">
        <v>49263</v>
      </c>
      <c r="G69" s="25" t="s">
        <v>9</v>
      </c>
      <c r="H69" s="15">
        <f t="shared" si="3"/>
        <v>0.27000000000407454</v>
      </c>
      <c r="I69" s="15" t="s">
        <v>133</v>
      </c>
      <c r="J69" s="4" t="s">
        <v>150</v>
      </c>
    </row>
    <row r="70" spans="1:10" s="4" customFormat="1" ht="15.75" x14ac:dyDescent="0.25">
      <c r="A70" s="9">
        <v>42061</v>
      </c>
      <c r="B70" s="10">
        <v>167267</v>
      </c>
      <c r="C70" s="10">
        <v>34562</v>
      </c>
      <c r="D70" s="10">
        <v>90150</v>
      </c>
      <c r="E70" s="11">
        <f t="shared" si="2"/>
        <v>42555</v>
      </c>
      <c r="F70" s="15">
        <f>5000+5000+15000+17555</f>
        <v>42555</v>
      </c>
      <c r="G70" s="25" t="s">
        <v>9</v>
      </c>
      <c r="H70" s="15">
        <f t="shared" si="3"/>
        <v>0</v>
      </c>
      <c r="I70" s="15" t="s">
        <v>133</v>
      </c>
      <c r="J70" s="4" t="s">
        <v>151</v>
      </c>
    </row>
    <row r="71" spans="1:10" s="4" customFormat="1" ht="15.75" x14ac:dyDescent="0.25">
      <c r="A71" s="9">
        <v>42062</v>
      </c>
      <c r="B71" s="10">
        <v>157397</v>
      </c>
      <c r="C71" s="10">
        <v>3649.5</v>
      </c>
      <c r="D71" s="10">
        <v>80140</v>
      </c>
      <c r="E71" s="11">
        <f t="shared" si="2"/>
        <v>73607.5</v>
      </c>
      <c r="F71" s="15">
        <f>30000+19607.5+24000</f>
        <v>73607.5</v>
      </c>
      <c r="G71" s="25" t="s">
        <v>9</v>
      </c>
      <c r="H71" s="15">
        <f t="shared" si="3"/>
        <v>0</v>
      </c>
      <c r="I71" s="15" t="s">
        <v>133</v>
      </c>
      <c r="J71" s="4" t="s">
        <v>152</v>
      </c>
    </row>
    <row r="72" spans="1:10" s="4" customFormat="1" ht="15.75" x14ac:dyDescent="0.25">
      <c r="A72" s="9">
        <v>42063</v>
      </c>
      <c r="B72" s="10">
        <v>180554.5</v>
      </c>
      <c r="C72" s="10">
        <v>8161.5</v>
      </c>
      <c r="D72" s="10">
        <v>100150</v>
      </c>
      <c r="E72" s="11">
        <f t="shared" si="2"/>
        <v>72243</v>
      </c>
      <c r="F72" s="15">
        <f>32243+40000</f>
        <v>72243</v>
      </c>
      <c r="G72" s="25" t="s">
        <v>9</v>
      </c>
      <c r="H72" s="15">
        <f t="shared" si="3"/>
        <v>0</v>
      </c>
      <c r="I72" s="15" t="s">
        <v>133</v>
      </c>
      <c r="J72" s="4" t="s">
        <v>153</v>
      </c>
    </row>
    <row r="73" spans="1:10" s="4" customFormat="1" ht="15.75" x14ac:dyDescent="0.25">
      <c r="A73" s="9"/>
      <c r="B73" s="10"/>
      <c r="C73" s="10"/>
      <c r="D73" s="10"/>
      <c r="E73" s="11">
        <f t="shared" si="2"/>
        <v>0</v>
      </c>
      <c r="F73" s="15"/>
      <c r="G73" s="25"/>
      <c r="H73" s="15">
        <f t="shared" si="3"/>
        <v>0</v>
      </c>
      <c r="I73" s="15"/>
    </row>
    <row r="74" spans="1:10" s="4" customFormat="1" ht="15.75" x14ac:dyDescent="0.25">
      <c r="A74" s="9"/>
      <c r="B74" s="10"/>
      <c r="C74" s="10"/>
      <c r="D74" s="10"/>
      <c r="E74" s="11">
        <f t="shared" si="2"/>
        <v>0</v>
      </c>
      <c r="F74" s="15"/>
      <c r="G74" s="25"/>
      <c r="H74" s="15">
        <f t="shared" si="3"/>
        <v>0</v>
      </c>
      <c r="I74" s="15"/>
    </row>
    <row r="75" spans="1:10" s="4" customFormat="1" ht="15.75" x14ac:dyDescent="0.25">
      <c r="A75" s="9"/>
      <c r="B75" s="10"/>
      <c r="C75" s="10"/>
      <c r="D75" s="10"/>
      <c r="E75" s="11">
        <f t="shared" si="2"/>
        <v>0</v>
      </c>
      <c r="F75" s="15"/>
      <c r="G75" s="189" t="s">
        <v>9</v>
      </c>
      <c r="H75" s="15">
        <f t="shared" si="3"/>
        <v>0</v>
      </c>
      <c r="I75" s="15"/>
    </row>
    <row r="76" spans="1:10" s="4" customFormat="1" ht="15.75" x14ac:dyDescent="0.25">
      <c r="A76" s="9"/>
      <c r="B76" s="10"/>
      <c r="C76" s="10"/>
      <c r="D76" s="10"/>
      <c r="E76" s="11">
        <f t="shared" si="2"/>
        <v>0</v>
      </c>
      <c r="F76" s="15"/>
      <c r="G76" s="25"/>
      <c r="H76" s="15">
        <f t="shared" si="3"/>
        <v>0</v>
      </c>
      <c r="I76" s="15"/>
    </row>
    <row r="77" spans="1:10" s="4" customFormat="1" ht="15.75" x14ac:dyDescent="0.25">
      <c r="A77" s="14"/>
      <c r="B77" s="10"/>
      <c r="C77" s="10"/>
      <c r="D77" s="10"/>
      <c r="E77" s="11">
        <f t="shared" si="2"/>
        <v>0</v>
      </c>
      <c r="F77" s="15"/>
      <c r="I77" s="15"/>
    </row>
    <row r="78" spans="1:10" s="4" customFormat="1" ht="15.75" x14ac:dyDescent="0.25">
      <c r="A78" s="14"/>
      <c r="B78" s="13"/>
      <c r="C78" s="10"/>
      <c r="D78" s="10"/>
      <c r="E78" s="11">
        <f t="shared" si="2"/>
        <v>0</v>
      </c>
      <c r="F78" s="15"/>
      <c r="I78" s="15"/>
    </row>
    <row r="79" spans="1:10" s="4" customFormat="1" ht="15.75" x14ac:dyDescent="0.25">
      <c r="A79" s="14"/>
      <c r="B79" s="10"/>
      <c r="C79" s="10"/>
      <c r="D79" s="10"/>
      <c r="E79" s="11">
        <f t="shared" si="2"/>
        <v>0</v>
      </c>
      <c r="F79" s="15"/>
      <c r="I79" s="15"/>
    </row>
    <row r="80" spans="1:10" s="4" customFormat="1" ht="15.75" x14ac:dyDescent="0.25">
      <c r="A80" s="14"/>
      <c r="B80" s="10">
        <f>SUM(B45:B79)</f>
        <v>4214628.76</v>
      </c>
      <c r="C80" s="10"/>
      <c r="D80" s="10">
        <f>SUM(D45:D79)</f>
        <v>546332</v>
      </c>
      <c r="E80" s="11">
        <f t="shared" si="2"/>
        <v>3668296.76</v>
      </c>
      <c r="F80" s="15"/>
      <c r="I80" s="15"/>
    </row>
    <row r="82" spans="1:10" ht="18.75" x14ac:dyDescent="0.3">
      <c r="B82" s="275" t="s">
        <v>60</v>
      </c>
      <c r="C82" s="275"/>
      <c r="D82" s="275"/>
      <c r="E82" s="275"/>
      <c r="F82" s="275"/>
    </row>
    <row r="84" spans="1:10" s="4" customFormat="1" ht="16.5" thickBot="1" x14ac:dyDescent="0.3">
      <c r="A84" s="19" t="s">
        <v>0</v>
      </c>
      <c r="B84" s="20" t="s">
        <v>1</v>
      </c>
      <c r="C84" s="8" t="s">
        <v>3</v>
      </c>
      <c r="D84" s="21" t="s">
        <v>2</v>
      </c>
      <c r="E84" s="22" t="s">
        <v>4</v>
      </c>
      <c r="F84" s="27" t="s">
        <v>8</v>
      </c>
    </row>
    <row r="85" spans="1:10" s="4" customFormat="1" ht="16.5" thickTop="1" x14ac:dyDescent="0.25">
      <c r="A85" s="9">
        <v>42064</v>
      </c>
      <c r="B85" s="10">
        <v>72005.5</v>
      </c>
      <c r="C85" s="10">
        <v>3196</v>
      </c>
      <c r="D85" s="10">
        <v>60200</v>
      </c>
      <c r="E85" s="11">
        <f>B85-C85-D85</f>
        <v>8609.5</v>
      </c>
      <c r="F85" s="15">
        <v>8610.5</v>
      </c>
      <c r="G85" s="25" t="s">
        <v>9</v>
      </c>
      <c r="H85" s="15">
        <f>F85-E85</f>
        <v>1</v>
      </c>
      <c r="I85" s="15" t="s">
        <v>113</v>
      </c>
      <c r="J85" s="4" t="s">
        <v>154</v>
      </c>
    </row>
    <row r="86" spans="1:10" s="4" customFormat="1" ht="15.75" x14ac:dyDescent="0.25">
      <c r="A86" s="9">
        <v>42065</v>
      </c>
      <c r="B86" s="10">
        <v>99909</v>
      </c>
      <c r="C86" s="10">
        <v>4023</v>
      </c>
      <c r="D86" s="10">
        <v>170</v>
      </c>
      <c r="E86" s="11">
        <f t="shared" ref="E86:E120" si="4">B86-C86-D86</f>
        <v>95716</v>
      </c>
      <c r="F86" s="15">
        <f>45000+37000+13716</f>
        <v>95716</v>
      </c>
      <c r="G86" s="25" t="s">
        <v>9</v>
      </c>
      <c r="H86" s="15">
        <f t="shared" ref="H86:H116" si="5">F86-E86</f>
        <v>0</v>
      </c>
      <c r="I86" s="15" t="s">
        <v>113</v>
      </c>
    </row>
    <row r="87" spans="1:10" s="4" customFormat="1" ht="15.75" x14ac:dyDescent="0.25">
      <c r="A87" s="9">
        <v>42066</v>
      </c>
      <c r="B87" s="10">
        <v>156015.5</v>
      </c>
      <c r="C87" s="10">
        <v>4616</v>
      </c>
      <c r="D87" s="10">
        <v>170</v>
      </c>
      <c r="E87" s="11">
        <f t="shared" si="4"/>
        <v>151229.5</v>
      </c>
      <c r="F87" s="15">
        <f>60000+60000+17000+14229.5</f>
        <v>151229.5</v>
      </c>
      <c r="G87" s="25" t="s">
        <v>9</v>
      </c>
      <c r="H87" s="15">
        <f t="shared" si="5"/>
        <v>0</v>
      </c>
      <c r="I87" s="15" t="s">
        <v>113</v>
      </c>
    </row>
    <row r="88" spans="1:10" s="4" customFormat="1" ht="15.75" x14ac:dyDescent="0.25">
      <c r="A88" s="9">
        <v>42067</v>
      </c>
      <c r="B88" s="10">
        <v>122061.87</v>
      </c>
      <c r="C88" s="10">
        <v>0</v>
      </c>
      <c r="D88" s="10">
        <v>250</v>
      </c>
      <c r="E88" s="11">
        <f t="shared" si="4"/>
        <v>121811.87</v>
      </c>
      <c r="F88" s="15">
        <f>65000+19812+37000</f>
        <v>121812</v>
      </c>
      <c r="G88" s="25" t="s">
        <v>9</v>
      </c>
      <c r="H88" s="15">
        <f t="shared" si="5"/>
        <v>0.13000000000465661</v>
      </c>
      <c r="I88" s="15" t="s">
        <v>113</v>
      </c>
    </row>
    <row r="89" spans="1:10" s="4" customFormat="1" ht="15.75" x14ac:dyDescent="0.25">
      <c r="A89" s="9">
        <v>42068</v>
      </c>
      <c r="B89" s="10">
        <v>122327.9</v>
      </c>
      <c r="C89" s="10">
        <v>4518.3999999999996</v>
      </c>
      <c r="D89" s="10">
        <v>110</v>
      </c>
      <c r="E89" s="11">
        <f t="shared" si="4"/>
        <v>117699.5</v>
      </c>
      <c r="F89" s="15">
        <f>22700+60000+35000</f>
        <v>117700</v>
      </c>
      <c r="G89" s="25" t="s">
        <v>9</v>
      </c>
      <c r="H89" s="15">
        <f t="shared" si="5"/>
        <v>0.5</v>
      </c>
      <c r="I89" s="15" t="s">
        <v>113</v>
      </c>
    </row>
    <row r="90" spans="1:10" s="4" customFormat="1" ht="15.75" x14ac:dyDescent="0.25">
      <c r="A90" s="9">
        <v>42069</v>
      </c>
      <c r="B90" s="10">
        <v>189976.6</v>
      </c>
      <c r="C90" s="10">
        <v>80224</v>
      </c>
      <c r="D90" s="10">
        <v>160</v>
      </c>
      <c r="E90" s="11">
        <f t="shared" si="4"/>
        <v>109592.6</v>
      </c>
      <c r="F90" s="15">
        <f>4592+40000+65000</f>
        <v>109592</v>
      </c>
      <c r="G90" s="25" t="s">
        <v>9</v>
      </c>
      <c r="H90" s="15">
        <f t="shared" si="5"/>
        <v>-0.60000000000582077</v>
      </c>
      <c r="I90" s="15" t="s">
        <v>113</v>
      </c>
    </row>
    <row r="91" spans="1:10" s="4" customFormat="1" ht="15.75" x14ac:dyDescent="0.25">
      <c r="A91" s="9">
        <v>42070</v>
      </c>
      <c r="B91" s="10">
        <v>110100</v>
      </c>
      <c r="C91" s="10">
        <v>20959</v>
      </c>
      <c r="D91" s="10">
        <v>210</v>
      </c>
      <c r="E91" s="11">
        <f t="shared" si="4"/>
        <v>88931</v>
      </c>
      <c r="F91" s="15">
        <f>30000+22000+36931</f>
        <v>88931</v>
      </c>
      <c r="G91" s="25" t="s">
        <v>9</v>
      </c>
      <c r="H91" s="15">
        <f t="shared" si="5"/>
        <v>0</v>
      </c>
      <c r="I91" s="15" t="s">
        <v>113</v>
      </c>
    </row>
    <row r="92" spans="1:10" s="4" customFormat="1" ht="15.75" x14ac:dyDescent="0.25">
      <c r="A92" s="9">
        <v>42071</v>
      </c>
      <c r="B92" s="10">
        <v>114717.5</v>
      </c>
      <c r="C92" s="10">
        <v>0</v>
      </c>
      <c r="D92" s="10">
        <v>200</v>
      </c>
      <c r="E92" s="11">
        <f t="shared" si="4"/>
        <v>114517.5</v>
      </c>
      <c r="F92" s="15">
        <f>50000+60000+4517.5</f>
        <v>114517.5</v>
      </c>
      <c r="G92" s="25" t="s">
        <v>9</v>
      </c>
      <c r="H92" s="15">
        <f t="shared" si="5"/>
        <v>0</v>
      </c>
      <c r="I92" s="15" t="s">
        <v>113</v>
      </c>
    </row>
    <row r="93" spans="1:10" s="4" customFormat="1" ht="15.75" x14ac:dyDescent="0.25">
      <c r="A93" s="9">
        <v>42072</v>
      </c>
      <c r="B93" s="10">
        <v>154521.5</v>
      </c>
      <c r="C93" s="10">
        <v>22470</v>
      </c>
      <c r="D93" s="10">
        <v>20298</v>
      </c>
      <c r="E93" s="11">
        <f t="shared" si="4"/>
        <v>111753.5</v>
      </c>
      <c r="F93" s="15">
        <f>80000+15000+16753.5</f>
        <v>111753.5</v>
      </c>
      <c r="G93" s="25" t="s">
        <v>9</v>
      </c>
      <c r="H93" s="15">
        <f t="shared" si="5"/>
        <v>0</v>
      </c>
      <c r="I93" s="15" t="s">
        <v>113</v>
      </c>
    </row>
    <row r="94" spans="1:10" s="4" customFormat="1" ht="15.75" x14ac:dyDescent="0.25">
      <c r="A94" s="9">
        <v>42073</v>
      </c>
      <c r="B94" s="10">
        <v>113772.5</v>
      </c>
      <c r="C94" s="10">
        <v>839</v>
      </c>
      <c r="D94" s="10">
        <v>110</v>
      </c>
      <c r="E94" s="11">
        <f t="shared" si="4"/>
        <v>112823.5</v>
      </c>
      <c r="F94" s="15">
        <f>57500+39000+16332.5</f>
        <v>112832.5</v>
      </c>
      <c r="G94" s="25" t="s">
        <v>9</v>
      </c>
      <c r="H94" s="15">
        <f t="shared" si="5"/>
        <v>9</v>
      </c>
      <c r="I94" s="15" t="s">
        <v>113</v>
      </c>
    </row>
    <row r="95" spans="1:10" s="4" customFormat="1" ht="15.75" x14ac:dyDescent="0.25">
      <c r="A95" s="9">
        <v>42074</v>
      </c>
      <c r="B95" s="10">
        <v>53086.54</v>
      </c>
      <c r="C95" s="10">
        <v>0</v>
      </c>
      <c r="D95" s="10">
        <v>110</v>
      </c>
      <c r="E95" s="11">
        <f t="shared" si="4"/>
        <v>52976.54</v>
      </c>
      <c r="F95" s="15">
        <v>52976.54</v>
      </c>
      <c r="G95" s="25" t="s">
        <v>9</v>
      </c>
      <c r="H95" s="15">
        <f t="shared" si="5"/>
        <v>0</v>
      </c>
      <c r="I95" s="15" t="s">
        <v>113</v>
      </c>
    </row>
    <row r="96" spans="1:10" s="4" customFormat="1" ht="15.75" x14ac:dyDescent="0.25">
      <c r="A96" s="9">
        <v>42075</v>
      </c>
      <c r="B96" s="10">
        <v>111947.5</v>
      </c>
      <c r="C96" s="10">
        <v>21282</v>
      </c>
      <c r="D96" s="10">
        <v>170</v>
      </c>
      <c r="E96" s="11">
        <f t="shared" si="4"/>
        <v>90495.5</v>
      </c>
      <c r="F96" s="15">
        <f>3000+47000+40495.5</f>
        <v>90495.5</v>
      </c>
      <c r="G96" s="25" t="s">
        <v>9</v>
      </c>
      <c r="H96" s="15">
        <f t="shared" si="5"/>
        <v>0</v>
      </c>
      <c r="I96" s="15" t="s">
        <v>113</v>
      </c>
    </row>
    <row r="97" spans="1:10" s="4" customFormat="1" ht="15.75" x14ac:dyDescent="0.25">
      <c r="A97" s="9">
        <v>42076</v>
      </c>
      <c r="B97" s="10">
        <v>135390.39999999999</v>
      </c>
      <c r="C97" s="10">
        <v>19062</v>
      </c>
      <c r="D97" s="10">
        <v>110</v>
      </c>
      <c r="E97" s="11">
        <f t="shared" si="4"/>
        <v>116218.4</v>
      </c>
      <c r="F97" s="15">
        <f>30000+65000+21218.5</f>
        <v>116218.5</v>
      </c>
      <c r="G97" s="25" t="s">
        <v>9</v>
      </c>
      <c r="H97" s="15">
        <f t="shared" si="5"/>
        <v>0.10000000000582077</v>
      </c>
      <c r="I97" s="15" t="s">
        <v>113</v>
      </c>
    </row>
    <row r="98" spans="1:10" s="4" customFormat="1" ht="15.75" x14ac:dyDescent="0.25">
      <c r="A98" s="9">
        <v>42077</v>
      </c>
      <c r="B98" s="10">
        <v>180482.8</v>
      </c>
      <c r="C98" s="10">
        <v>32248.5</v>
      </c>
      <c r="D98" s="10">
        <v>170</v>
      </c>
      <c r="E98" s="11">
        <f t="shared" si="4"/>
        <v>148064.29999999999</v>
      </c>
      <c r="F98" s="15">
        <f>60000+25000+63064.5</f>
        <v>148064.5</v>
      </c>
      <c r="G98" s="25" t="s">
        <v>9</v>
      </c>
      <c r="H98" s="15">
        <f t="shared" si="5"/>
        <v>0.20000000001164153</v>
      </c>
      <c r="I98" s="15" t="s">
        <v>113</v>
      </c>
    </row>
    <row r="99" spans="1:10" s="4" customFormat="1" ht="15.75" x14ac:dyDescent="0.25">
      <c r="A99" s="9">
        <v>42078</v>
      </c>
      <c r="B99" s="10">
        <v>113359</v>
      </c>
      <c r="C99" s="10">
        <v>709</v>
      </c>
      <c r="D99" s="10">
        <v>102950</v>
      </c>
      <c r="E99" s="11">
        <f t="shared" si="4"/>
        <v>9700</v>
      </c>
      <c r="F99" s="15">
        <v>9700</v>
      </c>
      <c r="G99" s="25" t="s">
        <v>9</v>
      </c>
      <c r="H99" s="15">
        <f t="shared" si="5"/>
        <v>0</v>
      </c>
      <c r="I99" s="15" t="s">
        <v>113</v>
      </c>
      <c r="J99" s="4" t="s">
        <v>167</v>
      </c>
    </row>
    <row r="100" spans="1:10" s="4" customFormat="1" ht="15.75" x14ac:dyDescent="0.25">
      <c r="A100" s="9">
        <v>42079</v>
      </c>
      <c r="B100" s="10">
        <v>183373</v>
      </c>
      <c r="C100" s="10">
        <v>1120</v>
      </c>
      <c r="D100" s="10">
        <v>110</v>
      </c>
      <c r="E100" s="11">
        <f t="shared" si="4"/>
        <v>182143</v>
      </c>
      <c r="F100" s="15">
        <f>18143+50000+54000+60000</f>
        <v>182143</v>
      </c>
      <c r="G100" s="25" t="s">
        <v>9</v>
      </c>
      <c r="H100" s="15">
        <f t="shared" si="5"/>
        <v>0</v>
      </c>
      <c r="I100" s="15" t="s">
        <v>113</v>
      </c>
    </row>
    <row r="101" spans="1:10" s="4" customFormat="1" ht="15.75" x14ac:dyDescent="0.25">
      <c r="A101" s="9">
        <v>42080</v>
      </c>
      <c r="B101" s="10">
        <v>120762</v>
      </c>
      <c r="C101" s="10">
        <v>37906</v>
      </c>
      <c r="D101" s="10">
        <v>35110</v>
      </c>
      <c r="E101" s="11">
        <f t="shared" si="4"/>
        <v>47746</v>
      </c>
      <c r="F101" s="15">
        <f>30000+17746</f>
        <v>47746</v>
      </c>
      <c r="G101" s="25" t="s">
        <v>9</v>
      </c>
      <c r="H101" s="15">
        <f t="shared" si="5"/>
        <v>0</v>
      </c>
      <c r="I101" s="15" t="s">
        <v>113</v>
      </c>
      <c r="J101" s="4" t="s">
        <v>168</v>
      </c>
    </row>
    <row r="102" spans="1:10" s="4" customFormat="1" ht="15.75" x14ac:dyDescent="0.25">
      <c r="A102" s="9">
        <v>42081</v>
      </c>
      <c r="B102" s="10">
        <v>102594.68</v>
      </c>
      <c r="C102" s="10">
        <v>2652</v>
      </c>
      <c r="D102" s="10">
        <v>55200</v>
      </c>
      <c r="E102" s="11">
        <f t="shared" si="4"/>
        <v>44742.679999999993</v>
      </c>
      <c r="F102" s="15">
        <v>44742.5</v>
      </c>
      <c r="G102" s="25" t="s">
        <v>9</v>
      </c>
      <c r="H102" s="15">
        <f t="shared" si="5"/>
        <v>-0.17999999999301508</v>
      </c>
      <c r="I102" s="15" t="s">
        <v>113</v>
      </c>
    </row>
    <row r="103" spans="1:10" s="4" customFormat="1" ht="15.75" x14ac:dyDescent="0.25">
      <c r="A103" s="9">
        <v>42082</v>
      </c>
      <c r="B103" s="10">
        <v>138470</v>
      </c>
      <c r="C103" s="10">
        <v>123</v>
      </c>
      <c r="D103" s="10">
        <v>50176</v>
      </c>
      <c r="E103" s="11">
        <f t="shared" si="4"/>
        <v>88171</v>
      </c>
      <c r="F103" s="15">
        <f>63000+3000+22171</f>
        <v>88171</v>
      </c>
      <c r="G103" s="25" t="s">
        <v>9</v>
      </c>
      <c r="H103" s="15">
        <f t="shared" si="5"/>
        <v>0</v>
      </c>
      <c r="I103" s="15" t="s">
        <v>113</v>
      </c>
    </row>
    <row r="104" spans="1:10" s="4" customFormat="1" ht="15.75" x14ac:dyDescent="0.25">
      <c r="A104" s="9">
        <v>42083</v>
      </c>
      <c r="B104" s="10">
        <v>146154.5</v>
      </c>
      <c r="C104" s="10">
        <v>41332</v>
      </c>
      <c r="D104" s="10">
        <v>760</v>
      </c>
      <c r="E104" s="11">
        <f t="shared" si="4"/>
        <v>104062.5</v>
      </c>
      <c r="F104" s="15">
        <f>9062.5+20000+75000</f>
        <v>104062.5</v>
      </c>
      <c r="G104" s="25" t="s">
        <v>9</v>
      </c>
      <c r="H104" s="15">
        <f t="shared" si="5"/>
        <v>0</v>
      </c>
      <c r="I104" s="15" t="s">
        <v>113</v>
      </c>
    </row>
    <row r="105" spans="1:10" s="4" customFormat="1" ht="15.75" x14ac:dyDescent="0.25">
      <c r="A105" s="9">
        <v>42084</v>
      </c>
      <c r="B105" s="10">
        <v>115893</v>
      </c>
      <c r="C105" s="10">
        <v>23351</v>
      </c>
      <c r="D105" s="10">
        <v>170</v>
      </c>
      <c r="E105" s="11">
        <f t="shared" si="4"/>
        <v>92372</v>
      </c>
      <c r="F105" s="15">
        <f>25000+40000+27372</f>
        <v>92372</v>
      </c>
      <c r="G105" s="25" t="s">
        <v>9</v>
      </c>
      <c r="H105" s="15">
        <f t="shared" si="5"/>
        <v>0</v>
      </c>
      <c r="I105" s="15" t="s">
        <v>113</v>
      </c>
    </row>
    <row r="106" spans="1:10" s="4" customFormat="1" ht="15.75" x14ac:dyDescent="0.25">
      <c r="A106" s="9">
        <v>42085</v>
      </c>
      <c r="B106" s="10">
        <v>138304</v>
      </c>
      <c r="C106" s="10">
        <v>4785</v>
      </c>
      <c r="D106" s="10">
        <v>200</v>
      </c>
      <c r="E106" s="11">
        <f t="shared" si="4"/>
        <v>133319</v>
      </c>
      <c r="F106" s="15">
        <f>19319+80000+34000</f>
        <v>133319</v>
      </c>
      <c r="G106" s="25" t="s">
        <v>9</v>
      </c>
      <c r="H106" s="15">
        <f t="shared" si="5"/>
        <v>0</v>
      </c>
      <c r="I106" s="15" t="s">
        <v>113</v>
      </c>
    </row>
    <row r="107" spans="1:10" s="4" customFormat="1" ht="15.75" x14ac:dyDescent="0.25">
      <c r="A107" s="9">
        <v>42086</v>
      </c>
      <c r="B107" s="10">
        <v>139798.5</v>
      </c>
      <c r="C107" s="10">
        <v>562</v>
      </c>
      <c r="D107" s="10">
        <v>100220</v>
      </c>
      <c r="E107" s="11">
        <f t="shared" si="4"/>
        <v>39016.5</v>
      </c>
      <c r="F107" s="15">
        <f>25000+14016.5</f>
        <v>39016.5</v>
      </c>
      <c r="G107" s="25" t="s">
        <v>9</v>
      </c>
      <c r="H107" s="15">
        <f t="shared" si="5"/>
        <v>0</v>
      </c>
      <c r="I107" s="15" t="s">
        <v>113</v>
      </c>
    </row>
    <row r="108" spans="1:10" s="4" customFormat="1" ht="15.75" x14ac:dyDescent="0.25">
      <c r="A108" s="9">
        <v>42087</v>
      </c>
      <c r="B108" s="10">
        <v>73301</v>
      </c>
      <c r="C108" s="10">
        <v>0</v>
      </c>
      <c r="D108" s="10">
        <v>50910</v>
      </c>
      <c r="E108" s="11">
        <f t="shared" si="4"/>
        <v>22391</v>
      </c>
      <c r="F108" s="15">
        <f>2621+19770</f>
        <v>22391</v>
      </c>
      <c r="G108" s="25" t="s">
        <v>9</v>
      </c>
      <c r="H108" s="15">
        <f t="shared" si="5"/>
        <v>0</v>
      </c>
      <c r="I108" s="15" t="s">
        <v>113</v>
      </c>
      <c r="J108" s="4" t="s">
        <v>186</v>
      </c>
    </row>
    <row r="109" spans="1:10" s="4" customFormat="1" ht="15.75" x14ac:dyDescent="0.25">
      <c r="A109" s="9">
        <v>42088</v>
      </c>
      <c r="B109" s="10">
        <v>90083.1</v>
      </c>
      <c r="C109" s="10">
        <v>2496</v>
      </c>
      <c r="D109" s="10">
        <v>50190</v>
      </c>
      <c r="E109" s="11">
        <f t="shared" si="4"/>
        <v>37397.100000000006</v>
      </c>
      <c r="F109" s="15">
        <f>30000+7397</f>
        <v>37397</v>
      </c>
      <c r="G109" s="25" t="s">
        <v>9</v>
      </c>
      <c r="H109" s="15">
        <f t="shared" si="5"/>
        <v>-0.10000000000582077</v>
      </c>
      <c r="I109" s="15" t="s">
        <v>113</v>
      </c>
      <c r="J109" s="4" t="s">
        <v>186</v>
      </c>
    </row>
    <row r="110" spans="1:10" s="4" customFormat="1" ht="15.75" x14ac:dyDescent="0.25">
      <c r="A110" s="9">
        <v>42089</v>
      </c>
      <c r="B110" s="10">
        <v>119167.5</v>
      </c>
      <c r="C110" s="10">
        <v>3700</v>
      </c>
      <c r="D110" s="10">
        <v>812.9</v>
      </c>
      <c r="E110" s="11">
        <f t="shared" si="4"/>
        <v>114654.6</v>
      </c>
      <c r="F110" s="15">
        <f>3000+4000+35000+15000+42000+12154.6+3500</f>
        <v>114654.6</v>
      </c>
      <c r="G110" s="25" t="s">
        <v>9</v>
      </c>
      <c r="H110" s="15">
        <f t="shared" si="5"/>
        <v>0</v>
      </c>
      <c r="I110" s="15" t="s">
        <v>113</v>
      </c>
    </row>
    <row r="111" spans="1:10" s="4" customFormat="1" ht="15.75" x14ac:dyDescent="0.25">
      <c r="A111" s="9">
        <v>42090</v>
      </c>
      <c r="B111" s="10">
        <v>165189.25</v>
      </c>
      <c r="C111" s="10">
        <v>497</v>
      </c>
      <c r="D111" s="10">
        <v>240</v>
      </c>
      <c r="E111" s="11">
        <f t="shared" si="4"/>
        <v>164452.25</v>
      </c>
      <c r="F111" s="15">
        <f>80000+15000+55000+14452</f>
        <v>164452</v>
      </c>
      <c r="G111" s="25" t="s">
        <v>9</v>
      </c>
      <c r="H111" s="15">
        <f t="shared" si="5"/>
        <v>-0.25</v>
      </c>
      <c r="I111" s="15" t="s">
        <v>113</v>
      </c>
    </row>
    <row r="112" spans="1:10" s="4" customFormat="1" ht="15.75" x14ac:dyDescent="0.25">
      <c r="A112" s="9">
        <v>42091</v>
      </c>
      <c r="B112" s="10">
        <v>169371</v>
      </c>
      <c r="C112" s="10">
        <v>22570</v>
      </c>
      <c r="D112" s="10">
        <v>100</v>
      </c>
      <c r="E112" s="11">
        <f t="shared" si="4"/>
        <v>146701</v>
      </c>
      <c r="F112" s="15">
        <f>8568+40000+60000+25000+13133</f>
        <v>146701</v>
      </c>
      <c r="G112" s="25" t="s">
        <v>9</v>
      </c>
      <c r="H112" s="15">
        <f t="shared" si="5"/>
        <v>0</v>
      </c>
      <c r="I112" s="15" t="s">
        <v>113</v>
      </c>
    </row>
    <row r="113" spans="1:10" s="4" customFormat="1" ht="15.75" x14ac:dyDescent="0.25">
      <c r="A113" s="9">
        <v>42092</v>
      </c>
      <c r="B113" s="10">
        <v>101036</v>
      </c>
      <c r="C113" s="10">
        <v>0</v>
      </c>
      <c r="D113" s="10">
        <v>200</v>
      </c>
      <c r="E113" s="11">
        <f t="shared" si="4"/>
        <v>100836</v>
      </c>
      <c r="F113" s="15">
        <f>45836+55000</f>
        <v>100836</v>
      </c>
      <c r="G113" s="25" t="s">
        <v>9</v>
      </c>
      <c r="H113" s="15">
        <f t="shared" si="5"/>
        <v>0</v>
      </c>
      <c r="I113" s="15" t="s">
        <v>113</v>
      </c>
    </row>
    <row r="114" spans="1:10" s="4" customFormat="1" ht="15.75" x14ac:dyDescent="0.25">
      <c r="A114" s="9">
        <v>42093</v>
      </c>
      <c r="B114" s="10">
        <v>124414</v>
      </c>
      <c r="C114" s="10">
        <v>2086</v>
      </c>
      <c r="D114" s="10">
        <v>180</v>
      </c>
      <c r="E114" s="11">
        <f t="shared" si="4"/>
        <v>122148</v>
      </c>
      <c r="F114" s="15">
        <f>44148+43000+35000</f>
        <v>122148</v>
      </c>
      <c r="G114" s="25" t="s">
        <v>9</v>
      </c>
      <c r="H114" s="15">
        <f t="shared" si="5"/>
        <v>0</v>
      </c>
      <c r="I114" s="15" t="s">
        <v>113</v>
      </c>
    </row>
    <row r="115" spans="1:10" s="4" customFormat="1" ht="15.75" x14ac:dyDescent="0.25">
      <c r="A115" s="9">
        <v>42094</v>
      </c>
      <c r="B115" s="10">
        <v>164597</v>
      </c>
      <c r="C115" s="10">
        <v>20085</v>
      </c>
      <c r="D115" s="10">
        <v>50230</v>
      </c>
      <c r="E115" s="11">
        <f t="shared" si="4"/>
        <v>94282</v>
      </c>
      <c r="F115" s="15">
        <f>40000+28000+25073+1209</f>
        <v>94282</v>
      </c>
      <c r="G115" s="25"/>
      <c r="H115" s="15">
        <f t="shared" si="5"/>
        <v>0</v>
      </c>
      <c r="I115" s="15"/>
      <c r="J115" s="4" t="s">
        <v>186</v>
      </c>
    </row>
    <row r="116" spans="1:10" s="4" customFormat="1" ht="15.75" x14ac:dyDescent="0.25">
      <c r="A116" s="9"/>
      <c r="B116" s="10"/>
      <c r="C116" s="10"/>
      <c r="D116" s="10"/>
      <c r="E116" s="11">
        <f t="shared" si="4"/>
        <v>0</v>
      </c>
      <c r="F116" s="15"/>
      <c r="G116" s="25"/>
      <c r="H116" s="15">
        <f t="shared" si="5"/>
        <v>0</v>
      </c>
      <c r="I116" s="15"/>
    </row>
    <row r="117" spans="1:10" s="4" customFormat="1" ht="15.75" x14ac:dyDescent="0.25">
      <c r="A117" s="9"/>
      <c r="B117" s="10"/>
      <c r="C117" s="10"/>
      <c r="D117" s="10"/>
      <c r="E117" s="11">
        <f t="shared" si="4"/>
        <v>0</v>
      </c>
      <c r="F117" s="15"/>
      <c r="I117" s="15"/>
    </row>
    <row r="118" spans="1:10" s="4" customFormat="1" ht="15.75" x14ac:dyDescent="0.25">
      <c r="A118" s="14"/>
      <c r="B118" s="13"/>
      <c r="C118" s="10"/>
      <c r="D118" s="10"/>
      <c r="E118" s="11">
        <f t="shared" si="4"/>
        <v>0</v>
      </c>
      <c r="F118" s="15"/>
      <c r="G118" s="189" t="s">
        <v>9</v>
      </c>
      <c r="I118" s="15"/>
    </row>
    <row r="119" spans="1:10" s="4" customFormat="1" ht="15.75" x14ac:dyDescent="0.25">
      <c r="A119" s="14"/>
      <c r="B119" s="10"/>
      <c r="C119" s="10"/>
      <c r="D119" s="10"/>
      <c r="E119" s="11">
        <f t="shared" si="4"/>
        <v>0</v>
      </c>
      <c r="F119" s="15"/>
      <c r="I119" s="15"/>
    </row>
    <row r="120" spans="1:10" s="4" customFormat="1" ht="15.75" x14ac:dyDescent="0.25">
      <c r="A120" s="14"/>
      <c r="B120" s="10">
        <f>SUM(B85:B119)</f>
        <v>3942182.6400000006</v>
      </c>
      <c r="C120" s="10"/>
      <c r="D120" s="10">
        <f>SUM(D85:D119)</f>
        <v>580196.9</v>
      </c>
      <c r="E120" s="11">
        <f t="shared" si="4"/>
        <v>3361985.7400000007</v>
      </c>
      <c r="F120" s="15"/>
      <c r="I120" s="15"/>
    </row>
    <row r="122" spans="1:10" ht="18.75" x14ac:dyDescent="0.3">
      <c r="B122" s="275" t="s">
        <v>61</v>
      </c>
      <c r="C122" s="275"/>
      <c r="D122" s="275"/>
      <c r="E122" s="275"/>
      <c r="F122" s="275"/>
    </row>
    <row r="124" spans="1:10" s="4" customFormat="1" ht="16.5" thickBot="1" x14ac:dyDescent="0.3">
      <c r="A124" s="19" t="s">
        <v>0</v>
      </c>
      <c r="B124" s="20" t="s">
        <v>1</v>
      </c>
      <c r="C124" s="8" t="s">
        <v>3</v>
      </c>
      <c r="D124" s="21" t="s">
        <v>2</v>
      </c>
      <c r="E124" s="22" t="s">
        <v>4</v>
      </c>
      <c r="F124" s="27" t="s">
        <v>8</v>
      </c>
    </row>
    <row r="125" spans="1:10" s="4" customFormat="1" ht="16.5" thickTop="1" x14ac:dyDescent="0.25">
      <c r="A125" s="9">
        <v>42095</v>
      </c>
      <c r="B125" s="10">
        <v>122206</v>
      </c>
      <c r="C125" s="10">
        <v>26949.32</v>
      </c>
      <c r="D125" s="10">
        <v>51200</v>
      </c>
      <c r="E125" s="11">
        <f>B125-C125-D125</f>
        <v>44056.679999999993</v>
      </c>
      <c r="F125" s="15">
        <f>39080+4977</f>
        <v>44057</v>
      </c>
      <c r="G125" s="25" t="s">
        <v>9</v>
      </c>
      <c r="H125" s="15">
        <f>F125-E125</f>
        <v>0.32000000000698492</v>
      </c>
      <c r="I125" s="15" t="s">
        <v>113</v>
      </c>
      <c r="J125" s="4" t="s">
        <v>186</v>
      </c>
    </row>
    <row r="126" spans="1:10" s="4" customFormat="1" ht="15.75" x14ac:dyDescent="0.25">
      <c r="A126" s="9">
        <v>42096</v>
      </c>
      <c r="B126" s="10">
        <v>185595</v>
      </c>
      <c r="C126" s="10">
        <v>68635</v>
      </c>
      <c r="D126" s="10">
        <v>50137</v>
      </c>
      <c r="E126" s="11">
        <f t="shared" ref="E126:E159" si="6">B126-C126-D126</f>
        <v>66823</v>
      </c>
      <c r="F126" s="15">
        <f>49000+17823</f>
        <v>66823</v>
      </c>
      <c r="G126" s="25" t="s">
        <v>9</v>
      </c>
      <c r="H126" s="15">
        <f t="shared" ref="H126:H156" si="7">F126-E126</f>
        <v>0</v>
      </c>
      <c r="I126" s="15" t="s">
        <v>113</v>
      </c>
      <c r="J126" s="4" t="s">
        <v>186</v>
      </c>
    </row>
    <row r="127" spans="1:10" s="4" customFormat="1" ht="15.75" x14ac:dyDescent="0.25">
      <c r="A127" s="65">
        <v>42097</v>
      </c>
      <c r="B127" s="276" t="s">
        <v>187</v>
      </c>
      <c r="C127" s="277"/>
      <c r="D127" s="278"/>
      <c r="E127" s="66" t="e">
        <f t="shared" si="6"/>
        <v>#VALUE!</v>
      </c>
      <c r="F127" s="30"/>
      <c r="G127" s="113"/>
      <c r="H127" s="30" t="e">
        <f t="shared" si="7"/>
        <v>#VALUE!</v>
      </c>
      <c r="I127" s="15"/>
    </row>
    <row r="128" spans="1:10" s="4" customFormat="1" ht="15.75" x14ac:dyDescent="0.25">
      <c r="A128" s="9">
        <v>42098</v>
      </c>
      <c r="B128" s="10">
        <v>156520</v>
      </c>
      <c r="C128" s="10">
        <v>4330</v>
      </c>
      <c r="D128" s="10">
        <v>50100</v>
      </c>
      <c r="E128" s="11">
        <f t="shared" si="6"/>
        <v>102090</v>
      </c>
      <c r="F128" s="15">
        <f>24000+78090</f>
        <v>102090</v>
      </c>
      <c r="G128" s="25" t="s">
        <v>9</v>
      </c>
      <c r="H128" s="15">
        <f t="shared" si="7"/>
        <v>0</v>
      </c>
      <c r="I128" s="15" t="s">
        <v>113</v>
      </c>
      <c r="J128" s="4" t="s">
        <v>186</v>
      </c>
    </row>
    <row r="129" spans="1:10" s="4" customFormat="1" ht="15.75" x14ac:dyDescent="0.25">
      <c r="A129" s="9">
        <v>42099</v>
      </c>
      <c r="B129" s="10">
        <v>152694.5</v>
      </c>
      <c r="C129" s="10">
        <v>4198</v>
      </c>
      <c r="D129" s="10">
        <v>50200</v>
      </c>
      <c r="E129" s="11">
        <f t="shared" si="6"/>
        <v>98296.5</v>
      </c>
      <c r="F129" s="15">
        <f>36000+35000+19796.5+7500</f>
        <v>98296.5</v>
      </c>
      <c r="G129" s="25" t="s">
        <v>9</v>
      </c>
      <c r="H129" s="15">
        <f t="shared" si="7"/>
        <v>0</v>
      </c>
      <c r="I129" s="15" t="s">
        <v>113</v>
      </c>
      <c r="J129" s="4" t="s">
        <v>186</v>
      </c>
    </row>
    <row r="130" spans="1:10" s="4" customFormat="1" ht="15.75" x14ac:dyDescent="0.25">
      <c r="A130" s="9">
        <v>42100</v>
      </c>
      <c r="B130" s="10">
        <v>128546.13</v>
      </c>
      <c r="C130" s="10">
        <v>11399.5</v>
      </c>
      <c r="D130" s="10">
        <v>50100</v>
      </c>
      <c r="E130" s="11">
        <f t="shared" si="6"/>
        <v>67046.63</v>
      </c>
      <c r="F130" s="15">
        <f>12000+39000+16047</f>
        <v>67047</v>
      </c>
      <c r="G130" s="25" t="s">
        <v>9</v>
      </c>
      <c r="H130" s="15">
        <f t="shared" si="7"/>
        <v>0.36999999999534339</v>
      </c>
      <c r="I130" s="15" t="s">
        <v>113</v>
      </c>
      <c r="J130" s="4" t="s">
        <v>186</v>
      </c>
    </row>
    <row r="131" spans="1:10" s="4" customFormat="1" ht="15.75" x14ac:dyDescent="0.25">
      <c r="A131" s="9">
        <v>42101</v>
      </c>
      <c r="B131" s="10">
        <v>148628</v>
      </c>
      <c r="C131" s="10">
        <v>32003</v>
      </c>
      <c r="D131" s="10">
        <v>50140</v>
      </c>
      <c r="E131" s="11">
        <f t="shared" si="6"/>
        <v>66485</v>
      </c>
      <c r="F131" s="15">
        <f>54000+12485</f>
        <v>66485</v>
      </c>
      <c r="G131" s="25" t="s">
        <v>9</v>
      </c>
      <c r="H131" s="15">
        <f t="shared" si="7"/>
        <v>0</v>
      </c>
      <c r="I131" s="15" t="s">
        <v>113</v>
      </c>
      <c r="J131" s="4" t="s">
        <v>186</v>
      </c>
    </row>
    <row r="132" spans="1:10" s="4" customFormat="1" ht="15.75" x14ac:dyDescent="0.25">
      <c r="A132" s="9">
        <v>42102</v>
      </c>
      <c r="B132" s="10">
        <v>104324.5</v>
      </c>
      <c r="C132" s="10">
        <v>4290</v>
      </c>
      <c r="D132" s="10">
        <v>50160</v>
      </c>
      <c r="E132" s="11">
        <f t="shared" si="6"/>
        <v>49874.5</v>
      </c>
      <c r="F132" s="15">
        <f>6125+14000+23000+6750</f>
        <v>49875</v>
      </c>
      <c r="G132" s="25" t="s">
        <v>9</v>
      </c>
      <c r="H132" s="15">
        <f t="shared" si="7"/>
        <v>0.5</v>
      </c>
      <c r="I132" s="15" t="s">
        <v>113</v>
      </c>
      <c r="J132" s="4" t="s">
        <v>186</v>
      </c>
    </row>
    <row r="133" spans="1:10" s="4" customFormat="1" ht="15.75" x14ac:dyDescent="0.25">
      <c r="A133" s="9">
        <v>42103</v>
      </c>
      <c r="B133" s="10">
        <v>147407</v>
      </c>
      <c r="C133" s="10">
        <v>34681</v>
      </c>
      <c r="D133" s="10">
        <v>50210</v>
      </c>
      <c r="E133" s="11">
        <f t="shared" si="6"/>
        <v>62516</v>
      </c>
      <c r="F133" s="15">
        <f>3500+7500+40000+11516</f>
        <v>62516</v>
      </c>
      <c r="G133" s="25" t="s">
        <v>9</v>
      </c>
      <c r="H133" s="15">
        <f t="shared" si="7"/>
        <v>0</v>
      </c>
      <c r="I133" s="15" t="s">
        <v>113</v>
      </c>
      <c r="J133" s="4" t="s">
        <v>186</v>
      </c>
    </row>
    <row r="134" spans="1:10" s="4" customFormat="1" ht="15.75" x14ac:dyDescent="0.25">
      <c r="A134" s="9">
        <v>42104</v>
      </c>
      <c r="B134" s="10">
        <v>204088.5</v>
      </c>
      <c r="C134" s="10">
        <v>88740.1</v>
      </c>
      <c r="D134" s="10">
        <v>50100</v>
      </c>
      <c r="E134" s="11">
        <f t="shared" si="6"/>
        <v>65248.399999999994</v>
      </c>
      <c r="F134" s="15">
        <f>20000+45248</f>
        <v>65248</v>
      </c>
      <c r="G134" s="25" t="s">
        <v>9</v>
      </c>
      <c r="H134" s="15">
        <f t="shared" si="7"/>
        <v>-0.39999999999417923</v>
      </c>
      <c r="I134" s="15" t="s">
        <v>113</v>
      </c>
      <c r="J134" s="4" t="s">
        <v>186</v>
      </c>
    </row>
    <row r="135" spans="1:10" s="4" customFormat="1" ht="15.75" x14ac:dyDescent="0.25">
      <c r="A135" s="9">
        <v>42105</v>
      </c>
      <c r="B135" s="10">
        <v>148938</v>
      </c>
      <c r="C135" s="10">
        <v>13479</v>
      </c>
      <c r="D135" s="10">
        <v>50110</v>
      </c>
      <c r="E135" s="11">
        <f t="shared" si="6"/>
        <v>85349</v>
      </c>
      <c r="F135" s="15">
        <f>70000+15350</f>
        <v>85350</v>
      </c>
      <c r="G135" s="25" t="s">
        <v>9</v>
      </c>
      <c r="H135" s="15">
        <f t="shared" si="7"/>
        <v>1</v>
      </c>
      <c r="I135" s="15" t="s">
        <v>113</v>
      </c>
      <c r="J135" s="4" t="s">
        <v>186</v>
      </c>
    </row>
    <row r="136" spans="1:10" s="4" customFormat="1" ht="15.75" x14ac:dyDescent="0.25">
      <c r="A136" s="9">
        <v>42106</v>
      </c>
      <c r="B136" s="10">
        <v>138375.5</v>
      </c>
      <c r="C136" s="10">
        <v>64300</v>
      </c>
      <c r="D136" s="10">
        <v>50230</v>
      </c>
      <c r="E136" s="11">
        <f t="shared" si="6"/>
        <v>23845.5</v>
      </c>
      <c r="F136" s="15">
        <v>23845.5</v>
      </c>
      <c r="G136" s="25" t="s">
        <v>9</v>
      </c>
      <c r="H136" s="15">
        <f t="shared" si="7"/>
        <v>0</v>
      </c>
      <c r="I136" s="15" t="s">
        <v>113</v>
      </c>
      <c r="J136" s="4" t="s">
        <v>186</v>
      </c>
    </row>
    <row r="137" spans="1:10" s="4" customFormat="1" ht="15.75" x14ac:dyDescent="0.25">
      <c r="A137" s="9">
        <v>42107</v>
      </c>
      <c r="B137" s="10">
        <v>128696</v>
      </c>
      <c r="C137" s="10">
        <v>53650</v>
      </c>
      <c r="D137" s="10">
        <v>50230</v>
      </c>
      <c r="E137" s="11">
        <f t="shared" si="6"/>
        <v>24816</v>
      </c>
      <c r="F137" s="15">
        <v>24816</v>
      </c>
      <c r="G137" s="25" t="s">
        <v>9</v>
      </c>
      <c r="H137" s="15">
        <f t="shared" si="7"/>
        <v>0</v>
      </c>
      <c r="I137" s="15" t="s">
        <v>113</v>
      </c>
      <c r="J137" s="4" t="s">
        <v>186</v>
      </c>
    </row>
    <row r="138" spans="1:10" s="4" customFormat="1" ht="15.75" x14ac:dyDescent="0.25">
      <c r="A138" s="9">
        <v>42108</v>
      </c>
      <c r="B138" s="10">
        <v>117423</v>
      </c>
      <c r="C138" s="10">
        <v>44547</v>
      </c>
      <c r="D138" s="10">
        <v>50110</v>
      </c>
      <c r="E138" s="11">
        <f t="shared" si="6"/>
        <v>22766</v>
      </c>
      <c r="F138" s="15">
        <v>22766</v>
      </c>
      <c r="G138" s="25" t="s">
        <v>9</v>
      </c>
      <c r="H138" s="15">
        <f t="shared" si="7"/>
        <v>0</v>
      </c>
      <c r="I138" s="15" t="s">
        <v>113</v>
      </c>
      <c r="J138" s="4" t="s">
        <v>186</v>
      </c>
    </row>
    <row r="139" spans="1:10" s="4" customFormat="1" ht="15.75" x14ac:dyDescent="0.25">
      <c r="A139" s="9">
        <v>42109</v>
      </c>
      <c r="B139" s="10">
        <v>182391.5</v>
      </c>
      <c r="C139" s="10">
        <v>19272</v>
      </c>
      <c r="D139" s="10">
        <v>50100</v>
      </c>
      <c r="E139" s="11">
        <f t="shared" si="6"/>
        <v>113019.5</v>
      </c>
      <c r="F139" s="15">
        <f>24000+71500+17520</f>
        <v>113020</v>
      </c>
      <c r="G139" s="25" t="s">
        <v>9</v>
      </c>
      <c r="H139" s="15">
        <f t="shared" si="7"/>
        <v>0.5</v>
      </c>
      <c r="I139" s="15" t="s">
        <v>113</v>
      </c>
      <c r="J139" s="4" t="s">
        <v>186</v>
      </c>
    </row>
    <row r="140" spans="1:10" s="4" customFormat="1" ht="15.75" x14ac:dyDescent="0.25">
      <c r="A140" s="9">
        <v>42110</v>
      </c>
      <c r="B140" s="10">
        <v>104751.5</v>
      </c>
      <c r="C140" s="10">
        <v>2099</v>
      </c>
      <c r="D140" s="10">
        <v>60100</v>
      </c>
      <c r="E140" s="11">
        <f t="shared" si="6"/>
        <v>42552.5</v>
      </c>
      <c r="F140" s="15">
        <f>15000+27552.5</f>
        <v>42552.5</v>
      </c>
      <c r="G140" s="25" t="s">
        <v>9</v>
      </c>
      <c r="H140" s="15">
        <f t="shared" si="7"/>
        <v>0</v>
      </c>
      <c r="I140" s="15" t="s">
        <v>113</v>
      </c>
      <c r="J140" s="4" t="s">
        <v>186</v>
      </c>
    </row>
    <row r="141" spans="1:10" s="4" customFormat="1" ht="15.75" x14ac:dyDescent="0.25">
      <c r="A141" s="9">
        <v>42111</v>
      </c>
      <c r="B141" s="10">
        <v>113197.5</v>
      </c>
      <c r="C141" s="10">
        <v>7364</v>
      </c>
      <c r="D141" s="10">
        <v>160</v>
      </c>
      <c r="E141" s="11">
        <f t="shared" si="6"/>
        <v>105673.5</v>
      </c>
      <c r="F141" s="15">
        <f>50000+40000+15673.5</f>
        <v>105673.5</v>
      </c>
      <c r="G141" s="25" t="s">
        <v>9</v>
      </c>
      <c r="H141" s="15">
        <f t="shared" si="7"/>
        <v>0</v>
      </c>
      <c r="I141" s="15" t="s">
        <v>113</v>
      </c>
    </row>
    <row r="142" spans="1:10" s="4" customFormat="1" ht="15.75" x14ac:dyDescent="0.25">
      <c r="A142" s="9">
        <v>42112</v>
      </c>
      <c r="B142" s="10">
        <v>160342.5</v>
      </c>
      <c r="C142" s="10">
        <v>31186.7</v>
      </c>
      <c r="D142" s="10">
        <v>900</v>
      </c>
      <c r="E142" s="11">
        <f t="shared" si="6"/>
        <v>128255.8</v>
      </c>
      <c r="F142" s="15">
        <f>46000+25256+57000</f>
        <v>128256</v>
      </c>
      <c r="G142" s="25" t="s">
        <v>9</v>
      </c>
      <c r="H142" s="15">
        <f t="shared" si="7"/>
        <v>0.19999999999708962</v>
      </c>
      <c r="I142" s="15" t="s">
        <v>113</v>
      </c>
    </row>
    <row r="143" spans="1:10" s="4" customFormat="1" ht="15.75" x14ac:dyDescent="0.25">
      <c r="A143" s="9">
        <v>42113</v>
      </c>
      <c r="B143" s="10">
        <v>72976.5</v>
      </c>
      <c r="C143" s="10">
        <v>7118</v>
      </c>
      <c r="D143" s="10">
        <v>200</v>
      </c>
      <c r="E143" s="11">
        <f t="shared" si="6"/>
        <v>65658.5</v>
      </c>
      <c r="F143" s="15">
        <f>5658.5+25000+35000</f>
        <v>65658.5</v>
      </c>
      <c r="G143" s="25" t="s">
        <v>9</v>
      </c>
      <c r="H143" s="15">
        <f t="shared" si="7"/>
        <v>0</v>
      </c>
      <c r="I143" s="15" t="s">
        <v>113</v>
      </c>
    </row>
    <row r="144" spans="1:10" s="4" customFormat="1" ht="15.75" x14ac:dyDescent="0.25">
      <c r="A144" s="9">
        <v>42114</v>
      </c>
      <c r="B144" s="10">
        <v>123167.5</v>
      </c>
      <c r="C144" s="10">
        <v>4751</v>
      </c>
      <c r="D144" s="10">
        <v>160</v>
      </c>
      <c r="E144" s="11">
        <f t="shared" si="6"/>
        <v>118256.5</v>
      </c>
      <c r="F144" s="15">
        <f>20256.5+28000+50000+20000</f>
        <v>118256.5</v>
      </c>
      <c r="G144" s="25" t="s">
        <v>9</v>
      </c>
      <c r="H144" s="15">
        <f t="shared" si="7"/>
        <v>0</v>
      </c>
      <c r="I144" s="15" t="s">
        <v>113</v>
      </c>
    </row>
    <row r="145" spans="1:9" s="4" customFormat="1" ht="15.75" x14ac:dyDescent="0.25">
      <c r="A145" s="9">
        <v>42115</v>
      </c>
      <c r="B145" s="10">
        <v>77185</v>
      </c>
      <c r="C145" s="10">
        <v>13614.96</v>
      </c>
      <c r="D145" s="10">
        <v>100</v>
      </c>
      <c r="E145" s="11">
        <f t="shared" si="6"/>
        <v>63470.04</v>
      </c>
      <c r="F145" s="15">
        <f>16970+20500+26000</f>
        <v>63470</v>
      </c>
      <c r="G145" s="25" t="s">
        <v>9</v>
      </c>
      <c r="H145" s="15">
        <f t="shared" si="7"/>
        <v>-4.0000000000873115E-2</v>
      </c>
      <c r="I145" s="15" t="s">
        <v>113</v>
      </c>
    </row>
    <row r="146" spans="1:9" s="4" customFormat="1" ht="15.75" x14ac:dyDescent="0.25">
      <c r="A146" s="9">
        <v>42116</v>
      </c>
      <c r="B146" s="10">
        <v>66753.5</v>
      </c>
      <c r="C146" s="10">
        <v>4851</v>
      </c>
      <c r="D146" s="10">
        <v>100</v>
      </c>
      <c r="E146" s="11">
        <f t="shared" si="6"/>
        <v>61802.5</v>
      </c>
      <c r="F146" s="15">
        <f>27000+19000+15802.5</f>
        <v>61802.5</v>
      </c>
      <c r="G146" s="25" t="s">
        <v>9</v>
      </c>
      <c r="H146" s="15">
        <f t="shared" si="7"/>
        <v>0</v>
      </c>
      <c r="I146" s="15" t="s">
        <v>113</v>
      </c>
    </row>
    <row r="147" spans="1:9" s="4" customFormat="1" ht="15.75" x14ac:dyDescent="0.25">
      <c r="A147" s="9">
        <v>42117</v>
      </c>
      <c r="B147" s="10">
        <v>188475.4</v>
      </c>
      <c r="C147" s="10">
        <v>6262</v>
      </c>
      <c r="D147" s="10">
        <v>100</v>
      </c>
      <c r="E147" s="11">
        <f t="shared" si="6"/>
        <v>182113.4</v>
      </c>
      <c r="F147" s="15">
        <f>19113+35000+18000+45000+55000+5000+5000</f>
        <v>182113</v>
      </c>
      <c r="G147" s="25" t="s">
        <v>9</v>
      </c>
      <c r="H147" s="15">
        <f t="shared" si="7"/>
        <v>-0.39999999999417923</v>
      </c>
      <c r="I147" s="15" t="s">
        <v>113</v>
      </c>
    </row>
    <row r="148" spans="1:9" s="4" customFormat="1" ht="15.75" x14ac:dyDescent="0.25">
      <c r="A148" s="9">
        <v>42118</v>
      </c>
      <c r="B148" s="10">
        <v>147775</v>
      </c>
      <c r="C148" s="10">
        <v>1444</v>
      </c>
      <c r="D148" s="10">
        <v>110</v>
      </c>
      <c r="E148" s="11">
        <f t="shared" si="6"/>
        <v>146221</v>
      </c>
      <c r="F148" s="15">
        <f>25721+23500+45000+12000+40000</f>
        <v>146221</v>
      </c>
      <c r="G148" s="25" t="s">
        <v>9</v>
      </c>
      <c r="H148" s="15">
        <f t="shared" si="7"/>
        <v>0</v>
      </c>
      <c r="I148" s="15" t="s">
        <v>113</v>
      </c>
    </row>
    <row r="149" spans="1:9" s="4" customFormat="1" ht="15.75" x14ac:dyDescent="0.25">
      <c r="A149" s="9">
        <v>42119</v>
      </c>
      <c r="B149" s="10">
        <v>127259</v>
      </c>
      <c r="C149" s="10">
        <v>18702.599999999999</v>
      </c>
      <c r="D149" s="10">
        <v>110</v>
      </c>
      <c r="E149" s="11">
        <f t="shared" si="6"/>
        <v>108446.39999999999</v>
      </c>
      <c r="F149" s="15">
        <f>40000+25446.5+43000</f>
        <v>108446.5</v>
      </c>
      <c r="G149" s="25" t="s">
        <v>9</v>
      </c>
      <c r="H149" s="15">
        <f t="shared" si="7"/>
        <v>0.10000000000582077</v>
      </c>
      <c r="I149" s="15" t="s">
        <v>113</v>
      </c>
    </row>
    <row r="150" spans="1:9" s="4" customFormat="1" ht="15.75" x14ac:dyDescent="0.25">
      <c r="A150" s="9">
        <v>42120</v>
      </c>
      <c r="B150" s="10">
        <v>63000</v>
      </c>
      <c r="C150" s="10">
        <v>4274</v>
      </c>
      <c r="D150" s="10">
        <v>200</v>
      </c>
      <c r="E150" s="11">
        <f t="shared" si="6"/>
        <v>58526</v>
      </c>
      <c r="F150" s="15">
        <f>8526+20000+30000</f>
        <v>58526</v>
      </c>
      <c r="G150" s="25" t="s">
        <v>9</v>
      </c>
      <c r="H150" s="15">
        <f t="shared" si="7"/>
        <v>0</v>
      </c>
      <c r="I150" s="15" t="s">
        <v>113</v>
      </c>
    </row>
    <row r="151" spans="1:9" s="4" customFormat="1" ht="15.75" x14ac:dyDescent="0.25">
      <c r="A151" s="9">
        <v>42121</v>
      </c>
      <c r="B151" s="10">
        <v>224910.5</v>
      </c>
      <c r="C151" s="10">
        <v>4110.08</v>
      </c>
      <c r="D151" s="10">
        <v>112</v>
      </c>
      <c r="E151" s="11">
        <f t="shared" si="6"/>
        <v>220688.42</v>
      </c>
      <c r="F151" s="15">
        <f>45000+25000+40000+40000+50000+20691.5</f>
        <v>220691.5</v>
      </c>
      <c r="G151" s="25" t="s">
        <v>9</v>
      </c>
      <c r="H151" s="15">
        <f t="shared" si="7"/>
        <v>3.0799999999871943</v>
      </c>
      <c r="I151" s="15" t="s">
        <v>113</v>
      </c>
    </row>
    <row r="152" spans="1:9" s="4" customFormat="1" ht="15.75" x14ac:dyDescent="0.25">
      <c r="A152" s="9">
        <v>42122</v>
      </c>
      <c r="B152" s="10">
        <v>97046</v>
      </c>
      <c r="C152" s="10">
        <v>13078.5</v>
      </c>
      <c r="D152" s="10">
        <v>110</v>
      </c>
      <c r="E152" s="11">
        <f t="shared" si="6"/>
        <v>83857.5</v>
      </c>
      <c r="F152" s="15">
        <f>33000+35000+15858</f>
        <v>83858</v>
      </c>
      <c r="G152" s="25" t="s">
        <v>9</v>
      </c>
      <c r="H152" s="15">
        <f t="shared" si="7"/>
        <v>0.5</v>
      </c>
      <c r="I152" s="15" t="s">
        <v>113</v>
      </c>
    </row>
    <row r="153" spans="1:9" s="4" customFormat="1" ht="15.75" x14ac:dyDescent="0.25">
      <c r="A153" s="9">
        <v>42123</v>
      </c>
      <c r="B153" s="10">
        <v>112343.4</v>
      </c>
      <c r="C153" s="10">
        <v>0</v>
      </c>
      <c r="D153" s="10">
        <v>100</v>
      </c>
      <c r="E153" s="11">
        <f t="shared" si="6"/>
        <v>112243.4</v>
      </c>
      <c r="F153" s="15">
        <f>37000+30000+32000+13243.4</f>
        <v>112243.4</v>
      </c>
      <c r="G153" s="25" t="s">
        <v>9</v>
      </c>
      <c r="H153" s="15">
        <f t="shared" si="7"/>
        <v>0</v>
      </c>
      <c r="I153" s="15" t="s">
        <v>113</v>
      </c>
    </row>
    <row r="154" spans="1:9" s="4" customFormat="1" ht="15.75" x14ac:dyDescent="0.25">
      <c r="A154" s="9">
        <v>42124</v>
      </c>
      <c r="B154" s="10">
        <v>174388</v>
      </c>
      <c r="C154" s="10">
        <v>1959</v>
      </c>
      <c r="D154" s="10">
        <v>160</v>
      </c>
      <c r="E154" s="11">
        <f t="shared" si="6"/>
        <v>172269</v>
      </c>
      <c r="F154" s="15">
        <f>40000+15270+34000+75000+4000+4000</f>
        <v>172270</v>
      </c>
      <c r="G154" s="25" t="s">
        <v>9</v>
      </c>
      <c r="H154" s="15">
        <f t="shared" si="7"/>
        <v>1</v>
      </c>
      <c r="I154" s="15"/>
    </row>
    <row r="155" spans="1:9" s="4" customFormat="1" ht="15.75" x14ac:dyDescent="0.25">
      <c r="A155" s="9"/>
      <c r="B155" s="10"/>
      <c r="C155" s="10"/>
      <c r="D155" s="10"/>
      <c r="E155" s="11">
        <f t="shared" si="6"/>
        <v>0</v>
      </c>
      <c r="F155" s="15"/>
      <c r="G155" s="25"/>
      <c r="H155" s="15">
        <f t="shared" si="7"/>
        <v>0</v>
      </c>
      <c r="I155" s="15"/>
    </row>
    <row r="156" spans="1:9" s="4" customFormat="1" ht="15.75" x14ac:dyDescent="0.25">
      <c r="A156" s="9"/>
      <c r="B156" s="10"/>
      <c r="C156" s="10"/>
      <c r="D156" s="10"/>
      <c r="E156" s="11">
        <f t="shared" si="6"/>
        <v>0</v>
      </c>
      <c r="F156" s="15"/>
      <c r="G156" s="25"/>
      <c r="H156" s="15">
        <f t="shared" si="7"/>
        <v>0</v>
      </c>
      <c r="I156" s="15"/>
    </row>
    <row r="157" spans="1:9" s="4" customFormat="1" ht="15.75" x14ac:dyDescent="0.25">
      <c r="A157" s="14"/>
      <c r="B157" s="10"/>
      <c r="C157" s="10"/>
      <c r="D157" s="10"/>
      <c r="E157" s="11">
        <f t="shared" si="6"/>
        <v>0</v>
      </c>
      <c r="F157" s="15"/>
      <c r="G157" s="189" t="s">
        <v>9</v>
      </c>
      <c r="I157" s="15"/>
    </row>
    <row r="158" spans="1:9" s="4" customFormat="1" ht="15.75" x14ac:dyDescent="0.25">
      <c r="A158" s="14"/>
      <c r="B158" s="13"/>
      <c r="C158" s="10"/>
      <c r="D158" s="10"/>
      <c r="E158" s="11">
        <f t="shared" si="6"/>
        <v>0</v>
      </c>
      <c r="F158" s="15"/>
      <c r="I158" s="15"/>
    </row>
    <row r="159" spans="1:9" s="4" customFormat="1" ht="15.75" x14ac:dyDescent="0.25">
      <c r="A159" s="14"/>
      <c r="B159" s="10"/>
      <c r="C159" s="10"/>
      <c r="D159" s="10"/>
      <c r="E159" s="11">
        <f t="shared" si="6"/>
        <v>0</v>
      </c>
      <c r="F159" s="15"/>
      <c r="I159" s="15"/>
    </row>
    <row r="160" spans="1:9" s="4" customFormat="1" ht="15.75" x14ac:dyDescent="0.25">
      <c r="A160" s="14"/>
      <c r="B160" s="10">
        <f>SUM(B125:B159)</f>
        <v>3919404.9299999997</v>
      </c>
      <c r="C160" s="10"/>
      <c r="D160" s="10">
        <f>SUM(D125:D159)</f>
        <v>765849</v>
      </c>
      <c r="E160" s="11">
        <v>0</v>
      </c>
      <c r="F160" s="15"/>
      <c r="I160" s="15"/>
    </row>
    <row r="162" spans="1:10" ht="18.75" x14ac:dyDescent="0.3">
      <c r="B162" s="275" t="s">
        <v>62</v>
      </c>
      <c r="C162" s="275"/>
      <c r="D162" s="275"/>
      <c r="E162" s="275"/>
      <c r="F162" s="275"/>
    </row>
    <row r="164" spans="1:10" s="4" customFormat="1" ht="16.5" thickBot="1" x14ac:dyDescent="0.3">
      <c r="A164" s="19" t="s">
        <v>0</v>
      </c>
      <c r="B164" s="20" t="s">
        <v>1</v>
      </c>
      <c r="C164" s="8" t="s">
        <v>3</v>
      </c>
      <c r="D164" s="21" t="s">
        <v>2</v>
      </c>
      <c r="E164" s="22" t="s">
        <v>4</v>
      </c>
      <c r="F164" s="27" t="s">
        <v>8</v>
      </c>
    </row>
    <row r="165" spans="1:10" s="4" customFormat="1" ht="16.5" thickTop="1" x14ac:dyDescent="0.25">
      <c r="A165" s="9">
        <v>42125</v>
      </c>
      <c r="B165" s="10">
        <v>105523.5</v>
      </c>
      <c r="C165" s="10">
        <v>9940</v>
      </c>
      <c r="D165" s="10">
        <v>160</v>
      </c>
      <c r="E165" s="11">
        <f>B165-C165-D165</f>
        <v>95423.5</v>
      </c>
      <c r="F165" s="15">
        <f>68000+20000+7423.5</f>
        <v>95423.5</v>
      </c>
      <c r="G165" s="25" t="s">
        <v>9</v>
      </c>
      <c r="H165" s="15">
        <f>F165-E165</f>
        <v>0</v>
      </c>
      <c r="I165" s="15" t="s">
        <v>113</v>
      </c>
    </row>
    <row r="166" spans="1:10" s="4" customFormat="1" ht="15.75" x14ac:dyDescent="0.25">
      <c r="A166" s="9">
        <v>42126</v>
      </c>
      <c r="B166" s="10">
        <v>133722.5</v>
      </c>
      <c r="C166" s="10">
        <v>3794</v>
      </c>
      <c r="D166" s="10">
        <v>110</v>
      </c>
      <c r="E166" s="11">
        <f t="shared" ref="E166:E200" si="8">B166-C166-D166</f>
        <v>129818.5</v>
      </c>
      <c r="F166" s="15">
        <f>16000+55000+38000+20818.5</f>
        <v>129818.5</v>
      </c>
      <c r="G166" s="25" t="s">
        <v>9</v>
      </c>
      <c r="H166" s="15">
        <f t="shared" ref="H166:H196" si="9">F166-E166</f>
        <v>0</v>
      </c>
      <c r="I166" s="15" t="s">
        <v>113</v>
      </c>
    </row>
    <row r="167" spans="1:10" s="4" customFormat="1" ht="15.75" x14ac:dyDescent="0.25">
      <c r="A167" s="9">
        <v>42127</v>
      </c>
      <c r="B167" s="10">
        <v>117314</v>
      </c>
      <c r="C167" s="10">
        <v>12066</v>
      </c>
      <c r="D167" s="10">
        <v>200</v>
      </c>
      <c r="E167" s="11">
        <f t="shared" si="8"/>
        <v>105048</v>
      </c>
      <c r="F167" s="15">
        <f>60000+20048+25000</f>
        <v>105048</v>
      </c>
      <c r="G167" s="25" t="s">
        <v>9</v>
      </c>
      <c r="H167" s="15">
        <f t="shared" si="9"/>
        <v>0</v>
      </c>
      <c r="I167" s="15" t="s">
        <v>113</v>
      </c>
    </row>
    <row r="168" spans="1:10" s="4" customFormat="1" ht="15.75" x14ac:dyDescent="0.25">
      <c r="A168" s="9">
        <v>42128</v>
      </c>
      <c r="B168" s="10">
        <v>99655.5</v>
      </c>
      <c r="C168" s="10">
        <v>878</v>
      </c>
      <c r="D168" s="10">
        <v>100</v>
      </c>
      <c r="E168" s="11">
        <f t="shared" si="8"/>
        <v>98677.5</v>
      </c>
      <c r="F168" s="15">
        <f>60000+20000+18677.5</f>
        <v>98677.5</v>
      </c>
      <c r="G168" s="25" t="s">
        <v>9</v>
      </c>
      <c r="H168" s="15">
        <f t="shared" si="9"/>
        <v>0</v>
      </c>
      <c r="I168" s="15" t="s">
        <v>113</v>
      </c>
    </row>
    <row r="169" spans="1:10" s="4" customFormat="1" ht="15.75" x14ac:dyDescent="0.25">
      <c r="A169" s="9">
        <v>42129</v>
      </c>
      <c r="B169" s="10">
        <v>90119</v>
      </c>
      <c r="C169" s="10">
        <v>941</v>
      </c>
      <c r="D169" s="10">
        <v>100</v>
      </c>
      <c r="E169" s="11">
        <f t="shared" si="8"/>
        <v>89078</v>
      </c>
      <c r="F169" s="15">
        <f>16078+25000+20000+28000</f>
        <v>89078</v>
      </c>
      <c r="G169" s="25" t="s">
        <v>9</v>
      </c>
      <c r="H169" s="15">
        <f t="shared" si="9"/>
        <v>0</v>
      </c>
      <c r="I169" s="15" t="s">
        <v>113</v>
      </c>
    </row>
    <row r="170" spans="1:10" s="4" customFormat="1" ht="15.75" x14ac:dyDescent="0.25">
      <c r="A170" s="9">
        <v>42130</v>
      </c>
      <c r="B170" s="10">
        <v>123962.55</v>
      </c>
      <c r="C170" s="10">
        <v>30044.16</v>
      </c>
      <c r="D170" s="10">
        <v>824.29</v>
      </c>
      <c r="E170" s="11">
        <f t="shared" si="8"/>
        <v>93094.1</v>
      </c>
      <c r="F170" s="15">
        <f>15094+19000+59000</f>
        <v>93094</v>
      </c>
      <c r="G170" s="25" t="s">
        <v>9</v>
      </c>
      <c r="H170" s="15">
        <f t="shared" si="9"/>
        <v>-0.10000000000582077</v>
      </c>
      <c r="I170" s="15" t="s">
        <v>113</v>
      </c>
    </row>
    <row r="171" spans="1:10" s="4" customFormat="1" ht="15.75" x14ac:dyDescent="0.25">
      <c r="A171" s="9">
        <v>42131</v>
      </c>
      <c r="B171" s="10">
        <v>153599</v>
      </c>
      <c r="C171" s="10">
        <v>1336</v>
      </c>
      <c r="D171" s="10">
        <v>1117</v>
      </c>
      <c r="E171" s="11">
        <f t="shared" si="8"/>
        <v>151146</v>
      </c>
      <c r="F171" s="15">
        <f>21146+50000+20000+20000+20000+20000</f>
        <v>151146</v>
      </c>
      <c r="G171" s="25" t="s">
        <v>9</v>
      </c>
      <c r="H171" s="15">
        <f t="shared" si="9"/>
        <v>0</v>
      </c>
      <c r="I171" s="15" t="s">
        <v>113</v>
      </c>
    </row>
    <row r="172" spans="1:10" s="4" customFormat="1" ht="15.75" x14ac:dyDescent="0.25">
      <c r="A172" s="9">
        <v>42132</v>
      </c>
      <c r="B172" s="10">
        <v>148475.81</v>
      </c>
      <c r="C172" s="10">
        <v>6329</v>
      </c>
      <c r="D172" s="10">
        <v>160</v>
      </c>
      <c r="E172" s="11">
        <f t="shared" si="8"/>
        <v>141986.81</v>
      </c>
      <c r="F172" s="15">
        <f>55000+18000+24987+44000</f>
        <v>141987</v>
      </c>
      <c r="G172" s="25" t="s">
        <v>9</v>
      </c>
      <c r="H172" s="15">
        <f t="shared" si="9"/>
        <v>0.19000000000232831</v>
      </c>
      <c r="I172" s="15" t="s">
        <v>113</v>
      </c>
    </row>
    <row r="173" spans="1:10" s="4" customFormat="1" ht="15.75" x14ac:dyDescent="0.25">
      <c r="A173" s="9">
        <v>42133</v>
      </c>
      <c r="B173" s="10">
        <v>160591.5</v>
      </c>
      <c r="C173" s="10">
        <v>17698</v>
      </c>
      <c r="D173" s="10">
        <v>5350</v>
      </c>
      <c r="E173" s="11">
        <f t="shared" si="8"/>
        <v>137543.5</v>
      </c>
      <c r="F173" s="15">
        <f>15000+45000+50000+27543.5</f>
        <v>137543.5</v>
      </c>
      <c r="G173" s="25" t="s">
        <v>9</v>
      </c>
      <c r="H173" s="15">
        <f t="shared" si="9"/>
        <v>0</v>
      </c>
      <c r="I173" s="15" t="s">
        <v>113</v>
      </c>
    </row>
    <row r="174" spans="1:10" s="4" customFormat="1" ht="15.75" x14ac:dyDescent="0.25">
      <c r="A174" s="9">
        <v>42134</v>
      </c>
      <c r="B174" s="10">
        <v>115870</v>
      </c>
      <c r="C174" s="10">
        <v>0</v>
      </c>
      <c r="D174" s="10">
        <v>200</v>
      </c>
      <c r="E174" s="11">
        <f t="shared" si="8"/>
        <v>115670</v>
      </c>
      <c r="F174" s="15">
        <f>25670+35000+55000</f>
        <v>115670</v>
      </c>
      <c r="G174" s="25" t="s">
        <v>9</v>
      </c>
      <c r="H174" s="15">
        <f t="shared" si="9"/>
        <v>0</v>
      </c>
      <c r="I174" s="15" t="s">
        <v>113</v>
      </c>
    </row>
    <row r="175" spans="1:10" s="4" customFormat="1" ht="15.75" x14ac:dyDescent="0.25">
      <c r="A175" s="9">
        <v>42135</v>
      </c>
      <c r="B175" s="10">
        <v>196393.5</v>
      </c>
      <c r="C175" s="10">
        <v>0</v>
      </c>
      <c r="D175" s="10">
        <v>160</v>
      </c>
      <c r="E175" s="11">
        <f t="shared" si="8"/>
        <v>196233.5</v>
      </c>
      <c r="F175" s="15">
        <f>75000+35000+25000+35000+26233.5</f>
        <v>196233.5</v>
      </c>
      <c r="G175" s="25" t="s">
        <v>9</v>
      </c>
      <c r="H175" s="15">
        <f t="shared" si="9"/>
        <v>0</v>
      </c>
      <c r="I175" s="15" t="s">
        <v>113</v>
      </c>
    </row>
    <row r="176" spans="1:10" s="4" customFormat="1" ht="15.75" x14ac:dyDescent="0.25">
      <c r="A176" s="9">
        <v>42136</v>
      </c>
      <c r="B176" s="10">
        <v>137914</v>
      </c>
      <c r="C176" s="10">
        <v>13109</v>
      </c>
      <c r="D176" s="10">
        <v>50100</v>
      </c>
      <c r="E176" s="11">
        <f t="shared" si="8"/>
        <v>74705</v>
      </c>
      <c r="F176" s="15">
        <f>50000+24705</f>
        <v>74705</v>
      </c>
      <c r="G176" s="25" t="s">
        <v>9</v>
      </c>
      <c r="H176" s="15">
        <f t="shared" si="9"/>
        <v>0</v>
      </c>
      <c r="I176" s="15" t="s">
        <v>113</v>
      </c>
      <c r="J176" s="4" t="s">
        <v>243</v>
      </c>
    </row>
    <row r="177" spans="1:10" s="4" customFormat="1" ht="15.75" x14ac:dyDescent="0.25">
      <c r="A177" s="9">
        <v>42137</v>
      </c>
      <c r="B177" s="10">
        <v>81050.14</v>
      </c>
      <c r="C177" s="10">
        <v>2262</v>
      </c>
      <c r="D177" s="10">
        <v>50100</v>
      </c>
      <c r="E177" s="11">
        <f t="shared" si="8"/>
        <v>28688.14</v>
      </c>
      <c r="F177" s="15">
        <v>28688</v>
      </c>
      <c r="G177" s="25" t="s">
        <v>9</v>
      </c>
      <c r="H177" s="15">
        <f t="shared" si="9"/>
        <v>-0.13999999999941792</v>
      </c>
      <c r="I177" s="15" t="s">
        <v>113</v>
      </c>
      <c r="J177" s="4" t="s">
        <v>243</v>
      </c>
    </row>
    <row r="178" spans="1:10" s="4" customFormat="1" ht="15.75" x14ac:dyDescent="0.25">
      <c r="A178" s="9">
        <v>42138</v>
      </c>
      <c r="B178" s="10">
        <v>166279.5</v>
      </c>
      <c r="C178" s="10">
        <v>65</v>
      </c>
      <c r="D178" s="10">
        <v>50100</v>
      </c>
      <c r="E178" s="11">
        <f t="shared" si="8"/>
        <v>116114.5</v>
      </c>
      <c r="F178" s="15">
        <f>20000+25000+45000+26114.5</f>
        <v>116114.5</v>
      </c>
      <c r="G178" s="25" t="s">
        <v>9</v>
      </c>
      <c r="H178" s="15">
        <f t="shared" si="9"/>
        <v>0</v>
      </c>
      <c r="I178" s="15" t="s">
        <v>113</v>
      </c>
      <c r="J178" s="4" t="s">
        <v>243</v>
      </c>
    </row>
    <row r="179" spans="1:10" s="4" customFormat="1" ht="15.75" x14ac:dyDescent="0.25">
      <c r="A179" s="9">
        <v>42139</v>
      </c>
      <c r="B179" s="10">
        <v>134940.5</v>
      </c>
      <c r="C179" s="10">
        <v>9404</v>
      </c>
      <c r="D179" s="10">
        <v>50915</v>
      </c>
      <c r="E179" s="11">
        <f t="shared" si="8"/>
        <v>74621.5</v>
      </c>
      <c r="F179" s="15">
        <f>20000+40000+14621</f>
        <v>74621</v>
      </c>
      <c r="G179" s="25" t="s">
        <v>9</v>
      </c>
      <c r="H179" s="15">
        <f t="shared" si="9"/>
        <v>-0.5</v>
      </c>
      <c r="I179" s="15" t="s">
        <v>113</v>
      </c>
      <c r="J179" s="4" t="s">
        <v>243</v>
      </c>
    </row>
    <row r="180" spans="1:10" s="4" customFormat="1" ht="15.75" x14ac:dyDescent="0.25">
      <c r="A180" s="9">
        <v>42140</v>
      </c>
      <c r="B180" s="10">
        <v>269193.5</v>
      </c>
      <c r="C180" s="10">
        <v>46531</v>
      </c>
      <c r="D180" s="10">
        <v>50000</v>
      </c>
      <c r="E180" s="11">
        <f t="shared" si="8"/>
        <v>172662.5</v>
      </c>
      <c r="F180" s="15">
        <f>30331+20000+60000+40000+22331.5</f>
        <v>172662.5</v>
      </c>
      <c r="G180" s="25" t="s">
        <v>9</v>
      </c>
      <c r="H180" s="15">
        <f t="shared" si="9"/>
        <v>0</v>
      </c>
      <c r="I180" s="15" t="s">
        <v>113</v>
      </c>
      <c r="J180" s="4" t="s">
        <v>243</v>
      </c>
    </row>
    <row r="181" spans="1:10" s="4" customFormat="1" ht="15.75" x14ac:dyDescent="0.25">
      <c r="A181" s="9">
        <v>42141</v>
      </c>
      <c r="B181" s="10">
        <v>55476</v>
      </c>
      <c r="C181" s="10">
        <v>2959</v>
      </c>
      <c r="D181" s="10">
        <v>50100</v>
      </c>
      <c r="E181" s="11">
        <f t="shared" si="8"/>
        <v>2417</v>
      </c>
      <c r="F181" s="15">
        <v>2417</v>
      </c>
      <c r="G181" s="25" t="s">
        <v>9</v>
      </c>
      <c r="H181" s="15">
        <f t="shared" si="9"/>
        <v>0</v>
      </c>
      <c r="I181" s="15" t="s">
        <v>113</v>
      </c>
      <c r="J181" s="4" t="s">
        <v>243</v>
      </c>
    </row>
    <row r="182" spans="1:10" s="4" customFormat="1" ht="15.75" x14ac:dyDescent="0.25">
      <c r="A182" s="9">
        <v>42142</v>
      </c>
      <c r="B182" s="10">
        <v>178244.5</v>
      </c>
      <c r="C182" s="10">
        <v>3268</v>
      </c>
      <c r="D182" s="10">
        <v>50000</v>
      </c>
      <c r="E182" s="11">
        <f t="shared" si="8"/>
        <v>124976.5</v>
      </c>
      <c r="F182" s="15">
        <f>20000+45000+40000+19976.5</f>
        <v>124976.5</v>
      </c>
      <c r="G182" s="25" t="s">
        <v>9</v>
      </c>
      <c r="H182" s="15">
        <f t="shared" si="9"/>
        <v>0</v>
      </c>
      <c r="I182" s="15" t="s">
        <v>113</v>
      </c>
      <c r="J182" s="4" t="s">
        <v>243</v>
      </c>
    </row>
    <row r="183" spans="1:10" s="4" customFormat="1" ht="15.75" x14ac:dyDescent="0.25">
      <c r="A183" s="9">
        <v>42143</v>
      </c>
      <c r="B183" s="10">
        <v>114698</v>
      </c>
      <c r="C183" s="10">
        <v>0</v>
      </c>
      <c r="D183" s="10">
        <v>60000</v>
      </c>
      <c r="E183" s="11">
        <f t="shared" si="8"/>
        <v>54698</v>
      </c>
      <c r="F183" s="15">
        <v>54698</v>
      </c>
      <c r="G183" s="25" t="s">
        <v>9</v>
      </c>
      <c r="H183" s="15">
        <f t="shared" si="9"/>
        <v>0</v>
      </c>
      <c r="I183" s="15" t="s">
        <v>113</v>
      </c>
      <c r="J183" s="4" t="s">
        <v>243</v>
      </c>
    </row>
    <row r="184" spans="1:10" s="4" customFormat="1" ht="15.75" x14ac:dyDescent="0.25">
      <c r="A184" s="9">
        <v>42144</v>
      </c>
      <c r="B184" s="10">
        <v>161251</v>
      </c>
      <c r="C184" s="10">
        <v>2730</v>
      </c>
      <c r="D184" s="10">
        <v>50965</v>
      </c>
      <c r="E184" s="11">
        <f t="shared" si="8"/>
        <v>107556</v>
      </c>
      <c r="F184" s="15">
        <f>20000+25000+41000+21556</f>
        <v>107556</v>
      </c>
      <c r="G184" s="25" t="s">
        <v>9</v>
      </c>
      <c r="H184" s="15">
        <f t="shared" si="9"/>
        <v>0</v>
      </c>
      <c r="I184" s="15" t="s">
        <v>113</v>
      </c>
    </row>
    <row r="185" spans="1:10" s="4" customFormat="1" ht="15.75" x14ac:dyDescent="0.25">
      <c r="A185" s="9">
        <v>42145</v>
      </c>
      <c r="B185" s="10">
        <v>150431</v>
      </c>
      <c r="C185" s="10">
        <v>0</v>
      </c>
      <c r="D185" s="10">
        <v>0</v>
      </c>
      <c r="E185" s="11">
        <f t="shared" si="8"/>
        <v>150431</v>
      </c>
      <c r="F185" s="15">
        <f>35000+62000+25000+20000+8431</f>
        <v>150431</v>
      </c>
      <c r="G185" s="25" t="s">
        <v>9</v>
      </c>
      <c r="H185" s="15">
        <f t="shared" si="9"/>
        <v>0</v>
      </c>
      <c r="I185" s="15" t="s">
        <v>113</v>
      </c>
    </row>
    <row r="186" spans="1:10" s="4" customFormat="1" ht="15.75" x14ac:dyDescent="0.25">
      <c r="A186" s="9">
        <v>42146</v>
      </c>
      <c r="B186" s="10">
        <v>178524.5</v>
      </c>
      <c r="C186" s="10">
        <v>10333</v>
      </c>
      <c r="D186" s="10">
        <v>30</v>
      </c>
      <c r="E186" s="11">
        <f t="shared" si="8"/>
        <v>168161.5</v>
      </c>
      <c r="F186" s="15">
        <f>17000+15000+40000+37000+35000+24161.5</f>
        <v>168161.5</v>
      </c>
      <c r="G186" s="25" t="s">
        <v>9</v>
      </c>
      <c r="H186" s="15">
        <f t="shared" si="9"/>
        <v>0</v>
      </c>
      <c r="I186" s="15" t="s">
        <v>113</v>
      </c>
    </row>
    <row r="187" spans="1:10" s="4" customFormat="1" ht="15.75" x14ac:dyDescent="0.25">
      <c r="A187" s="9">
        <v>42147</v>
      </c>
      <c r="B187" s="10">
        <v>152062</v>
      </c>
      <c r="C187" s="10">
        <v>361</v>
      </c>
      <c r="D187" s="10">
        <v>0</v>
      </c>
      <c r="E187" s="11">
        <f t="shared" si="8"/>
        <v>151701</v>
      </c>
      <c r="F187" s="15">
        <f>47000+30000+27000+40000+7701</f>
        <v>151701</v>
      </c>
      <c r="G187" s="25" t="s">
        <v>9</v>
      </c>
      <c r="H187" s="15">
        <f t="shared" si="9"/>
        <v>0</v>
      </c>
      <c r="I187" s="15" t="s">
        <v>113</v>
      </c>
    </row>
    <row r="188" spans="1:10" s="4" customFormat="1" ht="15.75" x14ac:dyDescent="0.25">
      <c r="A188" s="9">
        <v>42148</v>
      </c>
      <c r="B188" s="10">
        <v>69379</v>
      </c>
      <c r="C188" s="10">
        <v>1404.5</v>
      </c>
      <c r="D188" s="10">
        <v>0</v>
      </c>
      <c r="E188" s="11">
        <f t="shared" si="8"/>
        <v>67974.5</v>
      </c>
      <c r="F188" s="15">
        <f>24474.5+43500</f>
        <v>67974.5</v>
      </c>
      <c r="G188" s="25" t="s">
        <v>9</v>
      </c>
      <c r="H188" s="15">
        <f t="shared" si="9"/>
        <v>0</v>
      </c>
      <c r="I188" s="15" t="s">
        <v>113</v>
      </c>
    </row>
    <row r="189" spans="1:10" s="4" customFormat="1" ht="15.75" x14ac:dyDescent="0.25">
      <c r="A189" s="9">
        <v>42149</v>
      </c>
      <c r="B189" s="10">
        <v>196146</v>
      </c>
      <c r="C189" s="10">
        <v>0</v>
      </c>
      <c r="D189" s="10">
        <v>120</v>
      </c>
      <c r="E189" s="11">
        <f t="shared" si="8"/>
        <v>196026</v>
      </c>
      <c r="F189" s="15">
        <f>26026+60000+30000+80000</f>
        <v>196026</v>
      </c>
      <c r="G189" s="25" t="s">
        <v>9</v>
      </c>
      <c r="H189" s="15">
        <f t="shared" si="9"/>
        <v>0</v>
      </c>
      <c r="I189" s="15" t="s">
        <v>113</v>
      </c>
    </row>
    <row r="190" spans="1:10" s="4" customFormat="1" ht="15.75" x14ac:dyDescent="0.25">
      <c r="A190" s="9">
        <v>42150</v>
      </c>
      <c r="B190" s="10">
        <v>313416</v>
      </c>
      <c r="C190" s="10">
        <v>1007</v>
      </c>
      <c r="D190" s="10">
        <v>0</v>
      </c>
      <c r="E190" s="11">
        <f t="shared" si="8"/>
        <v>312409</v>
      </c>
      <c r="F190" s="15">
        <f>26000+70000+30000+45000+52000+56000+33409</f>
        <v>312409</v>
      </c>
      <c r="G190" s="25" t="s">
        <v>9</v>
      </c>
      <c r="H190" s="15">
        <f t="shared" si="9"/>
        <v>0</v>
      </c>
      <c r="I190" s="15" t="s">
        <v>113</v>
      </c>
    </row>
    <row r="191" spans="1:10" s="4" customFormat="1" ht="15.75" x14ac:dyDescent="0.25">
      <c r="A191" s="9">
        <v>42151</v>
      </c>
      <c r="B191" s="10">
        <v>135919</v>
      </c>
      <c r="C191" s="10">
        <v>3541</v>
      </c>
      <c r="D191" s="10">
        <v>50</v>
      </c>
      <c r="E191" s="11">
        <f t="shared" si="8"/>
        <v>132328</v>
      </c>
      <c r="F191" s="15">
        <f>24328+32000+40000+36000</f>
        <v>132328</v>
      </c>
      <c r="G191" s="25" t="s">
        <v>9</v>
      </c>
      <c r="H191" s="15">
        <f t="shared" si="9"/>
        <v>0</v>
      </c>
      <c r="I191" s="15" t="s">
        <v>113</v>
      </c>
    </row>
    <row r="192" spans="1:10" s="4" customFormat="1" ht="15.75" x14ac:dyDescent="0.25">
      <c r="A192" s="9">
        <v>42152</v>
      </c>
      <c r="B192" s="10">
        <v>149864</v>
      </c>
      <c r="C192" s="10">
        <v>0</v>
      </c>
      <c r="D192" s="10">
        <v>27</v>
      </c>
      <c r="E192" s="11">
        <f t="shared" si="8"/>
        <v>149837</v>
      </c>
      <c r="F192" s="15">
        <f>29837+20000+30000+42000+28000</f>
        <v>149837</v>
      </c>
      <c r="G192" s="25" t="s">
        <v>9</v>
      </c>
      <c r="H192" s="15">
        <f t="shared" si="9"/>
        <v>0</v>
      </c>
      <c r="I192" s="15" t="s">
        <v>113</v>
      </c>
    </row>
    <row r="193" spans="1:9" s="4" customFormat="1" ht="15.75" x14ac:dyDescent="0.25">
      <c r="A193" s="9">
        <v>42153</v>
      </c>
      <c r="B193" s="10">
        <v>167435.5</v>
      </c>
      <c r="C193" s="10">
        <v>0</v>
      </c>
      <c r="D193" s="10">
        <v>0</v>
      </c>
      <c r="E193" s="11">
        <f t="shared" si="8"/>
        <v>167435.5</v>
      </c>
      <c r="F193" s="15">
        <f>28435+40000+69000+30000</f>
        <v>167435</v>
      </c>
      <c r="G193" s="25" t="s">
        <v>9</v>
      </c>
      <c r="H193" s="15">
        <f t="shared" si="9"/>
        <v>-0.5</v>
      </c>
      <c r="I193" s="15" t="s">
        <v>113</v>
      </c>
    </row>
    <row r="194" spans="1:9" s="4" customFormat="1" ht="15.75" x14ac:dyDescent="0.25">
      <c r="A194" s="9">
        <v>42154</v>
      </c>
      <c r="B194" s="10">
        <v>126113</v>
      </c>
      <c r="C194" s="10">
        <v>9024.1200000000008</v>
      </c>
      <c r="D194" s="10">
        <v>0</v>
      </c>
      <c r="E194" s="11">
        <f t="shared" si="8"/>
        <v>117088.88</v>
      </c>
      <c r="F194" s="15">
        <f>20000+27000+35000+35089</f>
        <v>117089</v>
      </c>
      <c r="G194" s="25" t="s">
        <v>9</v>
      </c>
      <c r="H194" s="15">
        <f t="shared" si="9"/>
        <v>0.11999999999534339</v>
      </c>
      <c r="I194" s="15" t="s">
        <v>113</v>
      </c>
    </row>
    <row r="195" spans="1:9" s="4" customFormat="1" ht="15.75" x14ac:dyDescent="0.25">
      <c r="A195" s="9">
        <v>42155</v>
      </c>
      <c r="B195" s="10">
        <v>136703</v>
      </c>
      <c r="C195" s="10">
        <v>4679</v>
      </c>
      <c r="D195" s="10">
        <v>0</v>
      </c>
      <c r="E195" s="11">
        <f t="shared" si="8"/>
        <v>132024</v>
      </c>
      <c r="F195" s="15">
        <f>17024+20000+27000+30000+38000</f>
        <v>132024</v>
      </c>
      <c r="G195" s="25" t="s">
        <v>9</v>
      </c>
      <c r="H195" s="15">
        <f t="shared" si="9"/>
        <v>0</v>
      </c>
      <c r="I195" s="15" t="s">
        <v>113</v>
      </c>
    </row>
    <row r="196" spans="1:9" s="4" customFormat="1" ht="15.75" x14ac:dyDescent="0.25">
      <c r="A196" s="9"/>
      <c r="B196" s="10"/>
      <c r="C196" s="10"/>
      <c r="D196" s="10"/>
      <c r="E196" s="11">
        <f t="shared" si="8"/>
        <v>0</v>
      </c>
      <c r="F196" s="15"/>
      <c r="G196" s="25"/>
      <c r="H196" s="15">
        <f t="shared" si="9"/>
        <v>0</v>
      </c>
      <c r="I196" s="15"/>
    </row>
    <row r="197" spans="1:9" s="4" customFormat="1" ht="15.75" x14ac:dyDescent="0.25">
      <c r="A197" s="14"/>
      <c r="B197" s="10"/>
      <c r="C197" s="10"/>
      <c r="D197" s="10"/>
      <c r="E197" s="11">
        <f t="shared" si="8"/>
        <v>0</v>
      </c>
      <c r="F197" s="15"/>
      <c r="I197" s="15"/>
    </row>
    <row r="198" spans="1:9" s="4" customFormat="1" ht="15.75" x14ac:dyDescent="0.25">
      <c r="A198" s="14"/>
      <c r="B198" s="13"/>
      <c r="C198" s="10"/>
      <c r="D198" s="10"/>
      <c r="E198" s="11">
        <f t="shared" si="8"/>
        <v>0</v>
      </c>
      <c r="F198" s="15"/>
      <c r="G198" s="189" t="s">
        <v>9</v>
      </c>
      <c r="I198" s="15"/>
    </row>
    <row r="199" spans="1:9" s="4" customFormat="1" ht="15.75" x14ac:dyDescent="0.25">
      <c r="A199" s="14"/>
      <c r="B199" s="10"/>
      <c r="C199" s="10"/>
      <c r="D199" s="10"/>
      <c r="E199" s="11">
        <f t="shared" si="8"/>
        <v>0</v>
      </c>
      <c r="F199" s="15"/>
      <c r="I199" s="15"/>
    </row>
    <row r="200" spans="1:9" s="4" customFormat="1" ht="15.75" x14ac:dyDescent="0.25">
      <c r="A200" s="14"/>
      <c r="B200" s="10">
        <f>SUM(B165:B199)</f>
        <v>4520267</v>
      </c>
      <c r="C200" s="10"/>
      <c r="D200" s="10">
        <f>SUM(D165:D199)</f>
        <v>470988.29000000004</v>
      </c>
      <c r="E200" s="11">
        <f t="shared" si="8"/>
        <v>4049278.71</v>
      </c>
      <c r="F200" s="15"/>
      <c r="I200" s="15"/>
    </row>
    <row r="202" spans="1:9" ht="18.75" x14ac:dyDescent="0.3">
      <c r="B202" s="275" t="s">
        <v>221</v>
      </c>
      <c r="C202" s="275"/>
      <c r="D202" s="275"/>
      <c r="E202" s="275"/>
      <c r="F202" s="275"/>
    </row>
    <row r="204" spans="1:9" ht="16.5" thickBot="1" x14ac:dyDescent="0.3">
      <c r="A204" s="19" t="s">
        <v>0</v>
      </c>
      <c r="B204" s="20" t="s">
        <v>1</v>
      </c>
      <c r="C204" s="8" t="s">
        <v>3</v>
      </c>
      <c r="D204" s="21" t="s">
        <v>2</v>
      </c>
      <c r="E204" s="22" t="s">
        <v>4</v>
      </c>
      <c r="F204" s="27" t="s">
        <v>8</v>
      </c>
      <c r="G204" s="4"/>
      <c r="H204" s="4"/>
    </row>
    <row r="205" spans="1:9" ht="16.5" thickTop="1" x14ac:dyDescent="0.25">
      <c r="A205" s="9">
        <v>42156</v>
      </c>
      <c r="B205" s="10">
        <v>202103.5</v>
      </c>
      <c r="C205" s="10">
        <v>873.5</v>
      </c>
      <c r="D205" s="10">
        <v>0</v>
      </c>
      <c r="E205" s="11">
        <f>B205-C205-D205</f>
        <v>201230</v>
      </c>
      <c r="F205" s="15">
        <f>60000+20000+27000+20000+54000+20230</f>
        <v>201230</v>
      </c>
      <c r="G205" s="25" t="s">
        <v>9</v>
      </c>
      <c r="H205" s="15">
        <f>F205-E205</f>
        <v>0</v>
      </c>
      <c r="I205" t="s">
        <v>113</v>
      </c>
    </row>
    <row r="206" spans="1:9" ht="15.75" x14ac:dyDescent="0.25">
      <c r="A206" s="9">
        <v>42157</v>
      </c>
      <c r="B206" s="10">
        <v>132741</v>
      </c>
      <c r="C206" s="10">
        <v>8817.6</v>
      </c>
      <c r="D206" s="10">
        <v>0</v>
      </c>
      <c r="E206" s="11">
        <f t="shared" ref="E206:E240" si="10">B206-C206-D206</f>
        <v>123923.4</v>
      </c>
      <c r="F206" s="15">
        <f>38000+62500+23423</f>
        <v>123923</v>
      </c>
      <c r="G206" s="25" t="s">
        <v>9</v>
      </c>
      <c r="H206" s="15">
        <f t="shared" ref="H206:H236" si="11">F206-E206</f>
        <v>-0.39999999999417923</v>
      </c>
      <c r="I206" t="s">
        <v>113</v>
      </c>
    </row>
    <row r="207" spans="1:9" ht="15.75" x14ac:dyDescent="0.25">
      <c r="A207" s="9">
        <v>42158</v>
      </c>
      <c r="B207" s="10">
        <v>89504</v>
      </c>
      <c r="C207" s="10">
        <v>15124</v>
      </c>
      <c r="D207" s="10">
        <v>0</v>
      </c>
      <c r="E207" s="11">
        <f t="shared" si="10"/>
        <v>74380</v>
      </c>
      <c r="F207" s="15">
        <f>20380+40000+14000</f>
        <v>74380</v>
      </c>
      <c r="G207" s="25" t="s">
        <v>9</v>
      </c>
      <c r="H207" s="15">
        <f t="shared" si="11"/>
        <v>0</v>
      </c>
      <c r="I207" t="s">
        <v>113</v>
      </c>
    </row>
    <row r="208" spans="1:9" ht="15.75" x14ac:dyDescent="0.25">
      <c r="A208" s="9">
        <v>42159</v>
      </c>
      <c r="B208" s="10">
        <v>150620.5</v>
      </c>
      <c r="C208" s="10">
        <v>2440</v>
      </c>
      <c r="D208" s="10">
        <v>70</v>
      </c>
      <c r="E208" s="11">
        <f t="shared" si="10"/>
        <v>148110.5</v>
      </c>
      <c r="F208" s="15">
        <f>30000+54500+44000+19610.5</f>
        <v>148110.5</v>
      </c>
      <c r="G208" s="25" t="s">
        <v>9</v>
      </c>
      <c r="H208" s="15">
        <f t="shared" si="11"/>
        <v>0</v>
      </c>
      <c r="I208" t="s">
        <v>113</v>
      </c>
    </row>
    <row r="209" spans="1:10" ht="15.75" x14ac:dyDescent="0.25">
      <c r="A209" s="9">
        <v>42160</v>
      </c>
      <c r="B209" s="10">
        <v>233309.5</v>
      </c>
      <c r="C209" s="10">
        <v>0</v>
      </c>
      <c r="D209" s="10">
        <v>50000</v>
      </c>
      <c r="E209" s="11">
        <f t="shared" si="10"/>
        <v>183309.5</v>
      </c>
      <c r="F209" s="15">
        <f>28000+45000+15000+25000+50000+20309.5</f>
        <v>183309.5</v>
      </c>
      <c r="G209" s="25" t="s">
        <v>9</v>
      </c>
      <c r="H209" s="15">
        <f t="shared" si="11"/>
        <v>0</v>
      </c>
      <c r="I209" t="s">
        <v>113</v>
      </c>
      <c r="J209" t="s">
        <v>277</v>
      </c>
    </row>
    <row r="210" spans="1:10" ht="15.75" x14ac:dyDescent="0.25">
      <c r="A210" s="9">
        <v>42161</v>
      </c>
      <c r="B210" s="10">
        <v>193635.5</v>
      </c>
      <c r="C210" s="10">
        <v>2769</v>
      </c>
      <c r="D210" s="10">
        <v>0</v>
      </c>
      <c r="E210" s="11">
        <f t="shared" si="10"/>
        <v>190866.5</v>
      </c>
      <c r="F210" s="15">
        <f>28000+40000+40000+54000+28866.5</f>
        <v>190866.5</v>
      </c>
      <c r="G210" s="25" t="s">
        <v>9</v>
      </c>
      <c r="H210" s="15">
        <f t="shared" si="11"/>
        <v>0</v>
      </c>
      <c r="I210" t="s">
        <v>113</v>
      </c>
      <c r="J210" s="4"/>
    </row>
    <row r="211" spans="1:10" ht="15.75" x14ac:dyDescent="0.25">
      <c r="A211" s="9">
        <v>42162</v>
      </c>
      <c r="B211" s="10">
        <v>65936.5</v>
      </c>
      <c r="C211" s="10">
        <v>7819</v>
      </c>
      <c r="D211" s="10">
        <v>100</v>
      </c>
      <c r="E211" s="11">
        <f t="shared" si="10"/>
        <v>58017.5</v>
      </c>
      <c r="F211" s="15">
        <f>20000+15000+23017.5</f>
        <v>58017.5</v>
      </c>
      <c r="G211" s="25" t="s">
        <v>9</v>
      </c>
      <c r="H211" s="15">
        <f t="shared" si="11"/>
        <v>0</v>
      </c>
      <c r="I211" t="s">
        <v>113</v>
      </c>
    </row>
    <row r="212" spans="1:10" ht="15.75" x14ac:dyDescent="0.25">
      <c r="A212" s="9">
        <v>42163</v>
      </c>
      <c r="B212" s="10">
        <v>202079.5</v>
      </c>
      <c r="C212" s="10">
        <v>59024</v>
      </c>
      <c r="D212" s="10">
        <v>0</v>
      </c>
      <c r="E212" s="11">
        <f t="shared" si="10"/>
        <v>143055.5</v>
      </c>
      <c r="F212" s="15">
        <f>40000+40000+40000+23055.5</f>
        <v>143055.5</v>
      </c>
      <c r="G212" s="25" t="s">
        <v>9</v>
      </c>
      <c r="H212" s="15">
        <f t="shared" si="11"/>
        <v>0</v>
      </c>
      <c r="I212" t="s">
        <v>113</v>
      </c>
    </row>
    <row r="213" spans="1:10" ht="15.75" x14ac:dyDescent="0.25">
      <c r="A213" s="9">
        <v>42164</v>
      </c>
      <c r="B213" s="10">
        <v>150337.5</v>
      </c>
      <c r="C213" s="10">
        <v>3204</v>
      </c>
      <c r="D213" s="10">
        <v>0</v>
      </c>
      <c r="E213" s="11">
        <f t="shared" si="10"/>
        <v>147133.5</v>
      </c>
      <c r="F213" s="15">
        <f>80000+50000+17133.5</f>
        <v>147133.5</v>
      </c>
      <c r="G213" s="25" t="s">
        <v>9</v>
      </c>
      <c r="H213" s="15">
        <f t="shared" si="11"/>
        <v>0</v>
      </c>
      <c r="I213" t="s">
        <v>113</v>
      </c>
    </row>
    <row r="214" spans="1:10" ht="15.75" x14ac:dyDescent="0.25">
      <c r="A214" s="9">
        <v>42165</v>
      </c>
      <c r="B214" s="10">
        <v>111553.5</v>
      </c>
      <c r="C214" s="10">
        <v>8517.2000000000007</v>
      </c>
      <c r="D214" s="10">
        <v>800</v>
      </c>
      <c r="E214" s="11">
        <f t="shared" si="10"/>
        <v>102236.3</v>
      </c>
      <c r="F214" s="15">
        <f>45000+55000+2236.5</f>
        <v>102236.5</v>
      </c>
      <c r="G214" s="25" t="s">
        <v>9</v>
      </c>
      <c r="H214" s="15">
        <f t="shared" si="11"/>
        <v>0.19999999999708962</v>
      </c>
      <c r="I214" t="s">
        <v>113</v>
      </c>
    </row>
    <row r="215" spans="1:10" ht="15.75" x14ac:dyDescent="0.25">
      <c r="A215" s="9">
        <v>42166</v>
      </c>
      <c r="B215" s="10">
        <v>157316.5</v>
      </c>
      <c r="C215" s="10">
        <v>13378.4</v>
      </c>
      <c r="D215" s="10">
        <v>60</v>
      </c>
      <c r="E215" s="11">
        <f t="shared" si="10"/>
        <v>143878.1</v>
      </c>
      <c r="F215" s="15">
        <f>60000+20000+20000+40576.5+3301.5</f>
        <v>143878</v>
      </c>
      <c r="G215" s="25" t="s">
        <v>9</v>
      </c>
      <c r="H215" s="15">
        <f t="shared" si="11"/>
        <v>-0.10000000000582077</v>
      </c>
      <c r="I215" t="s">
        <v>113</v>
      </c>
    </row>
    <row r="216" spans="1:10" ht="15.75" x14ac:dyDescent="0.25">
      <c r="A216" s="9">
        <v>42167</v>
      </c>
      <c r="B216" s="10">
        <v>218521</v>
      </c>
      <c r="C216" s="10">
        <v>0</v>
      </c>
      <c r="D216" s="10">
        <v>10000</v>
      </c>
      <c r="E216" s="11">
        <f t="shared" si="10"/>
        <v>208521</v>
      </c>
      <c r="F216" s="15">
        <f>34000+20000+30000+65000+34000+25520.5</f>
        <v>208520.5</v>
      </c>
      <c r="G216" s="25" t="s">
        <v>9</v>
      </c>
      <c r="H216" s="15">
        <f t="shared" si="11"/>
        <v>-0.5</v>
      </c>
      <c r="I216" t="s">
        <v>113</v>
      </c>
    </row>
    <row r="217" spans="1:10" ht="15.75" x14ac:dyDescent="0.25">
      <c r="A217" s="9">
        <v>42168</v>
      </c>
      <c r="B217" s="10">
        <v>179962.5</v>
      </c>
      <c r="C217" s="10">
        <v>48565</v>
      </c>
      <c r="D217" s="10">
        <v>0</v>
      </c>
      <c r="E217" s="11">
        <f t="shared" si="10"/>
        <v>131397.5</v>
      </c>
      <c r="F217" s="15">
        <f>30000+35000+40000+26397.5</f>
        <v>131397.5</v>
      </c>
      <c r="G217" s="25" t="s">
        <v>9</v>
      </c>
      <c r="H217" s="15">
        <f t="shared" si="11"/>
        <v>0</v>
      </c>
      <c r="I217" t="s">
        <v>113</v>
      </c>
    </row>
    <row r="218" spans="1:10" ht="15.75" x14ac:dyDescent="0.25">
      <c r="A218" s="9">
        <v>42169</v>
      </c>
      <c r="B218" s="10">
        <v>141642.5</v>
      </c>
      <c r="C218" s="10">
        <v>667.6</v>
      </c>
      <c r="D218" s="10">
        <v>0</v>
      </c>
      <c r="E218" s="11">
        <f t="shared" si="10"/>
        <v>140974.9</v>
      </c>
      <c r="F218" s="15">
        <f>60000+40000+28000+12974.5</f>
        <v>140974.5</v>
      </c>
      <c r="G218" s="25" t="s">
        <v>9</v>
      </c>
      <c r="H218" s="15">
        <f t="shared" si="11"/>
        <v>-0.39999999999417923</v>
      </c>
      <c r="I218" t="s">
        <v>113</v>
      </c>
    </row>
    <row r="219" spans="1:10" ht="15.75" x14ac:dyDescent="0.25">
      <c r="A219" s="9">
        <v>42170</v>
      </c>
      <c r="B219" s="10">
        <v>216523</v>
      </c>
      <c r="C219" s="10">
        <v>2558</v>
      </c>
      <c r="D219" s="10">
        <v>0</v>
      </c>
      <c r="E219" s="11">
        <f t="shared" si="10"/>
        <v>213965</v>
      </c>
      <c r="F219" s="15">
        <f>55000+55000+50000+23729+50+30186</f>
        <v>213965</v>
      </c>
      <c r="G219" s="25" t="s">
        <v>9</v>
      </c>
      <c r="H219" s="15">
        <f t="shared" si="11"/>
        <v>0</v>
      </c>
      <c r="I219" t="s">
        <v>113</v>
      </c>
      <c r="J219" s="4"/>
    </row>
    <row r="220" spans="1:10" ht="15.75" x14ac:dyDescent="0.25">
      <c r="A220" s="9">
        <v>42171</v>
      </c>
      <c r="B220" s="10">
        <v>143271.5</v>
      </c>
      <c r="C220" s="10">
        <v>6626</v>
      </c>
      <c r="D220" s="10">
        <v>0</v>
      </c>
      <c r="E220" s="11">
        <f t="shared" si="10"/>
        <v>136645.5</v>
      </c>
      <c r="F220" s="15">
        <f>51000+18645.5+67000</f>
        <v>136645.5</v>
      </c>
      <c r="G220" s="25" t="s">
        <v>9</v>
      </c>
      <c r="H220" s="15">
        <f t="shared" si="11"/>
        <v>0</v>
      </c>
      <c r="I220" t="s">
        <v>113</v>
      </c>
      <c r="J220" s="4"/>
    </row>
    <row r="221" spans="1:10" ht="15.75" x14ac:dyDescent="0.25">
      <c r="A221" s="9">
        <v>42172</v>
      </c>
      <c r="B221" s="10">
        <v>92265</v>
      </c>
      <c r="C221" s="10">
        <v>0</v>
      </c>
      <c r="D221" s="10">
        <v>127</v>
      </c>
      <c r="E221" s="11">
        <f t="shared" si="10"/>
        <v>92138</v>
      </c>
      <c r="F221" s="15">
        <f>15138+17000+20000+40000</f>
        <v>92138</v>
      </c>
      <c r="G221" s="25" t="s">
        <v>9</v>
      </c>
      <c r="H221" s="15">
        <f t="shared" si="11"/>
        <v>0</v>
      </c>
      <c r="I221" t="s">
        <v>113</v>
      </c>
      <c r="J221" s="4"/>
    </row>
    <row r="222" spans="1:10" ht="15.75" x14ac:dyDescent="0.25">
      <c r="A222" s="9">
        <v>42173</v>
      </c>
      <c r="B222" s="10">
        <v>110973.5</v>
      </c>
      <c r="C222" s="10">
        <v>24533</v>
      </c>
      <c r="D222" s="10">
        <v>0</v>
      </c>
      <c r="E222" s="11">
        <f t="shared" si="10"/>
        <v>86440.5</v>
      </c>
      <c r="F222" s="15">
        <f>21440.5+40000+25000</f>
        <v>86440.5</v>
      </c>
      <c r="G222" s="25" t="s">
        <v>9</v>
      </c>
      <c r="H222" s="15">
        <f t="shared" si="11"/>
        <v>0</v>
      </c>
      <c r="I222" t="s">
        <v>113</v>
      </c>
    </row>
    <row r="223" spans="1:10" ht="15.75" x14ac:dyDescent="0.25">
      <c r="A223" s="9">
        <v>42174</v>
      </c>
      <c r="B223" s="10">
        <v>165978</v>
      </c>
      <c r="C223" s="10">
        <v>323</v>
      </c>
      <c r="D223" s="10">
        <v>0</v>
      </c>
      <c r="E223" s="11">
        <f t="shared" si="10"/>
        <v>165655</v>
      </c>
      <c r="F223" s="15">
        <f>10655+20000+30000+35000+70000</f>
        <v>165655</v>
      </c>
      <c r="G223" s="25" t="s">
        <v>9</v>
      </c>
      <c r="H223" s="15">
        <f t="shared" si="11"/>
        <v>0</v>
      </c>
      <c r="I223" t="s">
        <v>113</v>
      </c>
    </row>
    <row r="224" spans="1:10" ht="15.75" x14ac:dyDescent="0.25">
      <c r="A224" s="9">
        <v>42175</v>
      </c>
      <c r="B224" s="10">
        <v>152635</v>
      </c>
      <c r="C224" s="10">
        <v>11057</v>
      </c>
      <c r="D224" s="10">
        <v>0</v>
      </c>
      <c r="E224" s="11">
        <f t="shared" si="10"/>
        <v>141578</v>
      </c>
      <c r="F224" s="15">
        <f>60000+27000+20578+34000</f>
        <v>141578</v>
      </c>
      <c r="G224" s="25" t="s">
        <v>9</v>
      </c>
      <c r="H224" s="15">
        <f t="shared" si="11"/>
        <v>0</v>
      </c>
      <c r="I224" t="s">
        <v>113</v>
      </c>
    </row>
    <row r="225" spans="1:17" ht="15.75" x14ac:dyDescent="0.25">
      <c r="A225" s="9">
        <v>42176</v>
      </c>
      <c r="B225" s="10">
        <v>66483.5</v>
      </c>
      <c r="C225" s="10">
        <v>497</v>
      </c>
      <c r="D225" s="10">
        <v>0</v>
      </c>
      <c r="E225" s="11">
        <f t="shared" si="10"/>
        <v>65986.5</v>
      </c>
      <c r="F225" s="15">
        <f>19050.5+40000</f>
        <v>59050.5</v>
      </c>
      <c r="G225" s="25" t="s">
        <v>9</v>
      </c>
      <c r="H225" s="15">
        <f t="shared" si="11"/>
        <v>-6936</v>
      </c>
      <c r="I225" t="s">
        <v>113</v>
      </c>
      <c r="J225" s="60" t="s">
        <v>336</v>
      </c>
      <c r="K225" s="60"/>
      <c r="L225" s="60"/>
      <c r="M225" s="60"/>
      <c r="N225" s="60"/>
    </row>
    <row r="226" spans="1:17" ht="15.75" x14ac:dyDescent="0.25">
      <c r="A226" s="9">
        <v>42177</v>
      </c>
      <c r="B226" s="10">
        <v>220493</v>
      </c>
      <c r="C226" s="10">
        <v>11463</v>
      </c>
      <c r="D226" s="10">
        <v>110</v>
      </c>
      <c r="E226" s="11">
        <f t="shared" si="10"/>
        <v>208920</v>
      </c>
      <c r="F226" s="15">
        <f>38500+17420</f>
        <v>55920</v>
      </c>
      <c r="G226" s="25" t="s">
        <v>9</v>
      </c>
      <c r="H226" s="55">
        <f t="shared" si="11"/>
        <v>-153000</v>
      </c>
      <c r="I226" s="46"/>
      <c r="J226" s="46" t="s">
        <v>575</v>
      </c>
      <c r="K226" s="46"/>
      <c r="L226" s="46"/>
      <c r="M226" s="46"/>
      <c r="N226" s="46"/>
    </row>
    <row r="227" spans="1:17" ht="15.75" x14ac:dyDescent="0.25">
      <c r="A227" s="9">
        <v>42178</v>
      </c>
      <c r="B227" s="10">
        <v>93973</v>
      </c>
      <c r="C227" s="10">
        <v>48093</v>
      </c>
      <c r="D227" s="10">
        <v>2100</v>
      </c>
      <c r="E227" s="11">
        <f t="shared" si="10"/>
        <v>43780</v>
      </c>
      <c r="F227" s="15">
        <f>16980</f>
        <v>16980</v>
      </c>
      <c r="G227" s="25" t="s">
        <v>9</v>
      </c>
      <c r="H227" s="55">
        <f t="shared" si="11"/>
        <v>-26800</v>
      </c>
      <c r="I227" s="46"/>
      <c r="J227" s="46" t="s">
        <v>576</v>
      </c>
      <c r="K227" s="46"/>
      <c r="L227" s="46"/>
      <c r="M227" s="46"/>
    </row>
    <row r="228" spans="1:17" ht="15.75" x14ac:dyDescent="0.25">
      <c r="A228" s="9">
        <v>42179</v>
      </c>
      <c r="B228" s="10">
        <v>122093</v>
      </c>
      <c r="C228" s="10">
        <v>0</v>
      </c>
      <c r="D228" s="10">
        <v>0</v>
      </c>
      <c r="E228" s="11">
        <f t="shared" si="10"/>
        <v>122093</v>
      </c>
      <c r="F228" s="15">
        <f>40000+25000+47500+9593</f>
        <v>122093</v>
      </c>
      <c r="G228" s="25" t="s">
        <v>9</v>
      </c>
      <c r="H228" s="15">
        <f t="shared" si="11"/>
        <v>0</v>
      </c>
      <c r="I228" t="s">
        <v>113</v>
      </c>
      <c r="J228" s="4"/>
    </row>
    <row r="229" spans="1:17" ht="15.75" x14ac:dyDescent="0.25">
      <c r="A229" s="9">
        <v>42180</v>
      </c>
      <c r="B229" s="10">
        <v>78676</v>
      </c>
      <c r="C229" s="10">
        <v>12315</v>
      </c>
      <c r="D229" s="10">
        <v>0</v>
      </c>
      <c r="E229" s="11">
        <f t="shared" si="10"/>
        <v>66361</v>
      </c>
      <c r="F229" s="15"/>
      <c r="G229" s="25" t="s">
        <v>9</v>
      </c>
      <c r="H229" s="55">
        <f t="shared" si="11"/>
        <v>-66361</v>
      </c>
      <c r="I229" s="46"/>
      <c r="J229" s="46" t="s">
        <v>577</v>
      </c>
      <c r="K229" s="46"/>
      <c r="L229" s="46"/>
      <c r="M229" s="46"/>
      <c r="N229" s="46"/>
    </row>
    <row r="230" spans="1:17" ht="15.75" x14ac:dyDescent="0.25">
      <c r="A230" s="9">
        <v>42181</v>
      </c>
      <c r="B230" s="10">
        <v>157522</v>
      </c>
      <c r="C230" s="10">
        <v>8909</v>
      </c>
      <c r="D230" s="10">
        <v>60</v>
      </c>
      <c r="E230" s="11">
        <f t="shared" si="10"/>
        <v>148553</v>
      </c>
      <c r="F230" s="15"/>
      <c r="G230" s="25" t="s">
        <v>9</v>
      </c>
      <c r="H230" s="55">
        <f t="shared" si="11"/>
        <v>-148553</v>
      </c>
      <c r="I230" s="46"/>
      <c r="J230" s="46" t="s">
        <v>578</v>
      </c>
      <c r="K230" s="46"/>
      <c r="L230" s="46"/>
      <c r="M230" s="46"/>
      <c r="N230" s="46"/>
    </row>
    <row r="231" spans="1:17" ht="15.75" x14ac:dyDescent="0.25">
      <c r="A231" s="9">
        <v>42182</v>
      </c>
      <c r="B231" s="10">
        <v>181722</v>
      </c>
      <c r="C231" s="10">
        <v>2959</v>
      </c>
      <c r="D231" s="10">
        <v>0</v>
      </c>
      <c r="E231" s="11">
        <f t="shared" si="10"/>
        <v>178763</v>
      </c>
      <c r="F231" s="15">
        <f>38544+7155</f>
        <v>45699</v>
      </c>
      <c r="G231" s="25" t="s">
        <v>9</v>
      </c>
      <c r="H231" s="55">
        <f t="shared" si="11"/>
        <v>-133064</v>
      </c>
      <c r="I231" s="46"/>
      <c r="J231" s="46" t="s">
        <v>579</v>
      </c>
      <c r="K231" s="46"/>
      <c r="L231" s="46"/>
      <c r="M231" s="46"/>
      <c r="N231" s="60"/>
      <c r="O231" s="60"/>
      <c r="P231" s="60"/>
      <c r="Q231" s="60"/>
    </row>
    <row r="232" spans="1:17" ht="15.75" x14ac:dyDescent="0.25">
      <c r="A232" s="9">
        <v>42183</v>
      </c>
      <c r="B232" s="10">
        <v>56632.5</v>
      </c>
      <c r="C232" s="10">
        <v>18787</v>
      </c>
      <c r="D232" s="10">
        <v>100</v>
      </c>
      <c r="E232" s="11">
        <f t="shared" si="10"/>
        <v>37745.5</v>
      </c>
      <c r="F232" s="15">
        <f>35000+2745</f>
        <v>37745</v>
      </c>
      <c r="G232" s="25" t="s">
        <v>9</v>
      </c>
      <c r="H232" s="15">
        <f t="shared" si="11"/>
        <v>-0.5</v>
      </c>
      <c r="I232" t="s">
        <v>113</v>
      </c>
    </row>
    <row r="233" spans="1:17" ht="15.75" x14ac:dyDescent="0.25">
      <c r="A233" s="9">
        <v>42184</v>
      </c>
      <c r="B233" s="10">
        <v>117188.5</v>
      </c>
      <c r="C233" s="10">
        <v>11406</v>
      </c>
      <c r="D233" s="10">
        <v>0</v>
      </c>
      <c r="E233" s="11">
        <f t="shared" si="10"/>
        <v>105782.5</v>
      </c>
      <c r="F233" s="15">
        <f>38000+43000+24782.5</f>
        <v>105782.5</v>
      </c>
      <c r="G233" s="25" t="s">
        <v>9</v>
      </c>
      <c r="H233" s="15">
        <f t="shared" si="11"/>
        <v>0</v>
      </c>
      <c r="I233" t="s">
        <v>113</v>
      </c>
    </row>
    <row r="234" spans="1:17" ht="15.75" x14ac:dyDescent="0.25">
      <c r="A234" s="9">
        <v>42185</v>
      </c>
      <c r="B234" s="10">
        <v>81899.5</v>
      </c>
      <c r="C234" s="10">
        <v>0</v>
      </c>
      <c r="D234" s="10">
        <v>0</v>
      </c>
      <c r="E234" s="11">
        <f t="shared" si="10"/>
        <v>81899.5</v>
      </c>
      <c r="F234" s="15">
        <f>20000+45000+16900</f>
        <v>81900</v>
      </c>
      <c r="G234" s="25" t="s">
        <v>9</v>
      </c>
      <c r="H234" s="15">
        <f t="shared" si="11"/>
        <v>0.5</v>
      </c>
      <c r="I234" t="s">
        <v>113</v>
      </c>
    </row>
    <row r="235" spans="1:17" ht="15.75" x14ac:dyDescent="0.25">
      <c r="A235" s="9"/>
      <c r="B235" s="10"/>
      <c r="C235" s="10"/>
      <c r="D235" s="10"/>
      <c r="E235" s="11">
        <f t="shared" si="10"/>
        <v>0</v>
      </c>
      <c r="F235" s="15"/>
      <c r="G235" s="25"/>
      <c r="H235" s="15">
        <f t="shared" si="11"/>
        <v>0</v>
      </c>
    </row>
    <row r="236" spans="1:17" ht="15.75" x14ac:dyDescent="0.25">
      <c r="A236" s="9"/>
      <c r="B236" s="10"/>
      <c r="C236" s="10"/>
      <c r="D236" s="10"/>
      <c r="E236" s="11">
        <f t="shared" si="10"/>
        <v>0</v>
      </c>
      <c r="F236" s="15"/>
      <c r="G236" s="25"/>
      <c r="H236" s="15">
        <f t="shared" si="11"/>
        <v>0</v>
      </c>
    </row>
    <row r="237" spans="1:17" ht="15.75" x14ac:dyDescent="0.25">
      <c r="A237" s="14"/>
      <c r="B237" s="10"/>
      <c r="C237" s="10"/>
      <c r="D237" s="10"/>
      <c r="E237" s="11">
        <f t="shared" si="10"/>
        <v>0</v>
      </c>
      <c r="F237" s="15"/>
      <c r="G237" s="4"/>
      <c r="H237" s="4"/>
    </row>
    <row r="238" spans="1:17" ht="15.75" x14ac:dyDescent="0.25">
      <c r="A238" s="14"/>
      <c r="B238" s="13"/>
      <c r="C238" s="10"/>
      <c r="D238" s="10"/>
      <c r="E238" s="11">
        <f t="shared" si="10"/>
        <v>0</v>
      </c>
      <c r="F238" s="15"/>
      <c r="G238" s="4"/>
      <c r="H238" s="4"/>
    </row>
    <row r="239" spans="1:17" ht="15.75" x14ac:dyDescent="0.25">
      <c r="A239" s="14"/>
      <c r="B239" s="10"/>
      <c r="C239" s="10"/>
      <c r="D239" s="10"/>
      <c r="E239" s="11">
        <f t="shared" si="10"/>
        <v>0</v>
      </c>
      <c r="F239" s="15"/>
      <c r="G239" s="189" t="s">
        <v>9</v>
      </c>
      <c r="H239" s="4"/>
    </row>
    <row r="240" spans="1:17" ht="15.75" x14ac:dyDescent="0.25">
      <c r="A240" s="14"/>
      <c r="B240" s="10">
        <f>SUM(B205:B239)</f>
        <v>4287592.5</v>
      </c>
      <c r="C240" s="10"/>
      <c r="D240" s="10">
        <f>SUM(D205:D239)</f>
        <v>63527</v>
      </c>
      <c r="E240" s="11">
        <f t="shared" si="10"/>
        <v>4224065.5</v>
      </c>
      <c r="F240" s="15"/>
      <c r="G240" s="4"/>
      <c r="H240" s="4"/>
    </row>
    <row r="242" spans="1:12" ht="18.75" x14ac:dyDescent="0.3">
      <c r="B242" s="275" t="s">
        <v>222</v>
      </c>
      <c r="C242" s="275"/>
      <c r="D242" s="275"/>
      <c r="E242" s="275"/>
      <c r="F242" s="275"/>
    </row>
    <row r="244" spans="1:12" ht="16.5" thickBot="1" x14ac:dyDescent="0.3">
      <c r="A244" s="19" t="s">
        <v>0</v>
      </c>
      <c r="B244" s="20" t="s">
        <v>1</v>
      </c>
      <c r="C244" s="8" t="s">
        <v>3</v>
      </c>
      <c r="D244" s="21" t="s">
        <v>2</v>
      </c>
      <c r="E244" s="22" t="s">
        <v>4</v>
      </c>
      <c r="F244" s="27" t="s">
        <v>8</v>
      </c>
      <c r="G244" s="4"/>
      <c r="H244" s="4"/>
    </row>
    <row r="245" spans="1:12" ht="16.5" thickTop="1" x14ac:dyDescent="0.25">
      <c r="A245" s="9">
        <v>42186</v>
      </c>
      <c r="B245" s="10">
        <v>93173.5</v>
      </c>
      <c r="C245" s="10">
        <v>2730</v>
      </c>
      <c r="D245" s="10">
        <v>10</v>
      </c>
      <c r="E245" s="11">
        <f>B245-C245-D245</f>
        <v>90433.5</v>
      </c>
      <c r="F245" s="15">
        <f>23000+51000+16433.5</f>
        <v>90433.5</v>
      </c>
      <c r="G245" s="25" t="s">
        <v>9</v>
      </c>
      <c r="H245" s="15">
        <f>F245-E245</f>
        <v>0</v>
      </c>
      <c r="I245" t="s">
        <v>113</v>
      </c>
      <c r="J245" s="4"/>
    </row>
    <row r="246" spans="1:12" ht="15.75" x14ac:dyDescent="0.25">
      <c r="A246" s="9">
        <v>42187</v>
      </c>
      <c r="B246" s="10">
        <v>116876</v>
      </c>
      <c r="C246" s="10">
        <v>289.44</v>
      </c>
      <c r="D246" s="10">
        <v>0</v>
      </c>
      <c r="E246" s="11">
        <f t="shared" ref="E246:E280" si="12">B246-C246-D246</f>
        <v>116586.56</v>
      </c>
      <c r="F246" s="15">
        <f>24587+40000+52000</f>
        <v>116587</v>
      </c>
      <c r="G246" s="25" t="s">
        <v>9</v>
      </c>
      <c r="H246" s="15">
        <f t="shared" ref="H246:H276" si="13">F246-E246</f>
        <v>0.44000000000232831</v>
      </c>
      <c r="I246" t="s">
        <v>113</v>
      </c>
      <c r="J246" s="4"/>
    </row>
    <row r="247" spans="1:12" ht="15.75" x14ac:dyDescent="0.25">
      <c r="A247" s="9">
        <v>42188</v>
      </c>
      <c r="B247" s="10">
        <v>126764</v>
      </c>
      <c r="C247" s="10">
        <v>13956</v>
      </c>
      <c r="D247" s="10">
        <v>10000</v>
      </c>
      <c r="E247" s="11">
        <f t="shared" si="12"/>
        <v>102808</v>
      </c>
      <c r="F247" s="15">
        <f>34808+68000</f>
        <v>102808</v>
      </c>
      <c r="G247" s="25" t="s">
        <v>9</v>
      </c>
      <c r="H247" s="15">
        <f t="shared" si="13"/>
        <v>0</v>
      </c>
      <c r="I247" t="s">
        <v>113</v>
      </c>
      <c r="J247" s="4"/>
    </row>
    <row r="248" spans="1:12" ht="15.75" x14ac:dyDescent="0.25">
      <c r="A248" s="9">
        <v>42189</v>
      </c>
      <c r="B248" s="10">
        <v>184268.5</v>
      </c>
      <c r="C248" s="10">
        <v>5670.8</v>
      </c>
      <c r="D248" s="10">
        <v>0</v>
      </c>
      <c r="E248" s="11">
        <f t="shared" si="12"/>
        <v>178597.7</v>
      </c>
      <c r="F248" s="15">
        <f>45550+48000+85000</f>
        <v>178550</v>
      </c>
      <c r="G248" s="25" t="s">
        <v>9</v>
      </c>
      <c r="H248" s="15">
        <f t="shared" si="13"/>
        <v>-47.700000000011642</v>
      </c>
      <c r="I248" t="s">
        <v>113</v>
      </c>
      <c r="J248" s="60" t="s">
        <v>334</v>
      </c>
      <c r="K248" s="60"/>
      <c r="L248" s="60"/>
    </row>
    <row r="249" spans="1:12" ht="15.75" x14ac:dyDescent="0.25">
      <c r="A249" s="9">
        <v>42190</v>
      </c>
      <c r="B249" s="10">
        <v>63707</v>
      </c>
      <c r="C249" s="10">
        <v>7618</v>
      </c>
      <c r="D249" s="10">
        <v>100</v>
      </c>
      <c r="E249" s="11">
        <f t="shared" si="12"/>
        <v>55989</v>
      </c>
      <c r="F249" s="15">
        <f>10989+45000</f>
        <v>55989</v>
      </c>
      <c r="G249" s="25" t="s">
        <v>9</v>
      </c>
      <c r="H249" s="15">
        <f t="shared" si="13"/>
        <v>0</v>
      </c>
      <c r="I249" t="s">
        <v>113</v>
      </c>
      <c r="J249" s="4"/>
    </row>
    <row r="250" spans="1:12" ht="15.75" x14ac:dyDescent="0.25">
      <c r="A250" s="9">
        <v>42191</v>
      </c>
      <c r="B250" s="10">
        <v>166180.79999999999</v>
      </c>
      <c r="C250" s="10">
        <v>8605</v>
      </c>
      <c r="D250" s="10">
        <v>0</v>
      </c>
      <c r="E250" s="11">
        <f t="shared" si="12"/>
        <v>157575.79999999999</v>
      </c>
      <c r="F250" s="15">
        <f>25752+60000+67000</f>
        <v>152752</v>
      </c>
      <c r="G250" s="25" t="s">
        <v>9</v>
      </c>
      <c r="H250" s="15">
        <f t="shared" si="13"/>
        <v>-4823.7999999999884</v>
      </c>
      <c r="I250" t="s">
        <v>113</v>
      </c>
      <c r="J250" s="60" t="s">
        <v>335</v>
      </c>
      <c r="K250" s="60"/>
    </row>
    <row r="251" spans="1:12" ht="15.75" x14ac:dyDescent="0.25">
      <c r="A251" s="9">
        <v>42192</v>
      </c>
      <c r="B251" s="10">
        <v>112684.7</v>
      </c>
      <c r="C251" s="10">
        <v>479</v>
      </c>
      <c r="D251" s="10">
        <v>860</v>
      </c>
      <c r="E251" s="11">
        <f t="shared" si="12"/>
        <v>111345.7</v>
      </c>
      <c r="F251" s="15">
        <f>60000+29760+21585.5</f>
        <v>111345.5</v>
      </c>
      <c r="G251" s="25" t="s">
        <v>9</v>
      </c>
      <c r="H251" s="15">
        <f t="shared" si="13"/>
        <v>-0.19999999999708962</v>
      </c>
      <c r="I251" t="s">
        <v>113</v>
      </c>
      <c r="J251" s="4"/>
    </row>
    <row r="252" spans="1:12" ht="15.75" x14ac:dyDescent="0.25">
      <c r="A252" s="9">
        <v>42193</v>
      </c>
      <c r="B252" s="10">
        <v>109860</v>
      </c>
      <c r="C252" s="10">
        <v>986</v>
      </c>
      <c r="D252" s="10">
        <v>0</v>
      </c>
      <c r="E252" s="11">
        <f t="shared" si="12"/>
        <v>108874</v>
      </c>
      <c r="F252" s="15">
        <f>16874+92000</f>
        <v>108874</v>
      </c>
      <c r="G252" s="25" t="s">
        <v>9</v>
      </c>
      <c r="H252" s="15">
        <f t="shared" si="13"/>
        <v>0</v>
      </c>
      <c r="I252" t="s">
        <v>113</v>
      </c>
    </row>
    <row r="253" spans="1:12" ht="15.75" x14ac:dyDescent="0.25">
      <c r="A253" s="9">
        <v>42194</v>
      </c>
      <c r="B253" s="10">
        <v>130249.22</v>
      </c>
      <c r="C253" s="10">
        <v>2764</v>
      </c>
      <c r="D253" s="10">
        <v>0</v>
      </c>
      <c r="E253" s="11">
        <f t="shared" si="12"/>
        <v>127485.22</v>
      </c>
      <c r="F253" s="15">
        <f>55000+25000+16978</f>
        <v>96978</v>
      </c>
      <c r="G253" s="25" t="s">
        <v>9</v>
      </c>
      <c r="H253" s="15">
        <f t="shared" si="13"/>
        <v>-30507.22</v>
      </c>
      <c r="I253" t="s">
        <v>113</v>
      </c>
      <c r="J253" s="60" t="s">
        <v>580</v>
      </c>
      <c r="K253" s="60"/>
      <c r="L253" s="60"/>
    </row>
    <row r="254" spans="1:12" ht="15.75" x14ac:dyDescent="0.25">
      <c r="A254" s="9">
        <v>42195</v>
      </c>
      <c r="B254" s="10">
        <v>170332.5</v>
      </c>
      <c r="C254" s="10">
        <v>12512</v>
      </c>
      <c r="D254" s="10">
        <v>50</v>
      </c>
      <c r="E254" s="11">
        <f t="shared" si="12"/>
        <v>157770.5</v>
      </c>
      <c r="F254" s="15">
        <f>7770.5+55000+50000+45000+10</f>
        <v>157780.5</v>
      </c>
      <c r="G254" s="25" t="s">
        <v>9</v>
      </c>
      <c r="H254" s="15">
        <f t="shared" si="13"/>
        <v>10</v>
      </c>
      <c r="I254" t="s">
        <v>113</v>
      </c>
      <c r="J254" t="s">
        <v>586</v>
      </c>
    </row>
    <row r="255" spans="1:12" ht="15.75" x14ac:dyDescent="0.25">
      <c r="A255" s="9">
        <v>42196</v>
      </c>
      <c r="B255" s="10">
        <v>208305.27</v>
      </c>
      <c r="C255" s="10">
        <v>5505</v>
      </c>
      <c r="D255" s="10">
        <v>0</v>
      </c>
      <c r="E255" s="11">
        <f t="shared" si="12"/>
        <v>202800.27</v>
      </c>
      <c r="F255" s="15">
        <f>70000+60000+50000+22800</f>
        <v>202800</v>
      </c>
      <c r="G255" s="25" t="s">
        <v>9</v>
      </c>
      <c r="H255" s="15">
        <f t="shared" si="13"/>
        <v>-0.26999999998952262</v>
      </c>
      <c r="I255" t="s">
        <v>113</v>
      </c>
    </row>
    <row r="256" spans="1:12" ht="15.75" x14ac:dyDescent="0.25">
      <c r="A256" s="9">
        <v>42197</v>
      </c>
      <c r="B256" s="10">
        <v>115824.34</v>
      </c>
      <c r="C256" s="10">
        <v>249</v>
      </c>
      <c r="D256" s="10">
        <v>2024</v>
      </c>
      <c r="E256" s="11">
        <f t="shared" si="12"/>
        <v>113551.34</v>
      </c>
      <c r="F256" s="15">
        <f>103000+10551</f>
        <v>113551</v>
      </c>
      <c r="G256" s="25" t="s">
        <v>9</v>
      </c>
      <c r="H256" s="15">
        <f t="shared" si="13"/>
        <v>-0.33999999999650754</v>
      </c>
      <c r="I256" t="s">
        <v>113</v>
      </c>
    </row>
    <row r="257" spans="1:12" ht="15.75" x14ac:dyDescent="0.25">
      <c r="A257" s="9">
        <v>42198</v>
      </c>
      <c r="B257" s="10">
        <v>58311.8</v>
      </c>
      <c r="C257" s="10">
        <v>0</v>
      </c>
      <c r="D257" s="10">
        <v>0</v>
      </c>
      <c r="E257" s="11">
        <f t="shared" si="12"/>
        <v>58311.8</v>
      </c>
      <c r="F257" s="15">
        <f>50000+8312</f>
        <v>58312</v>
      </c>
      <c r="G257" s="25" t="s">
        <v>9</v>
      </c>
      <c r="H257" s="15">
        <f t="shared" si="13"/>
        <v>0.19999999999708962</v>
      </c>
      <c r="I257" t="s">
        <v>113</v>
      </c>
    </row>
    <row r="258" spans="1:12" ht="15.75" x14ac:dyDescent="0.25">
      <c r="A258" s="9">
        <v>42199</v>
      </c>
      <c r="B258" s="10">
        <v>158371.5</v>
      </c>
      <c r="C258" s="10">
        <v>115</v>
      </c>
      <c r="D258" s="10">
        <v>0</v>
      </c>
      <c r="E258" s="11">
        <f t="shared" si="12"/>
        <v>158256.5</v>
      </c>
      <c r="F258" s="15">
        <f>65000+27000+57000+9256.5</f>
        <v>158256.5</v>
      </c>
      <c r="G258" s="25" t="s">
        <v>9</v>
      </c>
      <c r="H258" s="15">
        <f t="shared" si="13"/>
        <v>0</v>
      </c>
      <c r="I258" t="s">
        <v>113</v>
      </c>
    </row>
    <row r="259" spans="1:12" ht="15.75" x14ac:dyDescent="0.25">
      <c r="A259" s="9">
        <v>42200</v>
      </c>
      <c r="B259" s="10">
        <v>119416.8</v>
      </c>
      <c r="C259" s="10">
        <v>0</v>
      </c>
      <c r="D259" s="10">
        <v>15</v>
      </c>
      <c r="E259" s="11">
        <f t="shared" si="12"/>
        <v>119401.8</v>
      </c>
      <c r="F259" s="15">
        <f>75000+35000+9402</f>
        <v>119402</v>
      </c>
      <c r="G259" s="25" t="s">
        <v>9</v>
      </c>
      <c r="H259" s="15">
        <f t="shared" si="13"/>
        <v>0.19999999999708962</v>
      </c>
      <c r="I259" t="s">
        <v>113</v>
      </c>
    </row>
    <row r="260" spans="1:12" ht="15.75" x14ac:dyDescent="0.25">
      <c r="A260" s="9">
        <v>42201</v>
      </c>
      <c r="B260" s="10">
        <v>170043.1</v>
      </c>
      <c r="C260" s="10">
        <v>17253</v>
      </c>
      <c r="D260" s="10">
        <v>60</v>
      </c>
      <c r="E260" s="11">
        <f t="shared" si="12"/>
        <v>152730.1</v>
      </c>
      <c r="F260" s="15">
        <f>50600+45000+55000+37510</f>
        <v>188110</v>
      </c>
      <c r="G260" s="25" t="s">
        <v>9</v>
      </c>
      <c r="H260" s="15">
        <f t="shared" si="13"/>
        <v>35379.899999999994</v>
      </c>
      <c r="I260" t="s">
        <v>113</v>
      </c>
      <c r="J260" s="60" t="s">
        <v>785</v>
      </c>
      <c r="K260" s="60"/>
      <c r="L260" s="60"/>
    </row>
    <row r="261" spans="1:12" ht="15.75" x14ac:dyDescent="0.25">
      <c r="A261" s="9">
        <v>42202</v>
      </c>
      <c r="B261" s="10">
        <v>180146.5</v>
      </c>
      <c r="C261" s="10">
        <v>1684.16</v>
      </c>
      <c r="D261" s="10">
        <v>0</v>
      </c>
      <c r="E261" s="11">
        <f t="shared" si="12"/>
        <v>178462.34</v>
      </c>
      <c r="F261" s="15">
        <f>33000+70000+40000+35462.5</f>
        <v>178462.5</v>
      </c>
      <c r="G261" s="25" t="s">
        <v>9</v>
      </c>
      <c r="H261" s="15">
        <f t="shared" si="13"/>
        <v>0.16000000000349246</v>
      </c>
      <c r="I261" t="s">
        <v>113</v>
      </c>
    </row>
    <row r="262" spans="1:12" ht="15.75" x14ac:dyDescent="0.25">
      <c r="A262" s="9">
        <v>42203</v>
      </c>
      <c r="B262" s="10">
        <v>213184</v>
      </c>
      <c r="C262" s="10">
        <v>16061</v>
      </c>
      <c r="D262" s="10">
        <v>0</v>
      </c>
      <c r="E262" s="11">
        <f t="shared" si="12"/>
        <v>197123</v>
      </c>
      <c r="F262" s="15">
        <f>50000+70000+68000+9123</f>
        <v>197123</v>
      </c>
      <c r="G262" s="25" t="s">
        <v>9</v>
      </c>
      <c r="H262" s="15">
        <f t="shared" si="13"/>
        <v>0</v>
      </c>
      <c r="I262" t="s">
        <v>113</v>
      </c>
    </row>
    <row r="263" spans="1:12" ht="15.75" x14ac:dyDescent="0.25">
      <c r="A263" s="9">
        <v>42204</v>
      </c>
      <c r="B263" s="10">
        <v>80294.5</v>
      </c>
      <c r="C263" s="10">
        <v>207</v>
      </c>
      <c r="D263" s="10">
        <v>100</v>
      </c>
      <c r="E263" s="11">
        <f t="shared" si="12"/>
        <v>79987.5</v>
      </c>
      <c r="F263" s="15">
        <f>68000+11987.5</f>
        <v>79987.5</v>
      </c>
      <c r="G263" s="25" t="s">
        <v>9</v>
      </c>
      <c r="H263" s="15">
        <f t="shared" si="13"/>
        <v>0</v>
      </c>
      <c r="I263" t="s">
        <v>113</v>
      </c>
    </row>
    <row r="264" spans="1:12" ht="15.75" x14ac:dyDescent="0.25">
      <c r="A264" s="9">
        <v>42205</v>
      </c>
      <c r="B264" s="10">
        <v>233447</v>
      </c>
      <c r="C264" s="10">
        <v>48475.5</v>
      </c>
      <c r="D264" s="10">
        <v>0</v>
      </c>
      <c r="E264" s="11">
        <f t="shared" si="12"/>
        <v>184971.5</v>
      </c>
      <c r="F264" s="15">
        <f>75000+65000+44971.5</f>
        <v>184971.5</v>
      </c>
      <c r="G264" s="25" t="s">
        <v>9</v>
      </c>
      <c r="H264" s="15">
        <f t="shared" si="13"/>
        <v>0</v>
      </c>
      <c r="I264" t="s">
        <v>113</v>
      </c>
    </row>
    <row r="265" spans="1:12" ht="15.75" x14ac:dyDescent="0.25">
      <c r="A265" s="9">
        <v>42206</v>
      </c>
      <c r="B265" s="10">
        <v>75647.5</v>
      </c>
      <c r="C265" s="10">
        <v>14400.5</v>
      </c>
      <c r="D265" s="10">
        <v>0</v>
      </c>
      <c r="E265" s="11">
        <f t="shared" si="12"/>
        <v>61247</v>
      </c>
      <c r="F265" s="15">
        <f>35694+25553</f>
        <v>61247</v>
      </c>
      <c r="G265" s="25" t="s">
        <v>9</v>
      </c>
      <c r="H265" s="15">
        <f t="shared" si="13"/>
        <v>0</v>
      </c>
      <c r="I265" t="s">
        <v>113</v>
      </c>
    </row>
    <row r="266" spans="1:12" ht="15.75" x14ac:dyDescent="0.25">
      <c r="A266" s="9">
        <v>42207</v>
      </c>
      <c r="B266" s="10">
        <v>108686</v>
      </c>
      <c r="C266" s="10">
        <v>3388</v>
      </c>
      <c r="D266" s="10">
        <v>0</v>
      </c>
      <c r="E266" s="11">
        <f t="shared" si="12"/>
        <v>105298</v>
      </c>
      <c r="F266" s="15">
        <f>37500+38500+29298</f>
        <v>105298</v>
      </c>
      <c r="G266" s="25" t="s">
        <v>9</v>
      </c>
      <c r="H266" s="15">
        <f t="shared" si="13"/>
        <v>0</v>
      </c>
      <c r="I266" t="s">
        <v>113</v>
      </c>
    </row>
    <row r="267" spans="1:12" ht="15.75" x14ac:dyDescent="0.25">
      <c r="A267" s="9">
        <v>42208</v>
      </c>
      <c r="B267" s="10">
        <v>97012</v>
      </c>
      <c r="C267" s="10">
        <v>0</v>
      </c>
      <c r="D267" s="10">
        <v>27</v>
      </c>
      <c r="E267" s="11">
        <f t="shared" si="12"/>
        <v>96985</v>
      </c>
      <c r="F267" s="15">
        <f>65000+31985</f>
        <v>96985</v>
      </c>
      <c r="G267" s="25" t="s">
        <v>9</v>
      </c>
      <c r="H267" s="15">
        <f t="shared" si="13"/>
        <v>0</v>
      </c>
      <c r="I267" t="s">
        <v>113</v>
      </c>
    </row>
    <row r="268" spans="1:12" ht="15.75" x14ac:dyDescent="0.25">
      <c r="A268" s="9">
        <v>42209</v>
      </c>
      <c r="B268" s="10">
        <v>199392</v>
      </c>
      <c r="C268" s="10">
        <v>3621</v>
      </c>
      <c r="D268" s="10">
        <v>0</v>
      </c>
      <c r="E268" s="11">
        <f t="shared" si="12"/>
        <v>195771</v>
      </c>
      <c r="F268" s="15">
        <f>40000+70000+65000+20771</f>
        <v>195771</v>
      </c>
      <c r="G268" s="25" t="s">
        <v>9</v>
      </c>
      <c r="H268" s="15">
        <f t="shared" si="13"/>
        <v>0</v>
      </c>
      <c r="I268" t="s">
        <v>113</v>
      </c>
    </row>
    <row r="269" spans="1:12" ht="15.75" x14ac:dyDescent="0.25">
      <c r="A269" s="9">
        <v>42210</v>
      </c>
      <c r="B269" s="10">
        <v>164344</v>
      </c>
      <c r="C269" s="10">
        <v>11989.24</v>
      </c>
      <c r="D269" s="10">
        <v>760</v>
      </c>
      <c r="E269" s="11">
        <f t="shared" si="12"/>
        <v>151594.76</v>
      </c>
      <c r="F269" s="15">
        <f>30000+32000+53000+36595</f>
        <v>151595</v>
      </c>
      <c r="G269" s="25" t="s">
        <v>9</v>
      </c>
      <c r="H269" s="15">
        <f t="shared" si="13"/>
        <v>0.23999999999068677</v>
      </c>
      <c r="I269" t="s">
        <v>113</v>
      </c>
    </row>
    <row r="270" spans="1:12" ht="15.75" x14ac:dyDescent="0.25">
      <c r="A270" s="9">
        <v>42211</v>
      </c>
      <c r="B270" s="10">
        <v>83233</v>
      </c>
      <c r="C270" s="10">
        <v>17368</v>
      </c>
      <c r="D270" s="10">
        <v>124</v>
      </c>
      <c r="E270" s="11">
        <f t="shared" si="12"/>
        <v>65741</v>
      </c>
      <c r="F270" s="15">
        <f>30000+35740</f>
        <v>65740</v>
      </c>
      <c r="G270" s="25" t="s">
        <v>9</v>
      </c>
      <c r="H270" s="15">
        <f t="shared" si="13"/>
        <v>-1</v>
      </c>
      <c r="I270" t="s">
        <v>113</v>
      </c>
    </row>
    <row r="271" spans="1:12" ht="15.75" x14ac:dyDescent="0.25">
      <c r="A271" s="9">
        <v>42212</v>
      </c>
      <c r="B271" s="10">
        <v>309508.5</v>
      </c>
      <c r="C271" s="10">
        <v>0</v>
      </c>
      <c r="D271" s="10">
        <v>0</v>
      </c>
      <c r="E271" s="11">
        <f t="shared" si="12"/>
        <v>309508.5</v>
      </c>
      <c r="F271" s="15">
        <f>65000+65000+129864+25000+24644.5</f>
        <v>309508.5</v>
      </c>
      <c r="G271" s="25" t="s">
        <v>9</v>
      </c>
      <c r="H271" s="15">
        <f t="shared" si="13"/>
        <v>0</v>
      </c>
      <c r="I271" t="s">
        <v>113</v>
      </c>
    </row>
    <row r="272" spans="1:12" ht="15.75" x14ac:dyDescent="0.25">
      <c r="A272" s="9">
        <v>42213</v>
      </c>
      <c r="B272" s="10">
        <v>85490</v>
      </c>
      <c r="C272" s="10">
        <v>0</v>
      </c>
      <c r="D272" s="10">
        <v>0</v>
      </c>
      <c r="E272" s="11">
        <f t="shared" si="12"/>
        <v>85490</v>
      </c>
      <c r="F272" s="15">
        <f>62400+23090</f>
        <v>85490</v>
      </c>
      <c r="G272" s="25" t="s">
        <v>9</v>
      </c>
      <c r="H272" s="15">
        <f t="shared" si="13"/>
        <v>0</v>
      </c>
      <c r="I272" t="s">
        <v>113</v>
      </c>
    </row>
    <row r="273" spans="1:12" ht="15.75" x14ac:dyDescent="0.25">
      <c r="A273" s="9">
        <v>42214</v>
      </c>
      <c r="B273" s="10">
        <v>139628</v>
      </c>
      <c r="C273" s="10">
        <v>10534</v>
      </c>
      <c r="D273" s="10">
        <v>0</v>
      </c>
      <c r="E273" s="11">
        <f t="shared" si="12"/>
        <v>129094</v>
      </c>
      <c r="F273" s="15">
        <f>6909+30259+35000+40000+16926</f>
        <v>129094</v>
      </c>
      <c r="G273" s="25" t="s">
        <v>9</v>
      </c>
      <c r="H273" s="15">
        <f t="shared" si="13"/>
        <v>0</v>
      </c>
      <c r="I273" t="s">
        <v>113</v>
      </c>
    </row>
    <row r="274" spans="1:12" ht="15.75" x14ac:dyDescent="0.25">
      <c r="A274" s="9">
        <v>42215</v>
      </c>
      <c r="B274" s="10">
        <v>84196.5</v>
      </c>
      <c r="C274" s="10">
        <v>3476</v>
      </c>
      <c r="D274" s="10">
        <v>100</v>
      </c>
      <c r="E274" s="11">
        <f t="shared" si="12"/>
        <v>80620.5</v>
      </c>
      <c r="F274" s="15">
        <f>35000+25000+20620.5</f>
        <v>80620.5</v>
      </c>
      <c r="G274" s="25" t="s">
        <v>9</v>
      </c>
      <c r="H274" s="15">
        <f t="shared" si="13"/>
        <v>0</v>
      </c>
      <c r="I274" t="s">
        <v>113</v>
      </c>
    </row>
    <row r="275" spans="1:12" ht="15.75" x14ac:dyDescent="0.25">
      <c r="A275" s="9">
        <v>42216</v>
      </c>
      <c r="B275" s="10">
        <v>223970</v>
      </c>
      <c r="C275" s="10">
        <v>0</v>
      </c>
      <c r="D275" s="10">
        <v>40</v>
      </c>
      <c r="E275" s="11">
        <f t="shared" si="12"/>
        <v>223930</v>
      </c>
      <c r="F275" s="15">
        <f>70000+60000+35000+25000+33930</f>
        <v>223930</v>
      </c>
      <c r="G275" s="25" t="s">
        <v>9</v>
      </c>
      <c r="H275" s="15">
        <f t="shared" si="13"/>
        <v>0</v>
      </c>
      <c r="I275" t="s">
        <v>113</v>
      </c>
    </row>
    <row r="276" spans="1:12" ht="15.75" x14ac:dyDescent="0.25">
      <c r="A276" s="9"/>
      <c r="B276" s="10"/>
      <c r="C276" s="10"/>
      <c r="D276" s="10"/>
      <c r="E276" s="11">
        <f t="shared" si="12"/>
        <v>0</v>
      </c>
      <c r="F276" s="15"/>
      <c r="G276" s="25"/>
      <c r="H276" s="15">
        <f t="shared" si="13"/>
        <v>0</v>
      </c>
    </row>
    <row r="277" spans="1:12" ht="15.75" x14ac:dyDescent="0.25">
      <c r="A277" s="14"/>
      <c r="B277" s="10"/>
      <c r="C277" s="10"/>
      <c r="D277" s="10"/>
      <c r="E277" s="11">
        <f t="shared" si="12"/>
        <v>0</v>
      </c>
      <c r="F277" s="15"/>
      <c r="G277" s="4"/>
      <c r="H277" s="4"/>
    </row>
    <row r="278" spans="1:12" ht="15.75" x14ac:dyDescent="0.25">
      <c r="A278" s="14"/>
      <c r="B278" s="13"/>
      <c r="C278" s="10"/>
      <c r="D278" s="10"/>
      <c r="E278" s="11">
        <f t="shared" si="12"/>
        <v>0</v>
      </c>
      <c r="F278" s="15"/>
      <c r="G278" s="189" t="s">
        <v>9</v>
      </c>
      <c r="H278" s="4"/>
    </row>
    <row r="279" spans="1:12" ht="15.75" x14ac:dyDescent="0.25">
      <c r="A279" s="14"/>
      <c r="B279" s="10"/>
      <c r="C279" s="10"/>
      <c r="D279" s="10"/>
      <c r="E279" s="11">
        <f t="shared" si="12"/>
        <v>0</v>
      </c>
      <c r="F279" s="15"/>
      <c r="G279" s="4"/>
      <c r="H279" s="4"/>
    </row>
    <row r="280" spans="1:12" ht="15.75" x14ac:dyDescent="0.25">
      <c r="A280" s="14"/>
      <c r="B280" s="10">
        <f>SUM(B245:B279)</f>
        <v>4382548.53</v>
      </c>
      <c r="C280" s="10"/>
      <c r="D280" s="10">
        <f>SUM(D245:D279)</f>
        <v>14270</v>
      </c>
      <c r="E280" s="11">
        <f t="shared" si="12"/>
        <v>4368278.53</v>
      </c>
      <c r="F280" s="15"/>
      <c r="G280" s="4"/>
      <c r="H280" s="4"/>
    </row>
    <row r="282" spans="1:12" ht="18.75" x14ac:dyDescent="0.3">
      <c r="B282" s="275" t="s">
        <v>223</v>
      </c>
      <c r="C282" s="275"/>
      <c r="D282" s="275"/>
      <c r="E282" s="275"/>
      <c r="F282" s="275"/>
    </row>
    <row r="284" spans="1:12" ht="16.5" thickBot="1" x14ac:dyDescent="0.3">
      <c r="A284" s="19" t="s">
        <v>0</v>
      </c>
      <c r="B284" s="20" t="s">
        <v>1</v>
      </c>
      <c r="C284" s="8" t="s">
        <v>3</v>
      </c>
      <c r="D284" s="21" t="s">
        <v>2</v>
      </c>
      <c r="E284" s="22" t="s">
        <v>4</v>
      </c>
      <c r="F284" s="27" t="s">
        <v>8</v>
      </c>
      <c r="G284" s="4"/>
      <c r="H284" s="4"/>
    </row>
    <row r="285" spans="1:12" ht="16.5" thickTop="1" x14ac:dyDescent="0.25">
      <c r="A285" s="9">
        <v>42217</v>
      </c>
      <c r="B285" s="10">
        <v>112702</v>
      </c>
      <c r="C285" s="10">
        <v>13054</v>
      </c>
      <c r="D285" s="10">
        <v>240</v>
      </c>
      <c r="E285" s="11">
        <f>B285-C285-D285</f>
        <v>99408</v>
      </c>
      <c r="F285" s="15">
        <f>7009.5</f>
        <v>7009.5</v>
      </c>
      <c r="G285" s="25" t="s">
        <v>9</v>
      </c>
      <c r="H285" s="15">
        <f>F285-E285</f>
        <v>-92398.5</v>
      </c>
      <c r="I285" t="s">
        <v>581</v>
      </c>
      <c r="J285" s="60" t="s">
        <v>583</v>
      </c>
      <c r="K285" s="60"/>
      <c r="L285" s="60"/>
    </row>
    <row r="286" spans="1:12" ht="15.75" x14ac:dyDescent="0.25">
      <c r="A286" s="9">
        <v>42218</v>
      </c>
      <c r="B286" s="10">
        <v>84216</v>
      </c>
      <c r="C286" s="10">
        <v>21893</v>
      </c>
      <c r="D286" s="10">
        <v>100</v>
      </c>
      <c r="E286" s="11">
        <f t="shared" ref="E286:E320" si="14">B286-C286-D286</f>
        <v>62223</v>
      </c>
      <c r="F286" s="15">
        <f>43000+19223</f>
        <v>62223</v>
      </c>
      <c r="G286" s="25" t="s">
        <v>9</v>
      </c>
      <c r="H286" s="15">
        <f t="shared" ref="H286:H316" si="15">F286-E286</f>
        <v>0</v>
      </c>
      <c r="I286" t="s">
        <v>581</v>
      </c>
    </row>
    <row r="287" spans="1:12" ht="15.75" x14ac:dyDescent="0.25">
      <c r="A287" s="9">
        <v>42219</v>
      </c>
      <c r="B287" s="10">
        <v>244556</v>
      </c>
      <c r="C287" s="10">
        <v>16095</v>
      </c>
      <c r="D287" s="10">
        <v>0</v>
      </c>
      <c r="E287" s="11">
        <f t="shared" si="14"/>
        <v>228461</v>
      </c>
      <c r="F287" s="15">
        <f>50000+50000+80000+108091+32768</f>
        <v>320859</v>
      </c>
      <c r="G287" s="25" t="s">
        <v>9</v>
      </c>
      <c r="H287" s="15">
        <f t="shared" si="15"/>
        <v>92398</v>
      </c>
      <c r="I287" t="s">
        <v>581</v>
      </c>
      <c r="J287" s="60" t="s">
        <v>582</v>
      </c>
      <c r="K287" s="60"/>
      <c r="L287" s="60"/>
    </row>
    <row r="288" spans="1:12" ht="15.75" x14ac:dyDescent="0.25">
      <c r="A288" s="9">
        <v>42220</v>
      </c>
      <c r="B288" s="10">
        <v>132276</v>
      </c>
      <c r="C288" s="10">
        <v>1422</v>
      </c>
      <c r="D288" s="10">
        <v>0</v>
      </c>
      <c r="E288" s="11">
        <f t="shared" si="14"/>
        <v>130854</v>
      </c>
      <c r="F288" s="15">
        <f>82500+48358</f>
        <v>130858</v>
      </c>
      <c r="G288" s="25" t="s">
        <v>9</v>
      </c>
      <c r="H288" s="15">
        <f t="shared" si="15"/>
        <v>4</v>
      </c>
      <c r="I288" t="s">
        <v>581</v>
      </c>
    </row>
    <row r="289" spans="1:12" ht="15.75" x14ac:dyDescent="0.25">
      <c r="A289" s="9">
        <v>42221</v>
      </c>
      <c r="B289" s="10">
        <v>103140</v>
      </c>
      <c r="C289" s="10">
        <v>0</v>
      </c>
      <c r="D289" s="10">
        <v>30</v>
      </c>
      <c r="E289" s="11">
        <f t="shared" si="14"/>
        <v>103110</v>
      </c>
      <c r="F289" s="15">
        <f>40000+40000+23110</f>
        <v>103110</v>
      </c>
      <c r="G289" s="25" t="s">
        <v>9</v>
      </c>
      <c r="H289" s="15">
        <f t="shared" si="15"/>
        <v>0</v>
      </c>
      <c r="I289" t="s">
        <v>581</v>
      </c>
    </row>
    <row r="290" spans="1:12" ht="15.75" x14ac:dyDescent="0.25">
      <c r="A290" s="9">
        <v>42222</v>
      </c>
      <c r="B290" s="10">
        <v>102929.5</v>
      </c>
      <c r="C290" s="10">
        <v>4354</v>
      </c>
      <c r="D290" s="10">
        <v>54</v>
      </c>
      <c r="E290" s="11">
        <f t="shared" si="14"/>
        <v>98521.5</v>
      </c>
      <c r="F290" s="15">
        <f>52000+46521.5</f>
        <v>98521.5</v>
      </c>
      <c r="G290" s="25" t="s">
        <v>9</v>
      </c>
      <c r="H290" s="15">
        <f t="shared" si="15"/>
        <v>0</v>
      </c>
      <c r="I290" t="s">
        <v>581</v>
      </c>
    </row>
    <row r="291" spans="1:12" ht="15.75" x14ac:dyDescent="0.25">
      <c r="A291" s="9">
        <v>42223</v>
      </c>
      <c r="B291" s="10">
        <v>142615</v>
      </c>
      <c r="C291" s="10">
        <v>2101</v>
      </c>
      <c r="D291" s="10">
        <v>10</v>
      </c>
      <c r="E291" s="11">
        <f t="shared" si="14"/>
        <v>140504</v>
      </c>
      <c r="F291" s="15">
        <f>30000+45000+30000+35504</f>
        <v>140504</v>
      </c>
      <c r="G291" s="25" t="s">
        <v>9</v>
      </c>
      <c r="H291" s="15">
        <f t="shared" si="15"/>
        <v>0</v>
      </c>
      <c r="I291" t="s">
        <v>581</v>
      </c>
    </row>
    <row r="292" spans="1:12" ht="15.75" x14ac:dyDescent="0.25">
      <c r="A292" s="9">
        <v>42224</v>
      </c>
      <c r="B292" s="10">
        <v>115786</v>
      </c>
      <c r="C292" s="10">
        <v>32804</v>
      </c>
      <c r="D292" s="10">
        <v>10</v>
      </c>
      <c r="E292" s="11">
        <f t="shared" si="14"/>
        <v>82972</v>
      </c>
      <c r="F292" s="15">
        <f>55000+27972</f>
        <v>82972</v>
      </c>
      <c r="G292" s="25" t="s">
        <v>9</v>
      </c>
      <c r="H292" s="15">
        <f t="shared" si="15"/>
        <v>0</v>
      </c>
      <c r="I292" t="s">
        <v>581</v>
      </c>
    </row>
    <row r="293" spans="1:12" ht="15.75" x14ac:dyDescent="0.25">
      <c r="A293" s="9">
        <v>42225</v>
      </c>
      <c r="B293" s="10">
        <v>55626.5</v>
      </c>
      <c r="C293" s="10">
        <v>8855</v>
      </c>
      <c r="D293" s="10">
        <v>0</v>
      </c>
      <c r="E293" s="11">
        <f t="shared" si="14"/>
        <v>46771.5</v>
      </c>
      <c r="F293" s="15">
        <f>30000+16771</f>
        <v>46771</v>
      </c>
      <c r="G293" s="25" t="s">
        <v>9</v>
      </c>
      <c r="H293" s="15">
        <f t="shared" si="15"/>
        <v>-0.5</v>
      </c>
      <c r="I293" t="s">
        <v>581</v>
      </c>
    </row>
    <row r="294" spans="1:12" ht="15.75" x14ac:dyDescent="0.25">
      <c r="A294" s="9">
        <v>42226</v>
      </c>
      <c r="B294" s="10">
        <v>173956</v>
      </c>
      <c r="C294" s="10">
        <v>22930</v>
      </c>
      <c r="D294" s="10">
        <v>110</v>
      </c>
      <c r="E294" s="11">
        <f t="shared" si="14"/>
        <v>150916</v>
      </c>
      <c r="F294" s="15">
        <f>63500+37416+50000</f>
        <v>150916</v>
      </c>
      <c r="G294" s="25" t="s">
        <v>9</v>
      </c>
      <c r="H294" s="15">
        <f t="shared" si="15"/>
        <v>0</v>
      </c>
      <c r="I294" t="s">
        <v>581</v>
      </c>
    </row>
    <row r="295" spans="1:12" ht="15.75" x14ac:dyDescent="0.25">
      <c r="A295" s="9">
        <v>42227</v>
      </c>
      <c r="B295" s="10">
        <v>101211</v>
      </c>
      <c r="C295" s="10">
        <v>12990</v>
      </c>
      <c r="D295" s="10">
        <v>0</v>
      </c>
      <c r="E295" s="11">
        <f t="shared" si="14"/>
        <v>88221</v>
      </c>
      <c r="F295" s="15">
        <f>8052+45000+35169</f>
        <v>88221</v>
      </c>
      <c r="G295" s="25" t="s">
        <v>9</v>
      </c>
      <c r="H295" s="15">
        <f t="shared" si="15"/>
        <v>0</v>
      </c>
      <c r="I295" t="s">
        <v>581</v>
      </c>
    </row>
    <row r="296" spans="1:12" ht="15.75" x14ac:dyDescent="0.25">
      <c r="A296" s="9">
        <v>42228</v>
      </c>
      <c r="B296" s="10">
        <v>110236</v>
      </c>
      <c r="C296" s="10">
        <v>15904</v>
      </c>
      <c r="D296" s="10">
        <v>0</v>
      </c>
      <c r="E296" s="11">
        <f t="shared" si="14"/>
        <v>94332</v>
      </c>
      <c r="F296" s="15">
        <f>65000+29332</f>
        <v>94332</v>
      </c>
      <c r="G296" s="25" t="s">
        <v>9</v>
      </c>
      <c r="H296" s="15">
        <f t="shared" si="15"/>
        <v>0</v>
      </c>
      <c r="I296" t="s">
        <v>581</v>
      </c>
    </row>
    <row r="297" spans="1:12" ht="15.75" x14ac:dyDescent="0.25">
      <c r="A297" s="9">
        <v>42229</v>
      </c>
      <c r="B297" s="10">
        <v>124204.5</v>
      </c>
      <c r="C297" s="10">
        <v>137.19999999999999</v>
      </c>
      <c r="D297" s="10">
        <v>0</v>
      </c>
      <c r="E297" s="11">
        <f t="shared" si="14"/>
        <v>124067.3</v>
      </c>
      <c r="F297" s="15">
        <f>72000+35000+17063.5</f>
        <v>124063.5</v>
      </c>
      <c r="G297" s="25" t="s">
        <v>9</v>
      </c>
      <c r="H297" s="15">
        <f t="shared" si="15"/>
        <v>-3.8000000000029104</v>
      </c>
      <c r="I297" t="s">
        <v>581</v>
      </c>
    </row>
    <row r="298" spans="1:12" ht="15.75" x14ac:dyDescent="0.25">
      <c r="A298" s="9">
        <v>42230</v>
      </c>
      <c r="B298" s="10">
        <v>178560</v>
      </c>
      <c r="C298" s="10">
        <v>19366</v>
      </c>
      <c r="D298" s="10">
        <v>860</v>
      </c>
      <c r="E298" s="11">
        <f t="shared" si="14"/>
        <v>158334</v>
      </c>
      <c r="F298" s="15">
        <f>1492+35000+55000+43000+23842</f>
        <v>158334</v>
      </c>
      <c r="G298" s="25" t="s">
        <v>9</v>
      </c>
      <c r="H298" s="15">
        <f t="shared" si="15"/>
        <v>0</v>
      </c>
      <c r="I298" t="s">
        <v>581</v>
      </c>
    </row>
    <row r="299" spans="1:12" ht="15.75" x14ac:dyDescent="0.25">
      <c r="A299" s="9">
        <v>42231</v>
      </c>
      <c r="B299" s="10">
        <v>199955</v>
      </c>
      <c r="C299" s="10">
        <v>87131</v>
      </c>
      <c r="D299" s="10">
        <v>0</v>
      </c>
      <c r="E299" s="11">
        <f t="shared" si="14"/>
        <v>112824</v>
      </c>
      <c r="F299" s="15">
        <f>31320+60000+21504.5</f>
        <v>112824.5</v>
      </c>
      <c r="G299" s="25" t="s">
        <v>9</v>
      </c>
      <c r="H299" s="15">
        <f t="shared" si="15"/>
        <v>0.5</v>
      </c>
      <c r="I299" t="s">
        <v>581</v>
      </c>
    </row>
    <row r="300" spans="1:12" ht="15.75" x14ac:dyDescent="0.25">
      <c r="A300" s="9">
        <v>42232</v>
      </c>
      <c r="B300" s="10">
        <v>135950</v>
      </c>
      <c r="C300" s="10">
        <v>0</v>
      </c>
      <c r="D300" s="10">
        <v>100</v>
      </c>
      <c r="E300" s="11">
        <f t="shared" si="14"/>
        <v>135850</v>
      </c>
      <c r="F300" s="15">
        <f>26410+9000+3636+33000+40000+23804</f>
        <v>135850</v>
      </c>
      <c r="G300" s="25" t="s">
        <v>9</v>
      </c>
      <c r="H300" s="15">
        <f t="shared" si="15"/>
        <v>0</v>
      </c>
      <c r="I300" t="s">
        <v>581</v>
      </c>
    </row>
    <row r="301" spans="1:12" ht="15.75" x14ac:dyDescent="0.25">
      <c r="A301" s="9">
        <v>42233</v>
      </c>
      <c r="B301" s="10">
        <v>218969.5</v>
      </c>
      <c r="C301" s="10">
        <v>7968</v>
      </c>
      <c r="D301" s="10">
        <v>10000</v>
      </c>
      <c r="E301" s="11">
        <f t="shared" si="14"/>
        <v>201001.5</v>
      </c>
      <c r="F301" s="15">
        <f>30000+52000+30000+31001.5+58000</f>
        <v>201001.5</v>
      </c>
      <c r="G301" s="25" t="s">
        <v>9</v>
      </c>
      <c r="H301" s="15">
        <f t="shared" si="15"/>
        <v>0</v>
      </c>
      <c r="I301" t="s">
        <v>581</v>
      </c>
      <c r="J301" s="4"/>
      <c r="K301" s="4"/>
      <c r="L301" s="4"/>
    </row>
    <row r="302" spans="1:12" ht="15.75" x14ac:dyDescent="0.25">
      <c r="A302" s="9">
        <v>42234</v>
      </c>
      <c r="B302" s="10">
        <v>167123</v>
      </c>
      <c r="C302" s="10">
        <v>8428</v>
      </c>
      <c r="D302" s="10">
        <v>0</v>
      </c>
      <c r="E302" s="11">
        <f t="shared" si="14"/>
        <v>158695</v>
      </c>
      <c r="F302" s="15">
        <f>16655+14390+65000+40000+22650</f>
        <v>158695</v>
      </c>
      <c r="G302" s="25" t="s">
        <v>9</v>
      </c>
      <c r="H302" s="15">
        <f t="shared" si="15"/>
        <v>0</v>
      </c>
      <c r="I302" t="s">
        <v>581</v>
      </c>
    </row>
    <row r="303" spans="1:12" ht="15.75" x14ac:dyDescent="0.25">
      <c r="A303" s="9">
        <v>42235</v>
      </c>
      <c r="B303" s="10">
        <v>114367.5</v>
      </c>
      <c r="C303" s="10">
        <v>9677</v>
      </c>
      <c r="D303" s="10">
        <v>0</v>
      </c>
      <c r="E303" s="11">
        <f t="shared" si="14"/>
        <v>104690.5</v>
      </c>
      <c r="F303" s="15">
        <f>30000+40000+34690.5</f>
        <v>104690.5</v>
      </c>
      <c r="G303" s="25" t="s">
        <v>9</v>
      </c>
      <c r="H303" s="15">
        <f t="shared" si="15"/>
        <v>0</v>
      </c>
      <c r="I303" t="s">
        <v>581</v>
      </c>
    </row>
    <row r="304" spans="1:12" ht="15.75" x14ac:dyDescent="0.25">
      <c r="A304" s="9">
        <v>42236</v>
      </c>
      <c r="B304" s="10">
        <v>146952.5</v>
      </c>
      <c r="C304" s="10">
        <v>38179.879999999997</v>
      </c>
      <c r="D304" s="10">
        <v>0</v>
      </c>
      <c r="E304" s="11">
        <f t="shared" si="14"/>
        <v>108772.62</v>
      </c>
      <c r="F304" s="15">
        <f>20000+50000+38773</f>
        <v>108773</v>
      </c>
      <c r="G304" s="25" t="s">
        <v>9</v>
      </c>
      <c r="H304" s="15">
        <f t="shared" si="15"/>
        <v>0.38000000000465661</v>
      </c>
      <c r="I304" t="s">
        <v>581</v>
      </c>
    </row>
    <row r="305" spans="1:10" ht="15.75" x14ac:dyDescent="0.25">
      <c r="A305" s="9">
        <v>42237</v>
      </c>
      <c r="B305" s="10">
        <v>230067</v>
      </c>
      <c r="C305" s="10">
        <v>69795.5</v>
      </c>
      <c r="D305" s="10">
        <v>0</v>
      </c>
      <c r="E305" s="11">
        <f t="shared" si="14"/>
        <v>160271.5</v>
      </c>
      <c r="F305" s="15">
        <f>45000+25000+37000+23832+29440</f>
        <v>160272</v>
      </c>
      <c r="G305" s="25" t="s">
        <v>9</v>
      </c>
      <c r="H305" s="15">
        <f t="shared" si="15"/>
        <v>0.5</v>
      </c>
      <c r="I305" t="s">
        <v>581</v>
      </c>
    </row>
    <row r="306" spans="1:10" ht="15.75" x14ac:dyDescent="0.25">
      <c r="A306" s="9">
        <v>42238</v>
      </c>
      <c r="B306" s="10">
        <v>97840.5</v>
      </c>
      <c r="C306" s="10">
        <v>11519</v>
      </c>
      <c r="D306" s="10">
        <v>70</v>
      </c>
      <c r="E306" s="11">
        <f t="shared" si="14"/>
        <v>86251.5</v>
      </c>
      <c r="F306" s="15">
        <f>35000+30000+21251.5</f>
        <v>86251.5</v>
      </c>
      <c r="G306" s="25" t="s">
        <v>9</v>
      </c>
      <c r="H306" s="15">
        <f t="shared" si="15"/>
        <v>0</v>
      </c>
      <c r="I306" t="s">
        <v>581</v>
      </c>
    </row>
    <row r="307" spans="1:10" ht="15.75" x14ac:dyDescent="0.25">
      <c r="A307" s="9">
        <v>42239</v>
      </c>
      <c r="B307" s="10">
        <v>77848</v>
      </c>
      <c r="C307" s="10">
        <v>1955</v>
      </c>
      <c r="D307" s="10">
        <v>110</v>
      </c>
      <c r="E307" s="11">
        <f t="shared" si="14"/>
        <v>75783</v>
      </c>
      <c r="F307" s="15">
        <f>50000+25783</f>
        <v>75783</v>
      </c>
      <c r="G307" s="25" t="s">
        <v>9</v>
      </c>
      <c r="H307" s="15">
        <f t="shared" si="15"/>
        <v>0</v>
      </c>
      <c r="I307" t="s">
        <v>581</v>
      </c>
    </row>
    <row r="308" spans="1:10" ht="15.75" x14ac:dyDescent="0.25">
      <c r="A308" s="9">
        <v>42240</v>
      </c>
      <c r="B308" s="10">
        <v>263841.5</v>
      </c>
      <c r="C308" s="10">
        <v>4816</v>
      </c>
      <c r="D308" s="10">
        <v>0</v>
      </c>
      <c r="E308" s="11">
        <f t="shared" si="14"/>
        <v>259025.5</v>
      </c>
      <c r="F308" s="15">
        <f>68000+54000+50000+50000+6058+30967.5</f>
        <v>259025.5</v>
      </c>
      <c r="G308" s="25" t="s">
        <v>9</v>
      </c>
      <c r="H308" s="15">
        <f t="shared" si="15"/>
        <v>0</v>
      </c>
      <c r="I308" t="s">
        <v>581</v>
      </c>
    </row>
    <row r="309" spans="1:10" ht="15.75" x14ac:dyDescent="0.25">
      <c r="A309" s="9">
        <v>42241</v>
      </c>
      <c r="B309" s="10">
        <v>100262.5</v>
      </c>
      <c r="C309" s="10">
        <v>25401.8</v>
      </c>
      <c r="D309" s="10">
        <v>0</v>
      </c>
      <c r="E309" s="11">
        <f t="shared" si="14"/>
        <v>74860.7</v>
      </c>
      <c r="F309" s="15">
        <f>40000+34861</f>
        <v>74861</v>
      </c>
      <c r="G309" s="25" t="s">
        <v>9</v>
      </c>
      <c r="H309" s="15">
        <f t="shared" si="15"/>
        <v>0.30000000000291038</v>
      </c>
      <c r="I309" t="s">
        <v>581</v>
      </c>
      <c r="J309" s="208" t="s">
        <v>584</v>
      </c>
    </row>
    <row r="310" spans="1:10" ht="15.75" x14ac:dyDescent="0.25">
      <c r="A310" s="9">
        <v>42242</v>
      </c>
      <c r="B310" s="10">
        <v>144852</v>
      </c>
      <c r="C310" s="10">
        <v>5791</v>
      </c>
      <c r="D310" s="10">
        <v>0</v>
      </c>
      <c r="E310" s="11">
        <f t="shared" si="14"/>
        <v>139061</v>
      </c>
      <c r="F310" s="15">
        <f>12854+6057+70000+50150</f>
        <v>139061</v>
      </c>
      <c r="G310" s="25" t="s">
        <v>9</v>
      </c>
      <c r="H310" s="15">
        <f t="shared" si="15"/>
        <v>0</v>
      </c>
      <c r="I310" t="s">
        <v>581</v>
      </c>
    </row>
    <row r="311" spans="1:10" ht="15.75" x14ac:dyDescent="0.25">
      <c r="A311" s="9">
        <v>42243</v>
      </c>
      <c r="B311" s="10">
        <v>158138.5</v>
      </c>
      <c r="C311" s="10">
        <v>1682</v>
      </c>
      <c r="D311" s="10">
        <v>27</v>
      </c>
      <c r="E311" s="11">
        <f t="shared" si="14"/>
        <v>156429.5</v>
      </c>
      <c r="F311" s="15">
        <f>15361+9592+54000+50000+27476.5</f>
        <v>156429.5</v>
      </c>
      <c r="G311" s="25" t="s">
        <v>9</v>
      </c>
      <c r="H311" s="15">
        <f t="shared" si="15"/>
        <v>0</v>
      </c>
      <c r="I311" t="s">
        <v>581</v>
      </c>
    </row>
    <row r="312" spans="1:10" ht="15.75" x14ac:dyDescent="0.25">
      <c r="A312" s="9">
        <v>42244</v>
      </c>
      <c r="B312" s="10">
        <v>139984</v>
      </c>
      <c r="C312" s="10">
        <v>7450</v>
      </c>
      <c r="D312" s="10">
        <v>0</v>
      </c>
      <c r="E312" s="11">
        <f t="shared" si="14"/>
        <v>132534</v>
      </c>
      <c r="F312" s="15">
        <f>83500+30000+19034</f>
        <v>132534</v>
      </c>
      <c r="G312" s="25" t="s">
        <v>9</v>
      </c>
      <c r="H312" s="15">
        <f t="shared" si="15"/>
        <v>0</v>
      </c>
      <c r="I312" t="s">
        <v>581</v>
      </c>
    </row>
    <row r="313" spans="1:10" ht="15.75" x14ac:dyDescent="0.25">
      <c r="A313" s="9">
        <v>42245</v>
      </c>
      <c r="B313" s="10">
        <v>248622.7</v>
      </c>
      <c r="C313" s="10">
        <v>25442</v>
      </c>
      <c r="D313" s="10">
        <v>360</v>
      </c>
      <c r="E313" s="11">
        <f t="shared" si="14"/>
        <v>222820.7</v>
      </c>
      <c r="F313" s="15">
        <f>45000+50000+58000+40000+29821</f>
        <v>222821</v>
      </c>
      <c r="G313" s="25" t="s">
        <v>9</v>
      </c>
      <c r="H313" s="15">
        <f t="shared" si="15"/>
        <v>0.29999999998835847</v>
      </c>
      <c r="I313" t="s">
        <v>581</v>
      </c>
    </row>
    <row r="314" spans="1:10" ht="15.75" x14ac:dyDescent="0.25">
      <c r="A314" s="9">
        <v>42246</v>
      </c>
      <c r="B314" s="10">
        <v>117905.8</v>
      </c>
      <c r="C314" s="10">
        <v>19237.5</v>
      </c>
      <c r="D314" s="10">
        <v>100</v>
      </c>
      <c r="E314" s="11">
        <f t="shared" si="14"/>
        <v>98568.3</v>
      </c>
      <c r="F314" s="15">
        <f>50000+25000+23094.5</f>
        <v>98094.5</v>
      </c>
      <c r="G314" s="25" t="s">
        <v>9</v>
      </c>
      <c r="H314" s="15">
        <f t="shared" si="15"/>
        <v>-473.80000000000291</v>
      </c>
      <c r="I314" t="s">
        <v>585</v>
      </c>
    </row>
    <row r="315" spans="1:10" ht="15.75" x14ac:dyDescent="0.25">
      <c r="A315" s="9">
        <v>42247</v>
      </c>
      <c r="B315" s="10">
        <v>132816.15</v>
      </c>
      <c r="C315" s="10">
        <v>0</v>
      </c>
      <c r="D315" s="10">
        <v>250</v>
      </c>
      <c r="E315" s="11">
        <f t="shared" si="14"/>
        <v>132566.15</v>
      </c>
      <c r="F315" s="15">
        <f>28000+49273+28544+26749</f>
        <v>132566</v>
      </c>
      <c r="G315" s="25" t="s">
        <v>9</v>
      </c>
      <c r="H315" s="15">
        <f t="shared" si="15"/>
        <v>-0.14999999999417923</v>
      </c>
      <c r="I315" t="s">
        <v>581</v>
      </c>
    </row>
    <row r="316" spans="1:10" ht="15.75" x14ac:dyDescent="0.25">
      <c r="A316" s="9"/>
      <c r="B316" s="10"/>
      <c r="C316" s="10"/>
      <c r="D316" s="10"/>
      <c r="E316" s="11">
        <f t="shared" si="14"/>
        <v>0</v>
      </c>
      <c r="F316" s="15"/>
      <c r="G316" s="25"/>
      <c r="H316" s="15">
        <f t="shared" si="15"/>
        <v>0</v>
      </c>
    </row>
    <row r="317" spans="1:10" ht="15.75" x14ac:dyDescent="0.25">
      <c r="A317" s="14"/>
      <c r="B317" s="10"/>
      <c r="C317" s="10"/>
      <c r="D317" s="10"/>
      <c r="E317" s="11">
        <f t="shared" si="14"/>
        <v>0</v>
      </c>
      <c r="F317" s="15"/>
      <c r="G317" s="189" t="s">
        <v>9</v>
      </c>
      <c r="H317" s="4"/>
    </row>
    <row r="318" spans="1:10" ht="15.75" x14ac:dyDescent="0.25">
      <c r="A318" s="14"/>
      <c r="B318" s="13"/>
      <c r="C318" s="10"/>
      <c r="D318" s="10"/>
      <c r="E318" s="11">
        <f t="shared" si="14"/>
        <v>0</v>
      </c>
      <c r="F318" s="15"/>
      <c r="G318" s="4"/>
      <c r="H318" s="4"/>
    </row>
    <row r="319" spans="1:10" ht="15.75" x14ac:dyDescent="0.25">
      <c r="A319" s="14"/>
      <c r="B319" s="10"/>
      <c r="C319" s="10"/>
      <c r="D319" s="10"/>
      <c r="E319" s="11">
        <f t="shared" si="14"/>
        <v>0</v>
      </c>
      <c r="F319" s="15"/>
      <c r="G319" s="4"/>
      <c r="H319" s="4"/>
    </row>
    <row r="320" spans="1:10" ht="15.75" x14ac:dyDescent="0.25">
      <c r="A320" s="14"/>
      <c r="B320" s="10">
        <f>SUM(B285:B319)</f>
        <v>4477510.6500000004</v>
      </c>
      <c r="C320" s="10"/>
      <c r="D320" s="10">
        <f>SUM(D285:D319)</f>
        <v>12431</v>
      </c>
      <c r="E320" s="11">
        <f t="shared" si="14"/>
        <v>4465079.6500000004</v>
      </c>
      <c r="F320" s="15"/>
      <c r="G320" s="4"/>
      <c r="H320" s="4"/>
    </row>
    <row r="322" spans="1:8" ht="18.75" x14ac:dyDescent="0.3">
      <c r="B322" s="275" t="s">
        <v>254</v>
      </c>
      <c r="C322" s="275"/>
      <c r="D322" s="275"/>
      <c r="E322" s="275"/>
      <c r="F322" s="275"/>
    </row>
    <row r="324" spans="1:8" ht="16.5" thickBot="1" x14ac:dyDescent="0.3">
      <c r="A324" s="19" t="s">
        <v>0</v>
      </c>
      <c r="B324" s="20" t="s">
        <v>1</v>
      </c>
      <c r="C324" s="8" t="s">
        <v>3</v>
      </c>
      <c r="D324" s="21" t="s">
        <v>2</v>
      </c>
      <c r="E324" s="22" t="s">
        <v>4</v>
      </c>
      <c r="F324" s="27" t="s">
        <v>8</v>
      </c>
      <c r="G324" s="4"/>
      <c r="H324" s="4"/>
    </row>
    <row r="325" spans="1:8" ht="16.5" thickTop="1" x14ac:dyDescent="0.25">
      <c r="A325" s="9">
        <v>42248</v>
      </c>
      <c r="B325" s="10">
        <v>83014</v>
      </c>
      <c r="C325" s="10">
        <v>804</v>
      </c>
      <c r="D325" s="10">
        <v>0</v>
      </c>
      <c r="E325" s="11">
        <f>B325-C325-D325</f>
        <v>82210</v>
      </c>
      <c r="F325" s="15">
        <v>82210</v>
      </c>
      <c r="G325" s="25" t="s">
        <v>9</v>
      </c>
      <c r="H325" s="15">
        <f>F325-E325</f>
        <v>0</v>
      </c>
    </row>
    <row r="326" spans="1:8" ht="15.75" x14ac:dyDescent="0.25">
      <c r="A326" s="9">
        <v>42249</v>
      </c>
      <c r="B326" s="10">
        <v>152537.19</v>
      </c>
      <c r="C326" s="10">
        <v>4272</v>
      </c>
      <c r="D326" s="10">
        <v>60</v>
      </c>
      <c r="E326" s="11">
        <f t="shared" ref="E326:E360" si="16">B326-C326-D326</f>
        <v>148205.19</v>
      </c>
      <c r="F326" s="15">
        <f>30000+32000+40000+7866+2562+2020+33757</f>
        <v>148205</v>
      </c>
      <c r="G326" s="25" t="s">
        <v>9</v>
      </c>
      <c r="H326" s="15">
        <f t="shared" ref="H326:H356" si="17">F326-E326</f>
        <v>-0.19000000000232831</v>
      </c>
    </row>
    <row r="327" spans="1:8" ht="15.75" x14ac:dyDescent="0.25">
      <c r="A327" s="9">
        <v>42250</v>
      </c>
      <c r="B327" s="10">
        <v>131791.9</v>
      </c>
      <c r="C327" s="10">
        <v>5760</v>
      </c>
      <c r="D327" s="10">
        <v>10</v>
      </c>
      <c r="E327" s="11">
        <f t="shared" si="16"/>
        <v>126021.9</v>
      </c>
      <c r="F327" s="15">
        <f>42000+30000+31000+23022</f>
        <v>126022</v>
      </c>
      <c r="G327" s="25" t="s">
        <v>9</v>
      </c>
      <c r="H327" s="15">
        <f t="shared" si="17"/>
        <v>0.10000000000582077</v>
      </c>
    </row>
    <row r="328" spans="1:8" ht="15.75" x14ac:dyDescent="0.25">
      <c r="A328" s="9">
        <v>42251</v>
      </c>
      <c r="B328" s="10">
        <v>140565.70000000001</v>
      </c>
      <c r="C328" s="10">
        <v>11746</v>
      </c>
      <c r="D328" s="10">
        <v>0</v>
      </c>
      <c r="E328" s="11">
        <f t="shared" si="16"/>
        <v>128819.70000000001</v>
      </c>
      <c r="F328" s="15">
        <f>902.5+14882+50000+55000+8035</f>
        <v>128819.5</v>
      </c>
      <c r="G328" s="25" t="s">
        <v>9</v>
      </c>
      <c r="H328" s="15">
        <f t="shared" si="17"/>
        <v>-0.20000000001164153</v>
      </c>
    </row>
    <row r="329" spans="1:8" ht="15.75" x14ac:dyDescent="0.25">
      <c r="A329" s="9">
        <v>42252</v>
      </c>
      <c r="B329" s="10">
        <v>229525.2</v>
      </c>
      <c r="C329" s="10">
        <v>0</v>
      </c>
      <c r="D329" s="10">
        <v>250</v>
      </c>
      <c r="E329" s="11">
        <f t="shared" si="16"/>
        <v>229275.2</v>
      </c>
      <c r="F329" s="15">
        <f>28000+28000+70000+50000+11580+41695</f>
        <v>229275</v>
      </c>
      <c r="G329" s="25" t="s">
        <v>9</v>
      </c>
      <c r="H329" s="15">
        <f t="shared" si="17"/>
        <v>-0.20000000001164153</v>
      </c>
    </row>
    <row r="330" spans="1:8" ht="15.75" x14ac:dyDescent="0.25">
      <c r="A330" s="9">
        <v>42253</v>
      </c>
      <c r="B330" s="10">
        <v>110264</v>
      </c>
      <c r="C330" s="10">
        <v>0</v>
      </c>
      <c r="D330" s="10">
        <v>100</v>
      </c>
      <c r="E330" s="11">
        <f t="shared" si="16"/>
        <v>110164</v>
      </c>
      <c r="F330" s="15">
        <f>30000+40000+40164</f>
        <v>110164</v>
      </c>
      <c r="G330" s="25" t="s">
        <v>9</v>
      </c>
      <c r="H330" s="15">
        <f t="shared" si="17"/>
        <v>0</v>
      </c>
    </row>
    <row r="331" spans="1:8" ht="15.75" x14ac:dyDescent="0.25">
      <c r="A331" s="9">
        <v>42254</v>
      </c>
      <c r="B331" s="10">
        <v>245584.8</v>
      </c>
      <c r="C331" s="10">
        <v>27897.72</v>
      </c>
      <c r="D331" s="10">
        <v>0</v>
      </c>
      <c r="E331" s="11">
        <f t="shared" si="16"/>
        <v>217687.08</v>
      </c>
      <c r="F331" s="15">
        <f>84002+26011.5+10378+32295.5+65000</f>
        <v>217687</v>
      </c>
      <c r="G331" s="25" t="s">
        <v>9</v>
      </c>
      <c r="H331" s="15">
        <f t="shared" si="17"/>
        <v>-7.9999999987194315E-2</v>
      </c>
    </row>
    <row r="332" spans="1:8" ht="15.75" x14ac:dyDescent="0.25">
      <c r="A332" s="9">
        <v>42255</v>
      </c>
      <c r="B332" s="10">
        <v>84834</v>
      </c>
      <c r="C332" s="10">
        <v>6308</v>
      </c>
      <c r="D332" s="10">
        <v>0</v>
      </c>
      <c r="E332" s="11">
        <f t="shared" si="16"/>
        <v>78526</v>
      </c>
      <c r="F332" s="15">
        <f>78526</f>
        <v>78526</v>
      </c>
      <c r="G332" s="25" t="s">
        <v>9</v>
      </c>
      <c r="H332" s="15">
        <f t="shared" si="17"/>
        <v>0</v>
      </c>
    </row>
    <row r="333" spans="1:8" ht="15.75" x14ac:dyDescent="0.25">
      <c r="A333" s="9">
        <v>42256</v>
      </c>
      <c r="B333" s="10">
        <v>145499</v>
      </c>
      <c r="C333" s="10">
        <v>2348</v>
      </c>
      <c r="D333" s="10">
        <v>250</v>
      </c>
      <c r="E333" s="11">
        <f t="shared" si="16"/>
        <v>142901</v>
      </c>
      <c r="F333" s="15">
        <f>66000+40000+36901</f>
        <v>142901</v>
      </c>
      <c r="G333" s="25" t="s">
        <v>9</v>
      </c>
      <c r="H333" s="15">
        <f t="shared" si="17"/>
        <v>0</v>
      </c>
    </row>
    <row r="334" spans="1:8" ht="15.75" x14ac:dyDescent="0.25">
      <c r="A334" s="9">
        <v>42257</v>
      </c>
      <c r="B334" s="10">
        <v>130398</v>
      </c>
      <c r="C334" s="10">
        <v>1872</v>
      </c>
      <c r="D334" s="10">
        <v>0</v>
      </c>
      <c r="E334" s="11">
        <f t="shared" si="16"/>
        <v>128526</v>
      </c>
      <c r="F334" s="15">
        <f>14028+43000+50000+21498</f>
        <v>128526</v>
      </c>
      <c r="G334" s="25" t="s">
        <v>9</v>
      </c>
      <c r="H334" s="15">
        <f t="shared" si="17"/>
        <v>0</v>
      </c>
    </row>
    <row r="335" spans="1:8" ht="15.75" x14ac:dyDescent="0.25">
      <c r="A335" s="9">
        <v>42258</v>
      </c>
      <c r="B335" s="10">
        <v>147322.29999999999</v>
      </c>
      <c r="C335" s="10">
        <v>948.98</v>
      </c>
      <c r="D335" s="10">
        <v>800</v>
      </c>
      <c r="E335" s="11">
        <f t="shared" si="16"/>
        <v>145573.31999999998</v>
      </c>
      <c r="F335" s="15">
        <f>880+63000+40000+41693</f>
        <v>145573</v>
      </c>
      <c r="G335" s="25" t="s">
        <v>9</v>
      </c>
      <c r="H335" s="15">
        <f t="shared" si="17"/>
        <v>-0.31999999997788109</v>
      </c>
    </row>
    <row r="336" spans="1:8" ht="15.75" x14ac:dyDescent="0.25">
      <c r="A336" s="9">
        <v>42259</v>
      </c>
      <c r="B336" s="10">
        <v>109152.9</v>
      </c>
      <c r="C336" s="10">
        <v>12408.4</v>
      </c>
      <c r="D336" s="10">
        <v>160</v>
      </c>
      <c r="E336" s="11">
        <f t="shared" si="16"/>
        <v>96584.5</v>
      </c>
      <c r="F336" s="15">
        <f>50000+32721.5+13863</f>
        <v>96584.5</v>
      </c>
      <c r="G336" s="25" t="s">
        <v>9</v>
      </c>
      <c r="H336" s="15">
        <f t="shared" si="17"/>
        <v>0</v>
      </c>
    </row>
    <row r="337" spans="1:10" ht="15.75" x14ac:dyDescent="0.25">
      <c r="A337" s="9">
        <v>42260</v>
      </c>
      <c r="B337" s="10">
        <v>119296</v>
      </c>
      <c r="C337" s="10">
        <v>7962.4</v>
      </c>
      <c r="D337" s="10">
        <v>100</v>
      </c>
      <c r="E337" s="11">
        <f t="shared" si="16"/>
        <v>111233.60000000001</v>
      </c>
      <c r="F337" s="15">
        <f>54000+25000+32233.5</f>
        <v>111233.5</v>
      </c>
      <c r="G337" s="25" t="s">
        <v>9</v>
      </c>
      <c r="H337" s="15">
        <f t="shared" si="17"/>
        <v>-0.10000000000582077</v>
      </c>
    </row>
    <row r="338" spans="1:10" ht="15.75" x14ac:dyDescent="0.25">
      <c r="A338" s="9">
        <v>42261</v>
      </c>
      <c r="B338" s="10">
        <v>210835.7</v>
      </c>
      <c r="C338" s="10">
        <v>12153</v>
      </c>
      <c r="D338" s="10">
        <v>0</v>
      </c>
      <c r="E338" s="11">
        <f t="shared" si="16"/>
        <v>198682.7</v>
      </c>
      <c r="F338" s="15">
        <f>25000+30000+57000+35450+15960+29160+5913+200</f>
        <v>198683</v>
      </c>
      <c r="G338" s="25" t="s">
        <v>9</v>
      </c>
      <c r="H338" s="15">
        <f t="shared" si="17"/>
        <v>0.29999999998835847</v>
      </c>
      <c r="I338" t="s">
        <v>665</v>
      </c>
      <c r="J338" s="4"/>
    </row>
    <row r="339" spans="1:10" ht="15.75" x14ac:dyDescent="0.25">
      <c r="A339" s="9">
        <v>42262</v>
      </c>
      <c r="B339" s="10">
        <v>137112.4</v>
      </c>
      <c r="C339" s="10">
        <v>22176.5</v>
      </c>
      <c r="D339" s="10">
        <v>0</v>
      </c>
      <c r="E339" s="11">
        <f t="shared" si="16"/>
        <v>114935.9</v>
      </c>
      <c r="F339" s="15">
        <f>50000+50000+14936</f>
        <v>114936</v>
      </c>
      <c r="G339" s="25" t="s">
        <v>9</v>
      </c>
      <c r="H339" s="15">
        <f t="shared" si="17"/>
        <v>0.10000000000582077</v>
      </c>
      <c r="J339" s="4"/>
    </row>
    <row r="340" spans="1:10" ht="15.75" x14ac:dyDescent="0.25">
      <c r="A340" s="9">
        <v>42263</v>
      </c>
      <c r="B340" s="10">
        <v>108588</v>
      </c>
      <c r="C340" s="10">
        <v>0</v>
      </c>
      <c r="D340" s="10">
        <v>0</v>
      </c>
      <c r="E340" s="11">
        <f t="shared" si="16"/>
        <v>108588</v>
      </c>
      <c r="F340" s="15">
        <f>25000+45000+38588</f>
        <v>108588</v>
      </c>
      <c r="G340" s="25" t="s">
        <v>9</v>
      </c>
      <c r="H340" s="15">
        <f t="shared" si="17"/>
        <v>0</v>
      </c>
      <c r="I340" t="s">
        <v>666</v>
      </c>
      <c r="J340" s="4"/>
    </row>
    <row r="341" spans="1:10" ht="15.75" x14ac:dyDescent="0.25">
      <c r="A341" s="9">
        <v>42264</v>
      </c>
      <c r="B341" s="10">
        <v>258597.1</v>
      </c>
      <c r="C341" s="10">
        <v>35351.699999999997</v>
      </c>
      <c r="D341" s="10">
        <v>0</v>
      </c>
      <c r="E341" s="11">
        <f t="shared" si="16"/>
        <v>223245.40000000002</v>
      </c>
      <c r="F341" s="15">
        <f>33402+45000+60000+50000+34843.5</f>
        <v>223245.5</v>
      </c>
      <c r="G341" s="25" t="s">
        <v>9</v>
      </c>
      <c r="H341" s="15">
        <f t="shared" si="17"/>
        <v>9.9999999976716936E-2</v>
      </c>
      <c r="I341" t="s">
        <v>668</v>
      </c>
      <c r="J341" s="4"/>
    </row>
    <row r="342" spans="1:10" ht="15.75" x14ac:dyDescent="0.25">
      <c r="A342" s="9">
        <v>42265</v>
      </c>
      <c r="B342" s="10">
        <v>94016.3</v>
      </c>
      <c r="C342" s="10">
        <v>2985</v>
      </c>
      <c r="D342" s="10">
        <v>0</v>
      </c>
      <c r="E342" s="11">
        <f t="shared" si="16"/>
        <v>91031.3</v>
      </c>
      <c r="F342" s="15">
        <f>58200+32800</f>
        <v>91000</v>
      </c>
      <c r="G342" s="42"/>
      <c r="H342" s="15">
        <f t="shared" si="17"/>
        <v>-31.30000000000291</v>
      </c>
      <c r="I342" t="s">
        <v>664</v>
      </c>
      <c r="J342" s="39" t="s">
        <v>667</v>
      </c>
    </row>
    <row r="343" spans="1:10" ht="15.75" x14ac:dyDescent="0.25">
      <c r="A343" s="9">
        <v>42266</v>
      </c>
      <c r="B343" s="10">
        <v>151200.29999999999</v>
      </c>
      <c r="C343" s="10">
        <v>29670.080000000002</v>
      </c>
      <c r="D343" s="10">
        <v>0</v>
      </c>
      <c r="E343" s="11">
        <f t="shared" si="16"/>
        <v>121530.21999999999</v>
      </c>
      <c r="F343" s="15">
        <f>49000+41000+31530</f>
        <v>121530</v>
      </c>
      <c r="G343" s="25" t="s">
        <v>9</v>
      </c>
      <c r="H343" s="15">
        <f t="shared" si="17"/>
        <v>-0.21999999998661224</v>
      </c>
      <c r="I343" t="s">
        <v>669</v>
      </c>
    </row>
    <row r="344" spans="1:10" ht="15.75" x14ac:dyDescent="0.25">
      <c r="A344" s="9">
        <v>42267</v>
      </c>
      <c r="B344" s="10">
        <v>110741.75</v>
      </c>
      <c r="C344" s="10">
        <v>9579</v>
      </c>
      <c r="D344" s="10">
        <v>100</v>
      </c>
      <c r="E344" s="11">
        <f t="shared" si="16"/>
        <v>101062.75</v>
      </c>
      <c r="F344" s="15">
        <f>64000+37063</f>
        <v>101063</v>
      </c>
      <c r="G344" s="25" t="s">
        <v>9</v>
      </c>
      <c r="H344" s="15">
        <f t="shared" si="17"/>
        <v>0.25</v>
      </c>
    </row>
    <row r="345" spans="1:10" ht="15.75" x14ac:dyDescent="0.25">
      <c r="A345" s="9">
        <v>42268</v>
      </c>
      <c r="B345" s="10">
        <v>137327.34</v>
      </c>
      <c r="C345" s="10">
        <v>0</v>
      </c>
      <c r="D345" s="10">
        <v>0</v>
      </c>
      <c r="E345" s="11">
        <f t="shared" si="16"/>
        <v>137327.34</v>
      </c>
      <c r="F345" s="15">
        <f>55000+45000+37327</f>
        <v>137327</v>
      </c>
      <c r="G345" s="25" t="s">
        <v>9</v>
      </c>
      <c r="H345" s="15">
        <f t="shared" si="17"/>
        <v>-0.33999999999650754</v>
      </c>
      <c r="J345" s="4"/>
    </row>
    <row r="346" spans="1:10" ht="15.75" x14ac:dyDescent="0.25">
      <c r="A346" s="9">
        <v>42269</v>
      </c>
      <c r="B346" s="10">
        <v>131961.26999999999</v>
      </c>
      <c r="C346" s="10">
        <v>1259</v>
      </c>
      <c r="D346" s="10">
        <v>0</v>
      </c>
      <c r="E346" s="11">
        <f t="shared" si="16"/>
        <v>130702.26999999999</v>
      </c>
      <c r="F346" s="15">
        <f>981.5+24150+6072+40000+20000+39499</f>
        <v>130702.5</v>
      </c>
      <c r="G346" s="25" t="s">
        <v>9</v>
      </c>
      <c r="H346" s="15">
        <f t="shared" si="17"/>
        <v>0.23000000001047738</v>
      </c>
      <c r="J346" s="4"/>
    </row>
    <row r="347" spans="1:10" ht="15.75" x14ac:dyDescent="0.25">
      <c r="A347" s="9">
        <v>42270</v>
      </c>
      <c r="B347" s="10">
        <v>103032.1</v>
      </c>
      <c r="C347" s="10">
        <v>3258</v>
      </c>
      <c r="D347" s="10">
        <v>175.3</v>
      </c>
      <c r="E347" s="11">
        <f t="shared" si="16"/>
        <v>99598.8</v>
      </c>
      <c r="F347" s="15">
        <f>20000+42000+37599</f>
        <v>99599</v>
      </c>
      <c r="G347" s="25" t="s">
        <v>9</v>
      </c>
      <c r="H347" s="15">
        <f t="shared" si="17"/>
        <v>0.19999999999708962</v>
      </c>
      <c r="J347" s="4"/>
    </row>
    <row r="348" spans="1:10" ht="15.75" x14ac:dyDescent="0.25">
      <c r="A348" s="9">
        <v>42271</v>
      </c>
      <c r="B348" s="10">
        <v>134049.29999999999</v>
      </c>
      <c r="C348" s="10">
        <v>11971.5</v>
      </c>
      <c r="D348" s="10">
        <v>10000</v>
      </c>
      <c r="E348" s="11">
        <f t="shared" si="16"/>
        <v>112077.79999999999</v>
      </c>
      <c r="F348" s="15">
        <f>7502+27576+45000+32000</f>
        <v>112078</v>
      </c>
      <c r="G348" s="25" t="s">
        <v>9</v>
      </c>
      <c r="H348" s="15">
        <f t="shared" si="17"/>
        <v>0.20000000001164153</v>
      </c>
    </row>
    <row r="349" spans="1:10" ht="15.75" x14ac:dyDescent="0.25">
      <c r="A349" s="9">
        <v>42272</v>
      </c>
      <c r="B349" s="10">
        <v>181661.7</v>
      </c>
      <c r="C349" s="10">
        <v>0</v>
      </c>
      <c r="D349" s="10">
        <v>2116</v>
      </c>
      <c r="E349" s="11">
        <f t="shared" si="16"/>
        <v>179545.7</v>
      </c>
      <c r="F349" s="15">
        <f>20000+65000+50000+44546</f>
        <v>179546</v>
      </c>
      <c r="G349" s="25" t="s">
        <v>9</v>
      </c>
      <c r="H349" s="15">
        <f t="shared" si="17"/>
        <v>0.29999999998835847</v>
      </c>
      <c r="J349" s="4"/>
    </row>
    <row r="350" spans="1:10" ht="15.75" x14ac:dyDescent="0.25">
      <c r="A350" s="9">
        <v>42273</v>
      </c>
      <c r="B350" s="10">
        <v>134812.6</v>
      </c>
      <c r="C350" s="10">
        <v>3440</v>
      </c>
      <c r="D350" s="10">
        <v>0</v>
      </c>
      <c r="E350" s="11">
        <f t="shared" si="16"/>
        <v>131372.6</v>
      </c>
      <c r="F350" s="15">
        <f>80000+30000+21372.5</f>
        <v>131372.5</v>
      </c>
      <c r="G350" s="25" t="s">
        <v>9</v>
      </c>
      <c r="H350" s="15">
        <f t="shared" si="17"/>
        <v>-0.10000000000582077</v>
      </c>
      <c r="J350" s="4"/>
    </row>
    <row r="351" spans="1:10" ht="15.75" x14ac:dyDescent="0.25">
      <c r="A351" s="9">
        <v>42274</v>
      </c>
      <c r="B351" s="10">
        <v>58609.7</v>
      </c>
      <c r="C351" s="10">
        <v>459</v>
      </c>
      <c r="D351" s="10">
        <v>100</v>
      </c>
      <c r="E351" s="11">
        <f t="shared" si="16"/>
        <v>58050.7</v>
      </c>
      <c r="F351" s="15">
        <v>58051</v>
      </c>
      <c r="G351" s="25" t="s">
        <v>9</v>
      </c>
      <c r="H351" s="15">
        <f t="shared" si="17"/>
        <v>0.30000000000291038</v>
      </c>
      <c r="J351" s="4"/>
    </row>
    <row r="352" spans="1:10" ht="15.75" x14ac:dyDescent="0.25">
      <c r="A352" s="9">
        <v>42275</v>
      </c>
      <c r="B352" s="10">
        <v>218953.2</v>
      </c>
      <c r="C352" s="10">
        <v>5701</v>
      </c>
      <c r="D352" s="10">
        <v>0</v>
      </c>
      <c r="E352" s="11">
        <f t="shared" si="16"/>
        <v>213252.2</v>
      </c>
      <c r="F352" s="15">
        <f>13300+40000+35000+47000+45000+32952</f>
        <v>213252</v>
      </c>
      <c r="G352" s="25" t="s">
        <v>9</v>
      </c>
      <c r="H352" s="15">
        <f t="shared" si="17"/>
        <v>-0.20000000001164153</v>
      </c>
      <c r="J352" s="4"/>
    </row>
    <row r="353" spans="1:10" ht="15.75" x14ac:dyDescent="0.25">
      <c r="A353" s="9">
        <v>42276</v>
      </c>
      <c r="B353" s="10">
        <v>99894.1</v>
      </c>
      <c r="C353" s="10">
        <v>0</v>
      </c>
      <c r="D353" s="10">
        <v>40</v>
      </c>
      <c r="E353" s="11">
        <f t="shared" si="16"/>
        <v>99854.1</v>
      </c>
      <c r="F353" s="15">
        <f>28081+49000+22773</f>
        <v>99854</v>
      </c>
      <c r="G353" s="25" t="s">
        <v>9</v>
      </c>
      <c r="H353" s="15">
        <f t="shared" si="17"/>
        <v>-0.10000000000582077</v>
      </c>
      <c r="J353" s="4"/>
    </row>
    <row r="354" spans="1:10" ht="15.75" x14ac:dyDescent="0.25">
      <c r="A354" s="9">
        <v>42277</v>
      </c>
      <c r="B354" s="10">
        <v>105729</v>
      </c>
      <c r="C354" s="10">
        <v>2849</v>
      </c>
      <c r="D354" s="10">
        <v>0</v>
      </c>
      <c r="E354" s="11">
        <f t="shared" si="16"/>
        <v>102880</v>
      </c>
      <c r="F354" s="15">
        <f>49000+30000+23880</f>
        <v>102880</v>
      </c>
      <c r="G354" s="25" t="s">
        <v>9</v>
      </c>
      <c r="H354" s="15">
        <f t="shared" si="17"/>
        <v>0</v>
      </c>
    </row>
    <row r="355" spans="1:10" ht="15.75" x14ac:dyDescent="0.25">
      <c r="A355" s="9"/>
      <c r="B355" s="10"/>
      <c r="C355" s="10"/>
      <c r="D355" s="10"/>
      <c r="E355" s="11">
        <f t="shared" si="16"/>
        <v>0</v>
      </c>
      <c r="F355" s="15"/>
      <c r="G355" s="25"/>
      <c r="H355" s="15">
        <f t="shared" si="17"/>
        <v>0</v>
      </c>
    </row>
    <row r="356" spans="1:10" ht="15.75" x14ac:dyDescent="0.25">
      <c r="A356" s="9"/>
      <c r="B356" s="10"/>
      <c r="C356" s="10"/>
      <c r="D356" s="10"/>
      <c r="E356" s="11">
        <f t="shared" si="16"/>
        <v>0</v>
      </c>
      <c r="F356" s="15"/>
      <c r="G356" s="25"/>
      <c r="H356" s="15">
        <f t="shared" si="17"/>
        <v>0</v>
      </c>
    </row>
    <row r="357" spans="1:10" ht="18.75" x14ac:dyDescent="0.3">
      <c r="A357" s="14"/>
      <c r="B357" s="10"/>
      <c r="C357" s="10"/>
      <c r="D357" s="10"/>
      <c r="E357" s="11">
        <f t="shared" si="16"/>
        <v>0</v>
      </c>
      <c r="F357" s="15"/>
      <c r="G357" s="244" t="s">
        <v>9</v>
      </c>
      <c r="H357" s="4"/>
    </row>
    <row r="358" spans="1:10" ht="15.75" x14ac:dyDescent="0.25">
      <c r="A358" s="14"/>
      <c r="B358" s="13"/>
      <c r="C358" s="10"/>
      <c r="D358" s="10"/>
      <c r="E358" s="11">
        <f t="shared" si="16"/>
        <v>0</v>
      </c>
      <c r="F358" s="15"/>
      <c r="G358" s="4"/>
      <c r="H358" s="4"/>
    </row>
    <row r="359" spans="1:10" ht="15.75" x14ac:dyDescent="0.25">
      <c r="A359" s="14"/>
      <c r="B359" s="10"/>
      <c r="C359" s="10"/>
      <c r="D359" s="10"/>
      <c r="E359" s="11">
        <f t="shared" si="16"/>
        <v>0</v>
      </c>
      <c r="F359" s="15"/>
      <c r="G359" s="4"/>
      <c r="H359" s="4"/>
    </row>
    <row r="360" spans="1:10" ht="15.75" x14ac:dyDescent="0.25">
      <c r="A360" s="14"/>
      <c r="B360" s="10">
        <f>SUM(B325:B359)</f>
        <v>4206906.8499999996</v>
      </c>
      <c r="C360" s="10"/>
      <c r="D360" s="10">
        <f>SUM(D325:D359)</f>
        <v>14261.3</v>
      </c>
      <c r="E360" s="11">
        <f t="shared" si="16"/>
        <v>4192645.55</v>
      </c>
      <c r="F360" s="15"/>
      <c r="G360" s="4"/>
      <c r="H360" s="4"/>
    </row>
    <row r="362" spans="1:10" ht="18.75" x14ac:dyDescent="0.3">
      <c r="B362" s="275" t="s">
        <v>255</v>
      </c>
      <c r="C362" s="275"/>
      <c r="D362" s="275"/>
      <c r="E362" s="275"/>
      <c r="F362" s="275"/>
    </row>
    <row r="364" spans="1:10" ht="16.5" thickBot="1" x14ac:dyDescent="0.3">
      <c r="A364" s="19" t="s">
        <v>0</v>
      </c>
      <c r="B364" s="20" t="s">
        <v>1</v>
      </c>
      <c r="C364" s="8" t="s">
        <v>3</v>
      </c>
      <c r="D364" s="21" t="s">
        <v>2</v>
      </c>
      <c r="E364" s="22" t="s">
        <v>4</v>
      </c>
      <c r="F364" s="27" t="s">
        <v>8</v>
      </c>
      <c r="G364" s="4"/>
      <c r="H364" s="4"/>
    </row>
    <row r="365" spans="1:10" ht="16.5" thickTop="1" x14ac:dyDescent="0.25">
      <c r="A365" s="9">
        <v>42278</v>
      </c>
      <c r="B365" s="10">
        <v>203923.6</v>
      </c>
      <c r="C365" s="10">
        <v>0</v>
      </c>
      <c r="D365" s="10">
        <v>0</v>
      </c>
      <c r="E365" s="11">
        <f>B365-C365-D365</f>
        <v>203923.6</v>
      </c>
      <c r="F365" s="15">
        <f>43751+68000+70000+22172.5</f>
        <v>203923.5</v>
      </c>
      <c r="G365" s="25" t="s">
        <v>9</v>
      </c>
      <c r="H365" s="15">
        <f>F365-E365</f>
        <v>-0.10000000000582077</v>
      </c>
    </row>
    <row r="366" spans="1:10" ht="15.75" x14ac:dyDescent="0.25">
      <c r="A366" s="9">
        <v>42279</v>
      </c>
      <c r="B366" s="122">
        <v>181318</v>
      </c>
      <c r="C366" s="122">
        <v>6403</v>
      </c>
      <c r="D366" s="122">
        <v>20</v>
      </c>
      <c r="E366" s="11">
        <f t="shared" ref="E366:E367" si="18">B366-C366-D366</f>
        <v>174895</v>
      </c>
      <c r="F366" s="245">
        <f>30000+35000+35000+50000+24895</f>
        <v>174895</v>
      </c>
      <c r="G366" s="25" t="s">
        <v>9</v>
      </c>
      <c r="H366" s="15">
        <f t="shared" ref="H366:H368" si="19">F366-E366</f>
        <v>0</v>
      </c>
    </row>
    <row r="367" spans="1:10" ht="15.75" x14ac:dyDescent="0.25">
      <c r="A367" s="9">
        <v>42280</v>
      </c>
      <c r="B367" s="10">
        <v>232785.4</v>
      </c>
      <c r="C367" s="10">
        <v>23132</v>
      </c>
      <c r="D367" s="10">
        <v>30</v>
      </c>
      <c r="E367" s="11">
        <f t="shared" si="18"/>
        <v>209623.4</v>
      </c>
      <c r="F367" s="15">
        <f>11393+56934+40000+39000+35000+27296.5</f>
        <v>209623.5</v>
      </c>
      <c r="G367" s="25" t="s">
        <v>9</v>
      </c>
      <c r="H367" s="15">
        <f t="shared" si="19"/>
        <v>0.10000000000582077</v>
      </c>
    </row>
    <row r="368" spans="1:10" ht="15.75" x14ac:dyDescent="0.25">
      <c r="A368" s="9">
        <v>42281</v>
      </c>
      <c r="B368" s="10">
        <v>66569.8</v>
      </c>
      <c r="C368" s="10">
        <v>4890.72</v>
      </c>
      <c r="D368" s="10">
        <v>100</v>
      </c>
      <c r="E368" s="11">
        <f t="shared" ref="E368:E400" si="20">B368-C368-D368</f>
        <v>61579.08</v>
      </c>
      <c r="F368" s="15">
        <v>61579</v>
      </c>
      <c r="G368" s="25" t="s">
        <v>9</v>
      </c>
      <c r="H368" s="15">
        <f t="shared" si="19"/>
        <v>-8.000000000174623E-2</v>
      </c>
    </row>
    <row r="369" spans="1:10" ht="15.75" x14ac:dyDescent="0.25">
      <c r="A369" s="9">
        <v>42282</v>
      </c>
      <c r="B369" s="10">
        <v>229426.5</v>
      </c>
      <c r="C369" s="10">
        <v>11617</v>
      </c>
      <c r="D369" s="10">
        <v>0</v>
      </c>
      <c r="E369" s="11">
        <f t="shared" si="20"/>
        <v>217809.5</v>
      </c>
      <c r="F369" s="15">
        <f>40000+56500+55000+6655+30000+13809+9484+6361.5</f>
        <v>217809.5</v>
      </c>
      <c r="G369" s="25" t="s">
        <v>9</v>
      </c>
      <c r="H369" s="15">
        <f t="shared" ref="H369:H396" si="21">F369-E369</f>
        <v>0</v>
      </c>
      <c r="J369" s="4"/>
    </row>
    <row r="370" spans="1:10" ht="15.75" x14ac:dyDescent="0.25">
      <c r="A370" s="9">
        <v>42283</v>
      </c>
      <c r="B370" s="10">
        <v>53087.8</v>
      </c>
      <c r="C370" s="10">
        <v>1123.46</v>
      </c>
      <c r="D370" s="10">
        <v>0</v>
      </c>
      <c r="E370" s="11">
        <f t="shared" si="20"/>
        <v>51964.340000000004</v>
      </c>
      <c r="F370" s="15">
        <f>6497+20000+25467.5</f>
        <v>51964.5</v>
      </c>
      <c r="G370" s="25" t="s">
        <v>9</v>
      </c>
      <c r="H370" s="15">
        <f t="shared" si="21"/>
        <v>0.1599999999962165</v>
      </c>
      <c r="J370" s="4"/>
    </row>
    <row r="371" spans="1:10" ht="15.75" x14ac:dyDescent="0.25">
      <c r="A371" s="9">
        <v>42284</v>
      </c>
      <c r="B371" s="10">
        <v>81842</v>
      </c>
      <c r="C371" s="10">
        <v>467.82</v>
      </c>
      <c r="D371" s="10">
        <v>54</v>
      </c>
      <c r="E371" s="11">
        <f t="shared" si="20"/>
        <v>81320.179999999993</v>
      </c>
      <c r="F371" s="15">
        <f>67000+14300+20</f>
        <v>81320</v>
      </c>
      <c r="G371" s="25" t="s">
        <v>9</v>
      </c>
      <c r="H371" s="15">
        <f t="shared" si="21"/>
        <v>-0.17999999999301508</v>
      </c>
      <c r="J371" s="4"/>
    </row>
    <row r="372" spans="1:10" ht="15.75" x14ac:dyDescent="0.25">
      <c r="A372" s="9">
        <v>42285</v>
      </c>
      <c r="B372" s="10">
        <v>150877.5</v>
      </c>
      <c r="C372" s="10">
        <v>0</v>
      </c>
      <c r="D372" s="10">
        <v>850</v>
      </c>
      <c r="E372" s="11">
        <f t="shared" si="20"/>
        <v>150027.5</v>
      </c>
      <c r="F372" s="15">
        <f>44000+30000+35000+41027.5</f>
        <v>150027.5</v>
      </c>
      <c r="G372" s="25" t="s">
        <v>9</v>
      </c>
      <c r="H372" s="15">
        <f t="shared" si="21"/>
        <v>0</v>
      </c>
    </row>
    <row r="373" spans="1:10" ht="15.75" x14ac:dyDescent="0.25">
      <c r="A373" s="9">
        <v>42286</v>
      </c>
      <c r="B373" s="10">
        <v>169304</v>
      </c>
      <c r="C373" s="10">
        <v>11025</v>
      </c>
      <c r="D373" s="10">
        <v>0</v>
      </c>
      <c r="E373" s="11">
        <f t="shared" si="20"/>
        <v>158279</v>
      </c>
      <c r="F373" s="15">
        <f>53000+60000+13837+6192+25250</f>
        <v>158279</v>
      </c>
      <c r="G373" s="25" t="s">
        <v>9</v>
      </c>
      <c r="H373" s="15">
        <f t="shared" si="21"/>
        <v>0</v>
      </c>
    </row>
    <row r="374" spans="1:10" ht="15.75" x14ac:dyDescent="0.25">
      <c r="A374" s="9">
        <v>42287</v>
      </c>
      <c r="B374" s="10">
        <v>176594.5</v>
      </c>
      <c r="C374" s="10">
        <v>10885.08</v>
      </c>
      <c r="D374" s="10">
        <v>950</v>
      </c>
      <c r="E374" s="11">
        <f t="shared" si="20"/>
        <v>164759.42000000001</v>
      </c>
      <c r="F374" s="15">
        <f>80000+62000+22750+9.5</f>
        <v>164759.5</v>
      </c>
      <c r="G374" s="155" t="s">
        <v>9</v>
      </c>
      <c r="H374" s="15">
        <f t="shared" si="21"/>
        <v>7.9999999987194315E-2</v>
      </c>
      <c r="J374" s="4"/>
    </row>
    <row r="375" spans="1:10" ht="15.75" x14ac:dyDescent="0.25">
      <c r="A375" s="9">
        <v>42288</v>
      </c>
      <c r="B375" s="10">
        <v>93042.5</v>
      </c>
      <c r="C375" s="10">
        <v>0</v>
      </c>
      <c r="D375" s="10">
        <v>0</v>
      </c>
      <c r="E375" s="11">
        <f t="shared" si="20"/>
        <v>93042.5</v>
      </c>
      <c r="F375" s="15">
        <f>75000+18042.5</f>
        <v>93042.5</v>
      </c>
      <c r="G375" s="25" t="s">
        <v>9</v>
      </c>
      <c r="H375" s="15">
        <f t="shared" si="21"/>
        <v>0</v>
      </c>
    </row>
    <row r="376" spans="1:10" ht="15.75" x14ac:dyDescent="0.25">
      <c r="A376" s="9">
        <v>42289</v>
      </c>
      <c r="B376" s="10">
        <v>234927</v>
      </c>
      <c r="C376" s="10">
        <v>570</v>
      </c>
      <c r="D376" s="10">
        <v>0</v>
      </c>
      <c r="E376" s="11">
        <f t="shared" si="20"/>
        <v>234357</v>
      </c>
      <c r="F376" s="15">
        <f>53000+60000+50000+40000+31357</f>
        <v>234357</v>
      </c>
      <c r="G376" s="25" t="s">
        <v>9</v>
      </c>
      <c r="H376" s="15">
        <f t="shared" si="21"/>
        <v>0</v>
      </c>
    </row>
    <row r="377" spans="1:10" ht="15.75" x14ac:dyDescent="0.25">
      <c r="A377" s="9">
        <v>42290</v>
      </c>
      <c r="B377" s="10">
        <v>119446</v>
      </c>
      <c r="C377" s="10">
        <v>798</v>
      </c>
      <c r="D377" s="10">
        <v>0</v>
      </c>
      <c r="E377" s="11">
        <f t="shared" si="20"/>
        <v>118648</v>
      </c>
      <c r="F377" s="15">
        <f>8248+60000+50400</f>
        <v>118648</v>
      </c>
      <c r="G377" s="25" t="s">
        <v>9</v>
      </c>
      <c r="H377" s="15">
        <f t="shared" si="21"/>
        <v>0</v>
      </c>
    </row>
    <row r="378" spans="1:10" ht="15.75" x14ac:dyDescent="0.25">
      <c r="A378" s="9">
        <v>42291</v>
      </c>
      <c r="B378" s="10">
        <v>112016</v>
      </c>
      <c r="C378" s="10">
        <v>0</v>
      </c>
      <c r="D378" s="10">
        <v>822</v>
      </c>
      <c r="E378" s="11">
        <f t="shared" si="20"/>
        <v>111194</v>
      </c>
      <c r="F378" s="15">
        <f>80000+31194</f>
        <v>111194</v>
      </c>
      <c r="G378" s="25" t="s">
        <v>9</v>
      </c>
      <c r="H378" s="15">
        <f t="shared" si="21"/>
        <v>0</v>
      </c>
    </row>
    <row r="379" spans="1:10" ht="15.75" x14ac:dyDescent="0.25">
      <c r="A379" s="9">
        <v>42292</v>
      </c>
      <c r="B379" s="10">
        <v>122922.5</v>
      </c>
      <c r="C379" s="10">
        <v>0</v>
      </c>
      <c r="D379" s="10">
        <v>10000</v>
      </c>
      <c r="E379" s="11">
        <f t="shared" si="20"/>
        <v>112922.5</v>
      </c>
      <c r="F379" s="15">
        <f>8490+1976+90000+12456.5</f>
        <v>112922.5</v>
      </c>
      <c r="G379" s="25" t="s">
        <v>9</v>
      </c>
      <c r="H379" s="15">
        <f t="shared" si="21"/>
        <v>0</v>
      </c>
    </row>
    <row r="380" spans="1:10" ht="15.75" x14ac:dyDescent="0.25">
      <c r="A380" s="9">
        <v>42293</v>
      </c>
      <c r="B380" s="10">
        <v>187696</v>
      </c>
      <c r="C380" s="10">
        <v>21283</v>
      </c>
      <c r="D380" s="10">
        <v>10</v>
      </c>
      <c r="E380" s="11">
        <f t="shared" si="20"/>
        <v>166403</v>
      </c>
      <c r="F380" s="15">
        <f>8228+68000+57000+33175</f>
        <v>166403</v>
      </c>
      <c r="G380" s="25" t="s">
        <v>9</v>
      </c>
      <c r="H380" s="15">
        <f t="shared" si="21"/>
        <v>0</v>
      </c>
    </row>
    <row r="381" spans="1:10" ht="15.75" x14ac:dyDescent="0.25">
      <c r="A381" s="9">
        <v>42294</v>
      </c>
      <c r="B381" s="10">
        <v>184346.1</v>
      </c>
      <c r="C381" s="10">
        <v>0</v>
      </c>
      <c r="D381" s="10">
        <v>0</v>
      </c>
      <c r="E381" s="11">
        <f t="shared" si="20"/>
        <v>184346.1</v>
      </c>
      <c r="F381" s="15">
        <f>48000+31000+24840+30506+50000</f>
        <v>184346</v>
      </c>
      <c r="G381" s="25" t="s">
        <v>9</v>
      </c>
      <c r="H381" s="15">
        <f t="shared" si="21"/>
        <v>-0.10000000000582077</v>
      </c>
      <c r="J381" s="4"/>
    </row>
    <row r="382" spans="1:10" ht="15.75" x14ac:dyDescent="0.25">
      <c r="A382" s="9">
        <v>42295</v>
      </c>
      <c r="B382" s="10">
        <v>108645.5</v>
      </c>
      <c r="C382" s="10">
        <v>0</v>
      </c>
      <c r="D382" s="10">
        <v>160</v>
      </c>
      <c r="E382" s="11">
        <f t="shared" si="20"/>
        <v>108485.5</v>
      </c>
      <c r="F382" s="15">
        <f>70000+38485.5</f>
        <v>108485.5</v>
      </c>
      <c r="G382" s="25" t="s">
        <v>9</v>
      </c>
      <c r="H382" s="15">
        <f t="shared" si="21"/>
        <v>0</v>
      </c>
      <c r="J382" s="4"/>
    </row>
    <row r="383" spans="1:10" ht="15.75" x14ac:dyDescent="0.25">
      <c r="A383" s="9">
        <v>42296</v>
      </c>
      <c r="B383" s="10">
        <v>208201.5</v>
      </c>
      <c r="C383" s="10">
        <v>10772</v>
      </c>
      <c r="D383" s="10">
        <v>3463.5</v>
      </c>
      <c r="E383" s="11">
        <f t="shared" si="20"/>
        <v>193966</v>
      </c>
      <c r="F383" s="15">
        <f>48500+45000+44420+31206+24840</f>
        <v>193966</v>
      </c>
      <c r="G383" s="25" t="s">
        <v>9</v>
      </c>
      <c r="H383" s="15">
        <f t="shared" si="21"/>
        <v>0</v>
      </c>
    </row>
    <row r="384" spans="1:10" ht="15.75" x14ac:dyDescent="0.25">
      <c r="A384" s="9">
        <v>42297</v>
      </c>
      <c r="B384" s="10">
        <v>99564.5</v>
      </c>
      <c r="C384" s="10">
        <v>3648.24</v>
      </c>
      <c r="D384" s="10">
        <v>642.86</v>
      </c>
      <c r="E384" s="11">
        <f t="shared" si="20"/>
        <v>95273.4</v>
      </c>
      <c r="F384" s="15">
        <f>10010.5+34263+51000</f>
        <v>95273.5</v>
      </c>
      <c r="G384" s="25" t="s">
        <v>9</v>
      </c>
      <c r="H384" s="15">
        <f t="shared" si="21"/>
        <v>0.10000000000582077</v>
      </c>
    </row>
    <row r="385" spans="1:10" ht="15.75" x14ac:dyDescent="0.25">
      <c r="A385" s="9">
        <v>42298</v>
      </c>
      <c r="B385" s="10">
        <v>155083.5</v>
      </c>
      <c r="C385" s="10">
        <v>12195</v>
      </c>
      <c r="D385" s="10">
        <v>0</v>
      </c>
      <c r="E385" s="11">
        <f t="shared" si="20"/>
        <v>142888.5</v>
      </c>
      <c r="F385" s="15">
        <f>75000+40000+27888</f>
        <v>142888</v>
      </c>
      <c r="G385" s="25" t="s">
        <v>9</v>
      </c>
      <c r="H385" s="15">
        <f t="shared" si="21"/>
        <v>-0.5</v>
      </c>
    </row>
    <row r="386" spans="1:10" ht="15.75" x14ac:dyDescent="0.25">
      <c r="A386" s="9">
        <v>42299</v>
      </c>
      <c r="B386" s="10">
        <v>167828.9</v>
      </c>
      <c r="C386" s="10">
        <v>0</v>
      </c>
      <c r="D386" s="10">
        <v>0</v>
      </c>
      <c r="E386" s="11">
        <f t="shared" si="20"/>
        <v>167828.9</v>
      </c>
      <c r="F386" s="15">
        <f>28329+37000+45000+20000+37500</f>
        <v>167829</v>
      </c>
      <c r="G386" s="25" t="s">
        <v>9</v>
      </c>
      <c r="H386" s="15">
        <f t="shared" si="21"/>
        <v>0.10000000000582077</v>
      </c>
    </row>
    <row r="387" spans="1:10" ht="15.75" x14ac:dyDescent="0.25">
      <c r="A387" s="9">
        <v>42300</v>
      </c>
      <c r="B387" s="10">
        <v>135353.24</v>
      </c>
      <c r="C387" s="10">
        <v>7751</v>
      </c>
      <c r="D387" s="10">
        <v>20</v>
      </c>
      <c r="E387" s="11">
        <f t="shared" si="20"/>
        <v>127582.23999999999</v>
      </c>
      <c r="F387" s="15">
        <f>7482+51000+50000+19126</f>
        <v>127608</v>
      </c>
      <c r="G387" s="25" t="s">
        <v>9</v>
      </c>
      <c r="H387" s="15">
        <f t="shared" si="21"/>
        <v>25.760000000009313</v>
      </c>
      <c r="J387" s="39" t="s">
        <v>801</v>
      </c>
    </row>
    <row r="388" spans="1:10" ht="15.75" x14ac:dyDescent="0.25">
      <c r="A388" s="9">
        <v>42301</v>
      </c>
      <c r="B388" s="10">
        <v>150261.5</v>
      </c>
      <c r="C388" s="10">
        <v>1004</v>
      </c>
      <c r="D388" s="10">
        <v>10</v>
      </c>
      <c r="E388" s="11">
        <f t="shared" si="20"/>
        <v>149247.5</v>
      </c>
      <c r="F388" s="15">
        <f>34247.5+50000+65000</f>
        <v>149247.5</v>
      </c>
      <c r="G388" s="25" t="s">
        <v>9</v>
      </c>
      <c r="H388" s="15">
        <f t="shared" si="21"/>
        <v>0</v>
      </c>
      <c r="J388" s="4"/>
    </row>
    <row r="389" spans="1:10" ht="15.75" x14ac:dyDescent="0.25">
      <c r="A389" s="9">
        <v>42302</v>
      </c>
      <c r="B389" s="10">
        <v>47773.5</v>
      </c>
      <c r="C389" s="10">
        <v>700</v>
      </c>
      <c r="D389" s="10">
        <v>100</v>
      </c>
      <c r="E389" s="11">
        <f t="shared" si="20"/>
        <v>46973.5</v>
      </c>
      <c r="F389" s="15">
        <v>46973.5</v>
      </c>
      <c r="G389" s="25" t="s">
        <v>9</v>
      </c>
      <c r="H389" s="15">
        <f t="shared" si="21"/>
        <v>0</v>
      </c>
      <c r="J389" s="4"/>
    </row>
    <row r="390" spans="1:10" ht="15.75" x14ac:dyDescent="0.25">
      <c r="A390" s="9">
        <v>42303</v>
      </c>
      <c r="B390" s="10">
        <v>123582</v>
      </c>
      <c r="C390" s="10">
        <v>0</v>
      </c>
      <c r="D390" s="10">
        <v>0</v>
      </c>
      <c r="E390" s="11">
        <f t="shared" si="20"/>
        <v>123582</v>
      </c>
      <c r="F390" s="15">
        <f>25000+6255+5279+48000+21680+17368</f>
        <v>123582</v>
      </c>
      <c r="G390" s="25" t="s">
        <v>9</v>
      </c>
      <c r="H390" s="15">
        <f t="shared" si="21"/>
        <v>0</v>
      </c>
      <c r="J390" s="4"/>
    </row>
    <row r="391" spans="1:10" ht="15.75" x14ac:dyDescent="0.25">
      <c r="A391" s="9">
        <v>42304</v>
      </c>
      <c r="B391" s="10">
        <v>29922.5</v>
      </c>
      <c r="C391" s="10">
        <v>986</v>
      </c>
      <c r="D391" s="10">
        <v>0</v>
      </c>
      <c r="E391" s="11">
        <f t="shared" si="20"/>
        <v>28936.5</v>
      </c>
      <c r="F391" s="15">
        <f>11595+17368</f>
        <v>28963</v>
      </c>
      <c r="G391" s="25" t="s">
        <v>9</v>
      </c>
      <c r="H391" s="15">
        <f t="shared" si="21"/>
        <v>26.5</v>
      </c>
      <c r="J391" s="39" t="s">
        <v>802</v>
      </c>
    </row>
    <row r="392" spans="1:10" ht="15.75" x14ac:dyDescent="0.25">
      <c r="A392" s="9">
        <v>42305</v>
      </c>
      <c r="B392" s="10">
        <v>50220.5</v>
      </c>
      <c r="C392" s="10">
        <v>0</v>
      </c>
      <c r="D392" s="10">
        <v>542.5</v>
      </c>
      <c r="E392" s="11">
        <f t="shared" si="20"/>
        <v>49678</v>
      </c>
      <c r="F392" s="15">
        <f>11629+2614+27207+8229</f>
        <v>49679</v>
      </c>
      <c r="G392" s="25" t="s">
        <v>9</v>
      </c>
      <c r="H392" s="15">
        <f t="shared" si="21"/>
        <v>1</v>
      </c>
      <c r="J392" s="4"/>
    </row>
    <row r="393" spans="1:10" ht="15.75" x14ac:dyDescent="0.25">
      <c r="A393" s="9">
        <v>42306</v>
      </c>
      <c r="B393" s="10">
        <v>54487.7</v>
      </c>
      <c r="C393" s="10">
        <v>0</v>
      </c>
      <c r="D393" s="10">
        <v>0</v>
      </c>
      <c r="E393" s="11">
        <f t="shared" si="20"/>
        <v>54487.7</v>
      </c>
      <c r="F393" s="15">
        <v>54487.5</v>
      </c>
      <c r="G393" s="25" t="s">
        <v>9</v>
      </c>
      <c r="H393" s="15">
        <f t="shared" si="21"/>
        <v>-0.19999999999708962</v>
      </c>
      <c r="J393" s="4"/>
    </row>
    <row r="394" spans="1:10" ht="15.75" x14ac:dyDescent="0.25">
      <c r="A394" s="9">
        <v>42307</v>
      </c>
      <c r="B394" s="10">
        <v>106606</v>
      </c>
      <c r="C394" s="10">
        <v>180</v>
      </c>
      <c r="D394" s="10">
        <v>0</v>
      </c>
      <c r="E394" s="11">
        <f t="shared" si="20"/>
        <v>106426</v>
      </c>
      <c r="F394" s="15">
        <f>51426+55000</f>
        <v>106426</v>
      </c>
      <c r="G394" s="25" t="s">
        <v>9</v>
      </c>
      <c r="H394" s="15">
        <f t="shared" si="21"/>
        <v>0</v>
      </c>
    </row>
    <row r="395" spans="1:10" ht="15.75" x14ac:dyDescent="0.25">
      <c r="A395" s="9">
        <v>42308</v>
      </c>
      <c r="B395" s="10">
        <v>55491.3</v>
      </c>
      <c r="C395" s="10">
        <v>2376</v>
      </c>
      <c r="D395" s="10">
        <v>542.5</v>
      </c>
      <c r="E395" s="11">
        <f t="shared" si="20"/>
        <v>52572.800000000003</v>
      </c>
      <c r="F395" s="15">
        <v>52573</v>
      </c>
      <c r="G395" s="25" t="s">
        <v>9</v>
      </c>
      <c r="H395" s="15">
        <f t="shared" si="21"/>
        <v>0.19999999999708962</v>
      </c>
    </row>
    <row r="396" spans="1:10" ht="15.75" x14ac:dyDescent="0.25">
      <c r="A396" s="9"/>
      <c r="B396" s="10"/>
      <c r="C396" s="10"/>
      <c r="D396" s="10"/>
      <c r="E396" s="11">
        <f t="shared" si="20"/>
        <v>0</v>
      </c>
      <c r="F396" s="15"/>
      <c r="G396" s="25"/>
      <c r="H396" s="15">
        <f t="shared" si="21"/>
        <v>0</v>
      </c>
    </row>
    <row r="397" spans="1:10" ht="15.75" x14ac:dyDescent="0.25">
      <c r="A397" s="14"/>
      <c r="B397" s="10"/>
      <c r="C397" s="10"/>
      <c r="D397" s="10"/>
      <c r="E397" s="11">
        <f t="shared" si="20"/>
        <v>0</v>
      </c>
      <c r="F397" s="15"/>
      <c r="G397" s="189"/>
      <c r="H397" s="4"/>
    </row>
    <row r="398" spans="1:10" ht="15.75" x14ac:dyDescent="0.25">
      <c r="A398" s="14"/>
      <c r="B398" s="13"/>
      <c r="C398" s="10"/>
      <c r="D398" s="10"/>
      <c r="E398" s="11">
        <f t="shared" si="20"/>
        <v>0</v>
      </c>
      <c r="F398" s="15"/>
      <c r="G398" s="4"/>
      <c r="H398" s="4"/>
    </row>
    <row r="399" spans="1:10" ht="15.75" x14ac:dyDescent="0.25">
      <c r="A399" s="14"/>
      <c r="B399" s="10"/>
      <c r="C399" s="10"/>
      <c r="D399" s="10"/>
      <c r="E399" s="11">
        <f t="shared" si="20"/>
        <v>0</v>
      </c>
      <c r="F399" s="15"/>
      <c r="G399" s="4"/>
      <c r="H399" s="4"/>
    </row>
    <row r="400" spans="1:10" ht="15.75" x14ac:dyDescent="0.25">
      <c r="A400" s="14"/>
      <c r="B400" s="10">
        <f>SUM(B365:B399)</f>
        <v>4093147.34</v>
      </c>
      <c r="C400" s="10"/>
      <c r="D400" s="10">
        <f>SUM(D365:D399)</f>
        <v>18317.36</v>
      </c>
      <c r="E400" s="11">
        <f t="shared" si="20"/>
        <v>4074829.98</v>
      </c>
      <c r="F400" s="15"/>
      <c r="G400" s="4"/>
      <c r="H400" s="4"/>
    </row>
    <row r="402" spans="1:11" ht="18.75" x14ac:dyDescent="0.3">
      <c r="B402" s="275" t="s">
        <v>256</v>
      </c>
      <c r="C402" s="275"/>
      <c r="D402" s="275"/>
      <c r="E402" s="275"/>
      <c r="F402" s="275"/>
    </row>
    <row r="404" spans="1:11" ht="16.5" thickBot="1" x14ac:dyDescent="0.3">
      <c r="A404" s="19" t="s">
        <v>0</v>
      </c>
      <c r="B404" s="20" t="s">
        <v>1</v>
      </c>
      <c r="C404" s="8" t="s">
        <v>3</v>
      </c>
      <c r="D404" s="21" t="s">
        <v>2</v>
      </c>
      <c r="E404" s="22" t="s">
        <v>4</v>
      </c>
      <c r="F404" s="27" t="s">
        <v>8</v>
      </c>
      <c r="G404" s="4"/>
      <c r="H404" s="4"/>
    </row>
    <row r="405" spans="1:11" ht="16.5" thickTop="1" x14ac:dyDescent="0.25">
      <c r="A405" s="9">
        <v>42309</v>
      </c>
      <c r="B405" s="10">
        <v>219212.4</v>
      </c>
      <c r="C405" s="10">
        <v>322</v>
      </c>
      <c r="D405" s="10">
        <v>160</v>
      </c>
      <c r="E405" s="11">
        <f>B405-C405-D405</f>
        <v>218730.4</v>
      </c>
      <c r="F405" s="15">
        <f>90000+50000+13730+65000</f>
        <v>218730</v>
      </c>
      <c r="G405" s="25" t="s">
        <v>9</v>
      </c>
      <c r="H405" s="15">
        <f>F405-E405</f>
        <v>-0.39999999999417923</v>
      </c>
      <c r="J405" s="4"/>
    </row>
    <row r="406" spans="1:11" ht="15.75" x14ac:dyDescent="0.25">
      <c r="A406" s="9">
        <v>42310</v>
      </c>
      <c r="B406" s="10">
        <v>40413.5</v>
      </c>
      <c r="C406" s="10">
        <v>0</v>
      </c>
      <c r="D406" s="10">
        <v>0</v>
      </c>
      <c r="E406" s="11">
        <f t="shared" ref="E406:E440" si="22">B406-C406-D406</f>
        <v>40413.5</v>
      </c>
      <c r="F406" s="15">
        <f>5500+34913.5</f>
        <v>40413.5</v>
      </c>
      <c r="G406" s="25" t="s">
        <v>9</v>
      </c>
      <c r="H406" s="15">
        <f t="shared" ref="H406:H436" si="23">F406-E406</f>
        <v>0</v>
      </c>
      <c r="J406" s="4"/>
    </row>
    <row r="407" spans="1:11" ht="15.75" x14ac:dyDescent="0.25">
      <c r="A407" s="9">
        <v>42311</v>
      </c>
      <c r="B407" s="10">
        <v>52398.5</v>
      </c>
      <c r="C407" s="10">
        <v>0</v>
      </c>
      <c r="D407" s="10">
        <v>0</v>
      </c>
      <c r="E407" s="11">
        <f t="shared" si="22"/>
        <v>52398.5</v>
      </c>
      <c r="F407" s="15">
        <f>47500+4898.5</f>
        <v>52398.5</v>
      </c>
      <c r="G407" s="25" t="s">
        <v>9</v>
      </c>
      <c r="H407" s="15">
        <f t="shared" si="23"/>
        <v>0</v>
      </c>
      <c r="J407" s="4"/>
    </row>
    <row r="408" spans="1:11" ht="15.75" x14ac:dyDescent="0.25">
      <c r="A408" s="9">
        <v>42312</v>
      </c>
      <c r="B408" s="10">
        <v>79209.5</v>
      </c>
      <c r="C408" s="10">
        <v>6095</v>
      </c>
      <c r="D408" s="10">
        <v>0</v>
      </c>
      <c r="E408" s="11">
        <f t="shared" si="22"/>
        <v>73114.5</v>
      </c>
      <c r="F408" s="15">
        <f>45114.5+28000</f>
        <v>73114.5</v>
      </c>
      <c r="G408" s="25" t="s">
        <v>9</v>
      </c>
      <c r="H408" s="15">
        <f t="shared" si="23"/>
        <v>0</v>
      </c>
      <c r="J408" s="4"/>
    </row>
    <row r="409" spans="1:11" ht="15.75" x14ac:dyDescent="0.25">
      <c r="A409" s="9">
        <v>42313</v>
      </c>
      <c r="B409" s="10">
        <v>73598</v>
      </c>
      <c r="C409" s="10">
        <v>1282</v>
      </c>
      <c r="D409" s="10">
        <v>0</v>
      </c>
      <c r="E409" s="11">
        <f t="shared" si="22"/>
        <v>72316</v>
      </c>
      <c r="F409" s="15">
        <f>54016+18500</f>
        <v>72516</v>
      </c>
      <c r="G409" s="25" t="s">
        <v>9</v>
      </c>
      <c r="H409" s="15">
        <f t="shared" si="23"/>
        <v>200</v>
      </c>
      <c r="J409" s="60" t="s">
        <v>816</v>
      </c>
    </row>
    <row r="410" spans="1:11" ht="15.75" x14ac:dyDescent="0.25">
      <c r="A410" s="9">
        <v>42314</v>
      </c>
      <c r="B410" s="10">
        <v>84007.5</v>
      </c>
      <c r="C410" s="10">
        <v>1052</v>
      </c>
      <c r="D410" s="10">
        <v>60</v>
      </c>
      <c r="E410" s="11">
        <f t="shared" si="22"/>
        <v>82895.5</v>
      </c>
      <c r="F410" s="15">
        <f>50000+32695.5</f>
        <v>82695.5</v>
      </c>
      <c r="G410" s="25" t="s">
        <v>9</v>
      </c>
      <c r="H410" s="15">
        <f t="shared" si="23"/>
        <v>-200</v>
      </c>
      <c r="J410" s="60" t="s">
        <v>817</v>
      </c>
      <c r="K410" s="60"/>
    </row>
    <row r="411" spans="1:11" ht="15.75" x14ac:dyDescent="0.25">
      <c r="A411" s="9">
        <v>42315</v>
      </c>
      <c r="B411" s="10">
        <v>142325</v>
      </c>
      <c r="C411" s="10">
        <v>0</v>
      </c>
      <c r="D411" s="10">
        <v>800</v>
      </c>
      <c r="E411" s="11">
        <f t="shared" si="22"/>
        <v>141525</v>
      </c>
      <c r="F411" s="15">
        <f>77000+42000+22525</f>
        <v>141525</v>
      </c>
      <c r="G411" s="25" t="s">
        <v>9</v>
      </c>
      <c r="H411" s="15">
        <f t="shared" si="23"/>
        <v>0</v>
      </c>
      <c r="J411" s="4"/>
    </row>
    <row r="412" spans="1:11" ht="15.75" x14ac:dyDescent="0.25">
      <c r="A412" s="9">
        <v>42316</v>
      </c>
      <c r="B412" s="10">
        <v>89786.5</v>
      </c>
      <c r="C412" s="10">
        <v>365</v>
      </c>
      <c r="D412" s="10">
        <v>0</v>
      </c>
      <c r="E412" s="11">
        <f t="shared" si="22"/>
        <v>89421.5</v>
      </c>
      <c r="F412" s="15">
        <f>47000+42421.5</f>
        <v>89421.5</v>
      </c>
      <c r="G412" s="25" t="s">
        <v>9</v>
      </c>
      <c r="H412" s="15">
        <f t="shared" si="23"/>
        <v>0</v>
      </c>
      <c r="J412" s="4"/>
    </row>
    <row r="413" spans="1:11" ht="15.75" x14ac:dyDescent="0.25">
      <c r="A413" s="9">
        <v>42317</v>
      </c>
      <c r="B413" s="10">
        <v>90316.5</v>
      </c>
      <c r="C413" s="10">
        <v>635</v>
      </c>
      <c r="D413" s="10">
        <v>0</v>
      </c>
      <c r="E413" s="11">
        <f t="shared" si="22"/>
        <v>89681.5</v>
      </c>
      <c r="F413" s="15">
        <f>35000+33972.5+20709</f>
        <v>89681.5</v>
      </c>
      <c r="G413" s="25" t="s">
        <v>9</v>
      </c>
      <c r="H413" s="15">
        <f t="shared" si="23"/>
        <v>0</v>
      </c>
      <c r="J413" s="4"/>
    </row>
    <row r="414" spans="1:11" ht="15.75" x14ac:dyDescent="0.25">
      <c r="A414" s="9">
        <v>42318</v>
      </c>
      <c r="B414" s="10">
        <v>60701</v>
      </c>
      <c r="C414" s="10">
        <v>1508</v>
      </c>
      <c r="D414" s="10">
        <v>0</v>
      </c>
      <c r="E414" s="11">
        <f t="shared" si="22"/>
        <v>59193</v>
      </c>
      <c r="F414" s="15">
        <f>49250+9943</f>
        <v>59193</v>
      </c>
      <c r="G414" s="25" t="s">
        <v>9</v>
      </c>
      <c r="H414" s="15">
        <f t="shared" si="23"/>
        <v>0</v>
      </c>
      <c r="J414" s="4"/>
    </row>
    <row r="415" spans="1:11" ht="15.75" x14ac:dyDescent="0.25">
      <c r="A415" s="9">
        <v>42319</v>
      </c>
      <c r="B415" s="10">
        <v>69520</v>
      </c>
      <c r="C415" s="10">
        <v>0</v>
      </c>
      <c r="D415" s="10">
        <v>2668</v>
      </c>
      <c r="E415" s="11">
        <f t="shared" si="22"/>
        <v>66852</v>
      </c>
      <c r="F415" s="15">
        <v>66852</v>
      </c>
      <c r="G415" s="25" t="s">
        <v>9</v>
      </c>
      <c r="H415" s="15">
        <f t="shared" si="23"/>
        <v>0</v>
      </c>
      <c r="J415" s="4"/>
    </row>
    <row r="416" spans="1:11" ht="15.75" x14ac:dyDescent="0.25">
      <c r="A416" s="9">
        <v>42320</v>
      </c>
      <c r="B416" s="10">
        <v>41790.5</v>
      </c>
      <c r="C416" s="10">
        <v>0</v>
      </c>
      <c r="D416" s="10">
        <v>60</v>
      </c>
      <c r="E416" s="11">
        <f t="shared" si="22"/>
        <v>41730.5</v>
      </c>
      <c r="F416" s="15">
        <v>41730.5</v>
      </c>
      <c r="G416" s="25" t="s">
        <v>9</v>
      </c>
      <c r="H416" s="15">
        <f t="shared" si="23"/>
        <v>0</v>
      </c>
      <c r="J416" s="4"/>
    </row>
    <row r="417" spans="1:10" ht="15.75" x14ac:dyDescent="0.25">
      <c r="A417" s="9">
        <v>42321</v>
      </c>
      <c r="B417" s="10">
        <v>121675.5</v>
      </c>
      <c r="C417" s="10">
        <v>0</v>
      </c>
      <c r="D417" s="10">
        <v>10060</v>
      </c>
      <c r="E417" s="11">
        <f t="shared" si="22"/>
        <v>111615.5</v>
      </c>
      <c r="F417" s="15">
        <f>38500+35000+38115.5</f>
        <v>111615.5</v>
      </c>
      <c r="G417" s="25" t="s">
        <v>9</v>
      </c>
      <c r="H417" s="15">
        <f t="shared" si="23"/>
        <v>0</v>
      </c>
      <c r="J417" s="4"/>
    </row>
    <row r="418" spans="1:10" ht="15.75" x14ac:dyDescent="0.25">
      <c r="A418" s="9">
        <v>42322</v>
      </c>
      <c r="B418" s="10">
        <v>129541</v>
      </c>
      <c r="C418" s="10">
        <v>15338.5</v>
      </c>
      <c r="D418" s="10">
        <v>0</v>
      </c>
      <c r="E418" s="11">
        <f t="shared" si="22"/>
        <v>114202.5</v>
      </c>
      <c r="F418" s="15">
        <f>16811+50000+25000+22391.5</f>
        <v>114202.5</v>
      </c>
      <c r="G418" s="25" t="s">
        <v>9</v>
      </c>
      <c r="H418" s="15">
        <f t="shared" si="23"/>
        <v>0</v>
      </c>
    </row>
    <row r="419" spans="1:10" ht="15.75" x14ac:dyDescent="0.25">
      <c r="A419" s="9">
        <v>42323</v>
      </c>
      <c r="B419" s="10">
        <v>105514</v>
      </c>
      <c r="C419" s="10">
        <v>0</v>
      </c>
      <c r="D419" s="10">
        <v>100</v>
      </c>
      <c r="E419" s="11">
        <f t="shared" si="22"/>
        <v>105414</v>
      </c>
      <c r="F419" s="15">
        <f>50000+40000+15414</f>
        <v>105414</v>
      </c>
      <c r="G419" s="25" t="s">
        <v>9</v>
      </c>
      <c r="H419" s="15">
        <f t="shared" si="23"/>
        <v>0</v>
      </c>
      <c r="J419" t="s">
        <v>869</v>
      </c>
    </row>
    <row r="420" spans="1:10" ht="15.75" x14ac:dyDescent="0.25">
      <c r="A420" s="9">
        <v>42324</v>
      </c>
      <c r="B420" s="10">
        <v>126551</v>
      </c>
      <c r="C420" s="10">
        <v>1006</v>
      </c>
      <c r="D420" s="10">
        <v>0</v>
      </c>
      <c r="E420" s="11">
        <f t="shared" si="22"/>
        <v>125545</v>
      </c>
      <c r="F420" s="15">
        <f>9647+55000+60000+898</f>
        <v>125545</v>
      </c>
      <c r="G420" s="42"/>
      <c r="H420" s="15">
        <f t="shared" si="23"/>
        <v>0</v>
      </c>
    </row>
    <row r="421" spans="1:10" ht="15.75" x14ac:dyDescent="0.25">
      <c r="A421" s="9">
        <v>42325</v>
      </c>
      <c r="B421" s="10">
        <v>35569</v>
      </c>
      <c r="C421" s="10">
        <v>2489</v>
      </c>
      <c r="D421" s="10"/>
      <c r="E421" s="11">
        <f t="shared" si="22"/>
        <v>33080</v>
      </c>
      <c r="F421" s="15">
        <f>24863</f>
        <v>24863</v>
      </c>
      <c r="G421" s="42"/>
      <c r="H421" s="15">
        <f t="shared" si="23"/>
        <v>-8217</v>
      </c>
      <c r="J421" t="s">
        <v>870</v>
      </c>
    </row>
    <row r="422" spans="1:10" ht="15.75" x14ac:dyDescent="0.25">
      <c r="A422" s="9">
        <v>42326</v>
      </c>
      <c r="B422" s="10">
        <v>121870.5</v>
      </c>
      <c r="C422" s="10">
        <v>0</v>
      </c>
      <c r="D422" s="10">
        <v>0</v>
      </c>
      <c r="E422" s="11">
        <f t="shared" si="22"/>
        <v>121870.5</v>
      </c>
      <c r="F422" s="15">
        <f>55000+45000+21870</f>
        <v>121870</v>
      </c>
      <c r="G422" s="25" t="s">
        <v>9</v>
      </c>
      <c r="H422" s="15">
        <f t="shared" si="23"/>
        <v>-0.5</v>
      </c>
      <c r="J422" s="4"/>
    </row>
    <row r="423" spans="1:10" ht="15.75" x14ac:dyDescent="0.25">
      <c r="A423" s="9">
        <v>42327</v>
      </c>
      <c r="B423" s="10">
        <v>78141.5</v>
      </c>
      <c r="C423" s="10">
        <v>604</v>
      </c>
      <c r="D423" s="10">
        <v>0</v>
      </c>
      <c r="E423" s="11">
        <f t="shared" si="22"/>
        <v>77537.5</v>
      </c>
      <c r="F423" s="15">
        <f>37537.5+40000</f>
        <v>77537.5</v>
      </c>
      <c r="G423" s="25" t="s">
        <v>9</v>
      </c>
      <c r="H423" s="15">
        <f t="shared" si="23"/>
        <v>0</v>
      </c>
      <c r="J423" s="4"/>
    </row>
    <row r="424" spans="1:10" ht="15.75" x14ac:dyDescent="0.25">
      <c r="A424" s="9">
        <v>42328</v>
      </c>
      <c r="B424" s="10">
        <v>117002.5</v>
      </c>
      <c r="C424" s="10">
        <v>0</v>
      </c>
      <c r="D424" s="10">
        <v>0</v>
      </c>
      <c r="E424" s="11">
        <f t="shared" si="22"/>
        <v>117002.5</v>
      </c>
      <c r="F424" s="15">
        <f>45000+40000</f>
        <v>85000</v>
      </c>
      <c r="G424" s="42"/>
      <c r="H424" s="15">
        <f t="shared" si="23"/>
        <v>-32002.5</v>
      </c>
      <c r="J424" s="39" t="s">
        <v>898</v>
      </c>
    </row>
    <row r="425" spans="1:10" ht="15.75" x14ac:dyDescent="0.25">
      <c r="A425" s="9">
        <v>42329</v>
      </c>
      <c r="B425" s="10">
        <v>118686</v>
      </c>
      <c r="C425" s="10">
        <v>3518</v>
      </c>
      <c r="D425" s="10">
        <v>0</v>
      </c>
      <c r="E425" s="11">
        <f t="shared" si="22"/>
        <v>115168</v>
      </c>
      <c r="F425" s="15"/>
      <c r="G425" s="42"/>
      <c r="H425" s="15">
        <f t="shared" si="23"/>
        <v>-115168</v>
      </c>
      <c r="J425" s="39" t="s">
        <v>899</v>
      </c>
    </row>
    <row r="426" spans="1:10" ht="15.75" x14ac:dyDescent="0.25">
      <c r="A426" s="9">
        <v>42330</v>
      </c>
      <c r="B426" s="10">
        <v>89355.5</v>
      </c>
      <c r="C426" s="10">
        <v>2844</v>
      </c>
      <c r="D426" s="10">
        <v>0</v>
      </c>
      <c r="E426" s="11">
        <f t="shared" si="22"/>
        <v>86511.5</v>
      </c>
      <c r="F426" s="15"/>
      <c r="G426" s="42"/>
      <c r="H426" s="15">
        <f t="shared" si="23"/>
        <v>-86511.5</v>
      </c>
      <c r="J426" s="39" t="s">
        <v>900</v>
      </c>
    </row>
    <row r="427" spans="1:10" ht="15.75" x14ac:dyDescent="0.25">
      <c r="A427" s="9">
        <v>42331</v>
      </c>
      <c r="B427" s="10">
        <v>167022</v>
      </c>
      <c r="C427" s="10">
        <v>0</v>
      </c>
      <c r="D427" s="10">
        <v>100</v>
      </c>
      <c r="E427" s="11">
        <f t="shared" si="22"/>
        <v>166922</v>
      </c>
      <c r="F427" s="15">
        <f>105000</f>
        <v>105000</v>
      </c>
      <c r="G427" s="42"/>
      <c r="H427" s="15">
        <f t="shared" si="23"/>
        <v>-61922</v>
      </c>
      <c r="J427" s="39" t="s">
        <v>901</v>
      </c>
    </row>
    <row r="428" spans="1:10" ht="15.75" x14ac:dyDescent="0.25">
      <c r="A428" s="9">
        <v>42332</v>
      </c>
      <c r="B428" s="10">
        <v>26504</v>
      </c>
      <c r="C428" s="10">
        <v>0</v>
      </c>
      <c r="D428" s="10">
        <v>0</v>
      </c>
      <c r="E428" s="11">
        <f t="shared" si="22"/>
        <v>26504</v>
      </c>
      <c r="F428" s="15"/>
      <c r="G428" s="42"/>
      <c r="H428" s="15">
        <f t="shared" si="23"/>
        <v>-26504</v>
      </c>
      <c r="J428" s="39" t="s">
        <v>902</v>
      </c>
    </row>
    <row r="429" spans="1:10" ht="15.75" x14ac:dyDescent="0.25">
      <c r="A429" s="9">
        <v>42333</v>
      </c>
      <c r="B429" s="10"/>
      <c r="C429" s="10"/>
      <c r="D429" s="10"/>
      <c r="E429" s="11">
        <f t="shared" si="22"/>
        <v>0</v>
      </c>
      <c r="F429" s="15"/>
      <c r="G429" s="25"/>
      <c r="H429" s="15">
        <f t="shared" si="23"/>
        <v>0</v>
      </c>
    </row>
    <row r="430" spans="1:10" ht="15.75" x14ac:dyDescent="0.25">
      <c r="A430" s="9">
        <v>42334</v>
      </c>
      <c r="B430" s="10"/>
      <c r="C430" s="10"/>
      <c r="D430" s="10"/>
      <c r="E430" s="11">
        <f t="shared" si="22"/>
        <v>0</v>
      </c>
      <c r="F430" s="15"/>
      <c r="G430" s="25"/>
      <c r="H430" s="15">
        <f t="shared" si="23"/>
        <v>0</v>
      </c>
    </row>
    <row r="431" spans="1:10" ht="15.75" x14ac:dyDescent="0.25">
      <c r="A431" s="9">
        <v>42335</v>
      </c>
      <c r="B431" s="10"/>
      <c r="C431" s="10"/>
      <c r="D431" s="10"/>
      <c r="E431" s="11">
        <f t="shared" si="22"/>
        <v>0</v>
      </c>
      <c r="F431" s="15"/>
      <c r="G431" s="25"/>
      <c r="H431" s="15">
        <f t="shared" si="23"/>
        <v>0</v>
      </c>
    </row>
    <row r="432" spans="1:10" ht="15.75" x14ac:dyDescent="0.25">
      <c r="A432" s="9">
        <v>42336</v>
      </c>
      <c r="B432" s="10"/>
      <c r="C432" s="10"/>
      <c r="D432" s="10"/>
      <c r="E432" s="11">
        <f t="shared" si="22"/>
        <v>0</v>
      </c>
      <c r="F432" s="15"/>
      <c r="G432" s="25"/>
      <c r="H432" s="15">
        <f t="shared" si="23"/>
        <v>0</v>
      </c>
    </row>
    <row r="433" spans="1:8" ht="15.75" x14ac:dyDescent="0.25">
      <c r="A433" s="9">
        <v>42337</v>
      </c>
      <c r="B433" s="10"/>
      <c r="C433" s="10"/>
      <c r="D433" s="10"/>
      <c r="E433" s="11">
        <f t="shared" si="22"/>
        <v>0</v>
      </c>
      <c r="F433" s="15"/>
      <c r="G433" s="25"/>
      <c r="H433" s="15">
        <f t="shared" si="23"/>
        <v>0</v>
      </c>
    </row>
    <row r="434" spans="1:8" ht="15.75" x14ac:dyDescent="0.25">
      <c r="A434" s="9">
        <v>42338</v>
      </c>
      <c r="B434" s="10"/>
      <c r="C434" s="10"/>
      <c r="D434" s="10"/>
      <c r="E434" s="11">
        <f t="shared" si="22"/>
        <v>0</v>
      </c>
      <c r="F434" s="15"/>
      <c r="G434" s="25"/>
      <c r="H434" s="15">
        <f t="shared" si="23"/>
        <v>0</v>
      </c>
    </row>
    <row r="435" spans="1:8" ht="15.75" x14ac:dyDescent="0.25">
      <c r="A435" s="9"/>
      <c r="B435" s="10"/>
      <c r="C435" s="10"/>
      <c r="D435" s="10"/>
      <c r="E435" s="11">
        <f t="shared" si="22"/>
        <v>0</v>
      </c>
      <c r="F435" s="15"/>
      <c r="G435" s="25"/>
      <c r="H435" s="15">
        <f t="shared" si="23"/>
        <v>0</v>
      </c>
    </row>
    <row r="436" spans="1:8" ht="15.75" x14ac:dyDescent="0.25">
      <c r="A436" s="9"/>
      <c r="B436" s="10"/>
      <c r="C436" s="10"/>
      <c r="D436" s="10"/>
      <c r="E436" s="11">
        <f t="shared" si="22"/>
        <v>0</v>
      </c>
      <c r="F436" s="15"/>
      <c r="G436" s="25"/>
      <c r="H436" s="15">
        <f t="shared" si="23"/>
        <v>0</v>
      </c>
    </row>
    <row r="437" spans="1:8" ht="15.75" x14ac:dyDescent="0.25">
      <c r="A437" s="14"/>
      <c r="B437" s="10"/>
      <c r="C437" s="10"/>
      <c r="D437" s="10"/>
      <c r="E437" s="11">
        <f t="shared" si="22"/>
        <v>0</v>
      </c>
      <c r="F437" s="15"/>
      <c r="G437" s="189"/>
      <c r="H437" s="4"/>
    </row>
    <row r="438" spans="1:8" ht="15.75" x14ac:dyDescent="0.25">
      <c r="A438" s="14"/>
      <c r="B438" s="13"/>
      <c r="C438" s="10"/>
      <c r="D438" s="10"/>
      <c r="E438" s="11">
        <f t="shared" si="22"/>
        <v>0</v>
      </c>
      <c r="F438" s="15"/>
      <c r="G438" s="4"/>
      <c r="H438" s="4"/>
    </row>
    <row r="439" spans="1:8" ht="15.75" x14ac:dyDescent="0.25">
      <c r="A439" s="14"/>
      <c r="B439" s="10"/>
      <c r="C439" s="10"/>
      <c r="D439" s="10"/>
      <c r="E439" s="11">
        <f t="shared" si="22"/>
        <v>0</v>
      </c>
      <c r="F439" s="15"/>
      <c r="G439" s="4"/>
      <c r="H439" s="4"/>
    </row>
    <row r="440" spans="1:8" ht="15.75" x14ac:dyDescent="0.25">
      <c r="A440" s="14"/>
      <c r="B440" s="10">
        <f>SUM(B405:B439)</f>
        <v>2280711.4</v>
      </c>
      <c r="C440" s="10"/>
      <c r="D440" s="10">
        <f>SUM(D405:D439)</f>
        <v>14008</v>
      </c>
      <c r="E440" s="11">
        <f t="shared" si="22"/>
        <v>2266703.4</v>
      </c>
      <c r="F440" s="15"/>
      <c r="G440" s="4"/>
      <c r="H440" s="4"/>
    </row>
    <row r="442" spans="1:8" ht="18.75" x14ac:dyDescent="0.3">
      <c r="B442" s="275" t="s">
        <v>257</v>
      </c>
      <c r="C442" s="275"/>
      <c r="D442" s="275"/>
      <c r="E442" s="275"/>
      <c r="F442" s="275"/>
    </row>
    <row r="444" spans="1:8" ht="16.5" thickBot="1" x14ac:dyDescent="0.3">
      <c r="A444" s="19" t="s">
        <v>0</v>
      </c>
      <c r="B444" s="20" t="s">
        <v>1</v>
      </c>
      <c r="C444" s="8" t="s">
        <v>3</v>
      </c>
      <c r="D444" s="21" t="s">
        <v>2</v>
      </c>
      <c r="E444" s="22" t="s">
        <v>4</v>
      </c>
      <c r="F444" s="27" t="s">
        <v>8</v>
      </c>
      <c r="G444" s="4"/>
      <c r="H444" s="4"/>
    </row>
    <row r="445" spans="1:8" ht="16.5" thickTop="1" x14ac:dyDescent="0.25">
      <c r="A445" s="9"/>
      <c r="B445" s="10"/>
      <c r="C445" s="10"/>
      <c r="D445" s="10"/>
      <c r="E445" s="11">
        <f>B445-C445-D445</f>
        <v>0</v>
      </c>
      <c r="F445" s="15"/>
      <c r="G445" s="25"/>
      <c r="H445" s="15">
        <f>F445-E445</f>
        <v>0</v>
      </c>
    </row>
    <row r="446" spans="1:8" ht="15.75" x14ac:dyDescent="0.25">
      <c r="A446" s="9"/>
      <c r="B446" s="10"/>
      <c r="C446" s="10"/>
      <c r="D446" s="10"/>
      <c r="E446" s="11">
        <f t="shared" ref="E446:E480" si="24">B446-C446-D446</f>
        <v>0</v>
      </c>
      <c r="F446" s="15"/>
      <c r="G446" s="25"/>
      <c r="H446" s="15">
        <f t="shared" ref="H446:H476" si="25">F446-E446</f>
        <v>0</v>
      </c>
    </row>
    <row r="447" spans="1:8" ht="15.75" x14ac:dyDescent="0.25">
      <c r="A447" s="9"/>
      <c r="B447" s="10"/>
      <c r="C447" s="10"/>
      <c r="D447" s="10"/>
      <c r="E447" s="11">
        <f t="shared" si="24"/>
        <v>0</v>
      </c>
      <c r="F447" s="15"/>
      <c r="G447" s="25"/>
      <c r="H447" s="15">
        <f t="shared" si="25"/>
        <v>0</v>
      </c>
    </row>
    <row r="448" spans="1:8" ht="15.75" x14ac:dyDescent="0.25">
      <c r="A448" s="9"/>
      <c r="B448" s="10"/>
      <c r="C448" s="10"/>
      <c r="D448" s="10"/>
      <c r="E448" s="11">
        <f t="shared" si="24"/>
        <v>0</v>
      </c>
      <c r="F448" s="15"/>
      <c r="G448" s="25"/>
      <c r="H448" s="15">
        <f t="shared" si="25"/>
        <v>0</v>
      </c>
    </row>
    <row r="449" spans="1:8" ht="15.75" x14ac:dyDescent="0.25">
      <c r="A449" s="9"/>
      <c r="B449" s="10"/>
      <c r="C449" s="10"/>
      <c r="D449" s="10"/>
      <c r="E449" s="11">
        <f t="shared" si="24"/>
        <v>0</v>
      </c>
      <c r="F449" s="15"/>
      <c r="G449" s="25"/>
      <c r="H449" s="15">
        <f t="shared" si="25"/>
        <v>0</v>
      </c>
    </row>
    <row r="450" spans="1:8" ht="15.75" x14ac:dyDescent="0.25">
      <c r="A450" s="9"/>
      <c r="B450" s="10"/>
      <c r="C450" s="10"/>
      <c r="D450" s="10"/>
      <c r="E450" s="11">
        <f t="shared" si="24"/>
        <v>0</v>
      </c>
      <c r="F450" s="15"/>
      <c r="G450" s="25"/>
      <c r="H450" s="15">
        <f t="shared" si="25"/>
        <v>0</v>
      </c>
    </row>
    <row r="451" spans="1:8" ht="15.75" x14ac:dyDescent="0.25">
      <c r="A451" s="9"/>
      <c r="B451" s="10"/>
      <c r="C451" s="10"/>
      <c r="D451" s="10"/>
      <c r="E451" s="11">
        <f t="shared" si="24"/>
        <v>0</v>
      </c>
      <c r="F451" s="15"/>
      <c r="G451" s="25"/>
      <c r="H451" s="15">
        <f t="shared" si="25"/>
        <v>0</v>
      </c>
    </row>
    <row r="452" spans="1:8" ht="15.75" x14ac:dyDescent="0.25">
      <c r="A452" s="9"/>
      <c r="B452" s="10"/>
      <c r="C452" s="10"/>
      <c r="D452" s="10"/>
      <c r="E452" s="11">
        <f t="shared" si="24"/>
        <v>0</v>
      </c>
      <c r="F452" s="15"/>
      <c r="G452" s="25"/>
      <c r="H452" s="15">
        <f t="shared" si="25"/>
        <v>0</v>
      </c>
    </row>
    <row r="453" spans="1:8" ht="15.75" x14ac:dyDescent="0.25">
      <c r="A453" s="9"/>
      <c r="B453" s="10"/>
      <c r="C453" s="10"/>
      <c r="D453" s="10"/>
      <c r="E453" s="11">
        <f t="shared" si="24"/>
        <v>0</v>
      </c>
      <c r="F453" s="15"/>
      <c r="G453" s="25"/>
      <c r="H453" s="15">
        <f t="shared" si="25"/>
        <v>0</v>
      </c>
    </row>
    <row r="454" spans="1:8" ht="15.75" x14ac:dyDescent="0.25">
      <c r="A454" s="9"/>
      <c r="B454" s="10"/>
      <c r="C454" s="10"/>
      <c r="D454" s="10"/>
      <c r="E454" s="11">
        <f t="shared" si="24"/>
        <v>0</v>
      </c>
      <c r="F454" s="15"/>
      <c r="G454" s="25"/>
      <c r="H454" s="15">
        <f t="shared" si="25"/>
        <v>0</v>
      </c>
    </row>
    <row r="455" spans="1:8" ht="15.75" x14ac:dyDescent="0.25">
      <c r="A455" s="9"/>
      <c r="B455" s="10"/>
      <c r="C455" s="10"/>
      <c r="D455" s="10"/>
      <c r="E455" s="11">
        <f t="shared" si="24"/>
        <v>0</v>
      </c>
      <c r="F455" s="15"/>
      <c r="G455" s="25"/>
      <c r="H455" s="15">
        <f t="shared" si="25"/>
        <v>0</v>
      </c>
    </row>
    <row r="456" spans="1:8" ht="15.75" x14ac:dyDescent="0.25">
      <c r="A456" s="9"/>
      <c r="B456" s="10"/>
      <c r="C456" s="10"/>
      <c r="D456" s="10"/>
      <c r="E456" s="11">
        <f t="shared" si="24"/>
        <v>0</v>
      </c>
      <c r="F456" s="15"/>
      <c r="G456" s="25"/>
      <c r="H456" s="15">
        <f t="shared" si="25"/>
        <v>0</v>
      </c>
    </row>
    <row r="457" spans="1:8" ht="15.75" x14ac:dyDescent="0.25">
      <c r="A457" s="9"/>
      <c r="B457" s="10"/>
      <c r="C457" s="10"/>
      <c r="D457" s="10"/>
      <c r="E457" s="11">
        <f t="shared" si="24"/>
        <v>0</v>
      </c>
      <c r="F457" s="15"/>
      <c r="G457" s="25"/>
      <c r="H457" s="15">
        <f t="shared" si="25"/>
        <v>0</v>
      </c>
    </row>
    <row r="458" spans="1:8" ht="15.75" x14ac:dyDescent="0.25">
      <c r="A458" s="9"/>
      <c r="B458" s="10"/>
      <c r="C458" s="10"/>
      <c r="D458" s="10"/>
      <c r="E458" s="11">
        <f t="shared" si="24"/>
        <v>0</v>
      </c>
      <c r="F458" s="15"/>
      <c r="G458" s="25"/>
      <c r="H458" s="15">
        <f t="shared" si="25"/>
        <v>0</v>
      </c>
    </row>
    <row r="459" spans="1:8" ht="15.75" x14ac:dyDescent="0.25">
      <c r="A459" s="9"/>
      <c r="B459" s="10"/>
      <c r="C459" s="10"/>
      <c r="D459" s="10"/>
      <c r="E459" s="11">
        <f t="shared" si="24"/>
        <v>0</v>
      </c>
      <c r="F459" s="15"/>
      <c r="G459" s="25"/>
      <c r="H459" s="15">
        <f t="shared" si="25"/>
        <v>0</v>
      </c>
    </row>
    <row r="460" spans="1:8" ht="15.75" x14ac:dyDescent="0.25">
      <c r="A460" s="9"/>
      <c r="B460" s="10"/>
      <c r="C460" s="10"/>
      <c r="D460" s="10"/>
      <c r="E460" s="11">
        <f t="shared" si="24"/>
        <v>0</v>
      </c>
      <c r="F460" s="15"/>
      <c r="G460" s="25"/>
      <c r="H460" s="15">
        <f t="shared" si="25"/>
        <v>0</v>
      </c>
    </row>
    <row r="461" spans="1:8" ht="15.75" x14ac:dyDescent="0.25">
      <c r="A461" s="9"/>
      <c r="B461" s="10"/>
      <c r="C461" s="10"/>
      <c r="D461" s="10"/>
      <c r="E461" s="11">
        <f t="shared" si="24"/>
        <v>0</v>
      </c>
      <c r="F461" s="15"/>
      <c r="G461" s="25"/>
      <c r="H461" s="15">
        <f t="shared" si="25"/>
        <v>0</v>
      </c>
    </row>
    <row r="462" spans="1:8" ht="15.75" x14ac:dyDescent="0.25">
      <c r="A462" s="9"/>
      <c r="B462" s="10"/>
      <c r="C462" s="10"/>
      <c r="D462" s="10"/>
      <c r="E462" s="11">
        <f t="shared" si="24"/>
        <v>0</v>
      </c>
      <c r="F462" s="15"/>
      <c r="G462" s="25"/>
      <c r="H462" s="15">
        <f t="shared" si="25"/>
        <v>0</v>
      </c>
    </row>
    <row r="463" spans="1:8" ht="15.75" x14ac:dyDescent="0.25">
      <c r="A463" s="9"/>
      <c r="B463" s="10"/>
      <c r="C463" s="10"/>
      <c r="D463" s="10"/>
      <c r="E463" s="11">
        <f t="shared" si="24"/>
        <v>0</v>
      </c>
      <c r="F463" s="15"/>
      <c r="G463" s="25"/>
      <c r="H463" s="15">
        <f t="shared" si="25"/>
        <v>0</v>
      </c>
    </row>
    <row r="464" spans="1:8" ht="15.75" x14ac:dyDescent="0.25">
      <c r="A464" s="9"/>
      <c r="B464" s="10"/>
      <c r="C464" s="10"/>
      <c r="D464" s="10"/>
      <c r="E464" s="11">
        <f t="shared" si="24"/>
        <v>0</v>
      </c>
      <c r="F464" s="15"/>
      <c r="G464" s="25"/>
      <c r="H464" s="15">
        <f t="shared" si="25"/>
        <v>0</v>
      </c>
    </row>
    <row r="465" spans="1:8" ht="15.75" x14ac:dyDescent="0.25">
      <c r="A465" s="9"/>
      <c r="B465" s="10"/>
      <c r="C465" s="10"/>
      <c r="D465" s="10"/>
      <c r="E465" s="11">
        <f t="shared" si="24"/>
        <v>0</v>
      </c>
      <c r="F465" s="15"/>
      <c r="G465" s="25"/>
      <c r="H465" s="15">
        <f t="shared" si="25"/>
        <v>0</v>
      </c>
    </row>
    <row r="466" spans="1:8" ht="15.75" x14ac:dyDescent="0.25">
      <c r="A466" s="9"/>
      <c r="B466" s="10"/>
      <c r="C466" s="10"/>
      <c r="D466" s="10"/>
      <c r="E466" s="11">
        <f t="shared" si="24"/>
        <v>0</v>
      </c>
      <c r="F466" s="15"/>
      <c r="G466" s="25"/>
      <c r="H466" s="15">
        <f t="shared" si="25"/>
        <v>0</v>
      </c>
    </row>
    <row r="467" spans="1:8" ht="15.75" x14ac:dyDescent="0.25">
      <c r="A467" s="9"/>
      <c r="B467" s="10"/>
      <c r="C467" s="10"/>
      <c r="D467" s="10"/>
      <c r="E467" s="11">
        <f t="shared" si="24"/>
        <v>0</v>
      </c>
      <c r="F467" s="15"/>
      <c r="G467" s="25"/>
      <c r="H467" s="15">
        <f t="shared" si="25"/>
        <v>0</v>
      </c>
    </row>
    <row r="468" spans="1:8" ht="15.75" x14ac:dyDescent="0.25">
      <c r="A468" s="9"/>
      <c r="B468" s="10"/>
      <c r="C468" s="10"/>
      <c r="D468" s="10"/>
      <c r="E468" s="11">
        <f t="shared" si="24"/>
        <v>0</v>
      </c>
      <c r="F468" s="15"/>
      <c r="G468" s="25"/>
      <c r="H468" s="15">
        <f t="shared" si="25"/>
        <v>0</v>
      </c>
    </row>
    <row r="469" spans="1:8" ht="15.75" x14ac:dyDescent="0.25">
      <c r="A469" s="9"/>
      <c r="B469" s="10"/>
      <c r="C469" s="10"/>
      <c r="D469" s="10"/>
      <c r="E469" s="11">
        <f t="shared" si="24"/>
        <v>0</v>
      </c>
      <c r="F469" s="15"/>
      <c r="G469" s="25"/>
      <c r="H469" s="15">
        <f t="shared" si="25"/>
        <v>0</v>
      </c>
    </row>
    <row r="470" spans="1:8" ht="15.75" x14ac:dyDescent="0.25">
      <c r="A470" s="9"/>
      <c r="B470" s="10"/>
      <c r="C470" s="10"/>
      <c r="D470" s="10"/>
      <c r="E470" s="11">
        <f t="shared" si="24"/>
        <v>0</v>
      </c>
      <c r="F470" s="15"/>
      <c r="G470" s="25"/>
      <c r="H470" s="15">
        <f t="shared" si="25"/>
        <v>0</v>
      </c>
    </row>
    <row r="471" spans="1:8" ht="15.75" x14ac:dyDescent="0.25">
      <c r="A471" s="9"/>
      <c r="B471" s="10"/>
      <c r="C471" s="10"/>
      <c r="D471" s="10"/>
      <c r="E471" s="11">
        <f t="shared" si="24"/>
        <v>0</v>
      </c>
      <c r="F471" s="15"/>
      <c r="G471" s="25"/>
      <c r="H471" s="15">
        <f t="shared" si="25"/>
        <v>0</v>
      </c>
    </row>
    <row r="472" spans="1:8" ht="15.75" x14ac:dyDescent="0.25">
      <c r="A472" s="9"/>
      <c r="B472" s="10"/>
      <c r="C472" s="10"/>
      <c r="D472" s="10"/>
      <c r="E472" s="11">
        <f t="shared" si="24"/>
        <v>0</v>
      </c>
      <c r="F472" s="15"/>
      <c r="G472" s="25"/>
      <c r="H472" s="15">
        <f t="shared" si="25"/>
        <v>0</v>
      </c>
    </row>
    <row r="473" spans="1:8" ht="15.75" x14ac:dyDescent="0.25">
      <c r="A473" s="9"/>
      <c r="B473" s="10"/>
      <c r="C473" s="10"/>
      <c r="D473" s="10"/>
      <c r="E473" s="11">
        <f t="shared" si="24"/>
        <v>0</v>
      </c>
      <c r="F473" s="15"/>
      <c r="G473" s="25"/>
      <c r="H473" s="15">
        <f t="shared" si="25"/>
        <v>0</v>
      </c>
    </row>
    <row r="474" spans="1:8" ht="15.75" x14ac:dyDescent="0.25">
      <c r="A474" s="9"/>
      <c r="B474" s="10"/>
      <c r="C474" s="10"/>
      <c r="D474" s="10"/>
      <c r="E474" s="11">
        <f t="shared" si="24"/>
        <v>0</v>
      </c>
      <c r="F474" s="15"/>
      <c r="G474" s="25"/>
      <c r="H474" s="15">
        <f t="shared" si="25"/>
        <v>0</v>
      </c>
    </row>
    <row r="475" spans="1:8" ht="15.75" x14ac:dyDescent="0.25">
      <c r="A475" s="9"/>
      <c r="B475" s="10"/>
      <c r="C475" s="10"/>
      <c r="D475" s="10"/>
      <c r="E475" s="11">
        <f t="shared" si="24"/>
        <v>0</v>
      </c>
      <c r="F475" s="15"/>
      <c r="G475" s="25"/>
      <c r="H475" s="15">
        <f t="shared" si="25"/>
        <v>0</v>
      </c>
    </row>
    <row r="476" spans="1:8" ht="15.75" x14ac:dyDescent="0.25">
      <c r="A476" s="9"/>
      <c r="B476" s="10"/>
      <c r="C476" s="10"/>
      <c r="D476" s="10"/>
      <c r="E476" s="11">
        <f t="shared" si="24"/>
        <v>0</v>
      </c>
      <c r="F476" s="15"/>
      <c r="G476" s="25"/>
      <c r="H476" s="15">
        <f t="shared" si="25"/>
        <v>0</v>
      </c>
    </row>
    <row r="477" spans="1:8" ht="15.75" x14ac:dyDescent="0.25">
      <c r="A477" s="14"/>
      <c r="B477" s="10"/>
      <c r="C477" s="10"/>
      <c r="D477" s="10"/>
      <c r="E477" s="11">
        <f t="shared" si="24"/>
        <v>0</v>
      </c>
      <c r="F477" s="15"/>
      <c r="G477" s="189"/>
      <c r="H477" s="4"/>
    </row>
    <row r="478" spans="1:8" ht="15.75" x14ac:dyDescent="0.25">
      <c r="A478" s="14"/>
      <c r="B478" s="13"/>
      <c r="C478" s="10"/>
      <c r="D478" s="10"/>
      <c r="E478" s="11">
        <f t="shared" si="24"/>
        <v>0</v>
      </c>
      <c r="F478" s="15"/>
      <c r="G478" s="4"/>
      <c r="H478" s="4"/>
    </row>
    <row r="479" spans="1:8" ht="15.75" x14ac:dyDescent="0.25">
      <c r="A479" s="14"/>
      <c r="B479" s="10"/>
      <c r="C479" s="10"/>
      <c r="D479" s="10"/>
      <c r="E479" s="11">
        <f t="shared" si="24"/>
        <v>0</v>
      </c>
      <c r="F479" s="15"/>
      <c r="G479" s="4"/>
      <c r="H479" s="4"/>
    </row>
    <row r="480" spans="1:8" ht="15.75" x14ac:dyDescent="0.25">
      <c r="A480" s="14"/>
      <c r="B480" s="10">
        <f>SUM(B445:B479)</f>
        <v>0</v>
      </c>
      <c r="C480" s="10"/>
      <c r="D480" s="10">
        <f>SUM(D445:D479)</f>
        <v>0</v>
      </c>
      <c r="E480" s="11">
        <f t="shared" si="24"/>
        <v>0</v>
      </c>
      <c r="F480" s="15"/>
      <c r="G480" s="4"/>
      <c r="H480" s="4"/>
    </row>
  </sheetData>
  <mergeCells count="15">
    <mergeCell ref="B402:F402"/>
    <mergeCell ref="B442:F442"/>
    <mergeCell ref="B2:F2"/>
    <mergeCell ref="B5:D5"/>
    <mergeCell ref="B42:F42"/>
    <mergeCell ref="B82:F82"/>
    <mergeCell ref="B122:F122"/>
    <mergeCell ref="B202:F202"/>
    <mergeCell ref="B242:F242"/>
    <mergeCell ref="B282:F282"/>
    <mergeCell ref="J4:M4"/>
    <mergeCell ref="B162:F162"/>
    <mergeCell ref="B127:D127"/>
    <mergeCell ref="B322:F322"/>
    <mergeCell ref="B362:F362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0"/>
  <sheetViews>
    <sheetView topLeftCell="A171" workbookViewId="0">
      <selection activeCell="J190" sqref="J190"/>
    </sheetView>
  </sheetViews>
  <sheetFormatPr baseColWidth="10" defaultRowHeight="15" x14ac:dyDescent="0.25"/>
  <cols>
    <col min="2" max="2" width="16" customWidth="1"/>
    <col min="5" max="5" width="14.85546875" customWidth="1"/>
  </cols>
  <sheetData>
    <row r="2" spans="1:11" ht="18.75" x14ac:dyDescent="0.3">
      <c r="B2" s="275" t="s">
        <v>222</v>
      </c>
      <c r="C2" s="275"/>
      <c r="D2" s="275"/>
      <c r="E2" s="275"/>
      <c r="F2" s="275"/>
    </row>
    <row r="4" spans="1:11" ht="16.5" thickBot="1" x14ac:dyDescent="0.3">
      <c r="A4" s="19" t="s">
        <v>0</v>
      </c>
      <c r="B4" s="20" t="s">
        <v>1</v>
      </c>
      <c r="C4" s="8" t="s">
        <v>3</v>
      </c>
      <c r="D4" s="21" t="s">
        <v>2</v>
      </c>
      <c r="E4" s="22" t="s">
        <v>4</v>
      </c>
      <c r="F4" s="27" t="s">
        <v>8</v>
      </c>
      <c r="G4" s="4"/>
      <c r="H4" s="4"/>
    </row>
    <row r="5" spans="1:11" ht="16.5" thickTop="1" x14ac:dyDescent="0.25">
      <c r="A5" s="9">
        <v>42186</v>
      </c>
      <c r="B5" s="10">
        <f>25126.28+322</f>
        <v>25448.28</v>
      </c>
      <c r="C5" s="10">
        <v>130</v>
      </c>
      <c r="D5" s="10">
        <v>400</v>
      </c>
      <c r="E5" s="11">
        <f>B5-C5-D5</f>
        <v>24918.28</v>
      </c>
      <c r="F5" s="15">
        <f>10000+10000+4920</f>
        <v>24920</v>
      </c>
      <c r="G5" s="25" t="s">
        <v>9</v>
      </c>
      <c r="H5" s="15">
        <f>F5-E5</f>
        <v>1.7200000000011642</v>
      </c>
    </row>
    <row r="6" spans="1:11" ht="15.75" x14ac:dyDescent="0.25">
      <c r="A6" s="9">
        <v>42187</v>
      </c>
      <c r="B6" s="10">
        <f>33977.29+2840.04</f>
        <v>36817.33</v>
      </c>
      <c r="C6" s="10">
        <v>1095.93</v>
      </c>
      <c r="D6" s="10">
        <v>438.1</v>
      </c>
      <c r="E6" s="11">
        <f t="shared" ref="E6:E40" si="0">B6-C6-D6</f>
        <v>35283.300000000003</v>
      </c>
      <c r="F6" s="15">
        <f>10000+10000+12200+3083</f>
        <v>35283</v>
      </c>
      <c r="G6" s="25" t="s">
        <v>9</v>
      </c>
      <c r="H6" s="15">
        <f t="shared" ref="H6:H36" si="1">F6-E6</f>
        <v>-0.30000000000291038</v>
      </c>
    </row>
    <row r="7" spans="1:11" ht="15.75" x14ac:dyDescent="0.25">
      <c r="A7" s="9">
        <v>42188</v>
      </c>
      <c r="B7" s="10">
        <f>44696.37+6401.36</f>
        <v>51097.73</v>
      </c>
      <c r="C7" s="10">
        <v>0</v>
      </c>
      <c r="D7" s="10">
        <v>1079.5</v>
      </c>
      <c r="E7" s="11">
        <f t="shared" si="0"/>
        <v>50018.23</v>
      </c>
      <c r="F7" s="15">
        <f>20000+10000+10000+10020</f>
        <v>50020</v>
      </c>
      <c r="G7" s="25" t="s">
        <v>9</v>
      </c>
      <c r="H7" s="15">
        <f t="shared" si="1"/>
        <v>1.7699999999967986</v>
      </c>
    </row>
    <row r="8" spans="1:11" ht="15.75" x14ac:dyDescent="0.25">
      <c r="A8" s="9">
        <v>42189</v>
      </c>
      <c r="B8" s="10">
        <f>55772.02+5072.38</f>
        <v>60844.399999999994</v>
      </c>
      <c r="C8" s="10">
        <v>0</v>
      </c>
      <c r="D8" s="10">
        <v>1070</v>
      </c>
      <c r="E8" s="11">
        <f t="shared" si="0"/>
        <v>59774.399999999994</v>
      </c>
      <c r="F8" s="15">
        <f>12000+20000+10000+10000+7774</f>
        <v>59774</v>
      </c>
      <c r="G8" s="25" t="s">
        <v>9</v>
      </c>
      <c r="H8" s="15">
        <f t="shared" si="1"/>
        <v>-0.39999999999417923</v>
      </c>
    </row>
    <row r="9" spans="1:11" ht="15.75" x14ac:dyDescent="0.25">
      <c r="A9" s="9">
        <v>42190</v>
      </c>
      <c r="B9" s="10">
        <f>58322.25+6845.34</f>
        <v>65167.59</v>
      </c>
      <c r="C9" s="10">
        <v>0</v>
      </c>
      <c r="D9" s="10">
        <v>6019.67</v>
      </c>
      <c r="E9" s="11">
        <f t="shared" si="0"/>
        <v>59147.92</v>
      </c>
      <c r="F9" s="15">
        <f>10000+15000+15000+14000+5148</f>
        <v>59148</v>
      </c>
      <c r="G9" s="25" t="s">
        <v>9</v>
      </c>
      <c r="H9" s="15">
        <f t="shared" si="1"/>
        <v>8.000000000174623E-2</v>
      </c>
    </row>
    <row r="10" spans="1:11" ht="15.75" x14ac:dyDescent="0.25">
      <c r="A10" s="9">
        <v>42191</v>
      </c>
      <c r="B10" s="10">
        <f>27248.47+8828.75</f>
        <v>36077.22</v>
      </c>
      <c r="C10" s="10">
        <v>1260</v>
      </c>
      <c r="D10" s="10">
        <v>52</v>
      </c>
      <c r="E10" s="11">
        <f t="shared" si="0"/>
        <v>34765.22</v>
      </c>
      <c r="F10" s="15">
        <f>12000+17000+6000</f>
        <v>35000</v>
      </c>
      <c r="G10" s="25" t="s">
        <v>9</v>
      </c>
      <c r="H10" s="15">
        <f t="shared" si="1"/>
        <v>234.77999999999884</v>
      </c>
      <c r="I10" s="60" t="s">
        <v>615</v>
      </c>
      <c r="J10" s="60"/>
      <c r="K10" s="60"/>
    </row>
    <row r="11" spans="1:11" ht="15.75" x14ac:dyDescent="0.25">
      <c r="A11" s="9">
        <v>42192</v>
      </c>
      <c r="B11" s="10">
        <f>26296.05+285.09</f>
        <v>26581.14</v>
      </c>
      <c r="C11" s="10">
        <v>0</v>
      </c>
      <c r="D11" s="10">
        <v>415</v>
      </c>
      <c r="E11" s="11">
        <f t="shared" si="0"/>
        <v>26166.14</v>
      </c>
      <c r="F11" s="15">
        <f>16166.14+10000</f>
        <v>26166.14</v>
      </c>
      <c r="G11" s="25" t="s">
        <v>9</v>
      </c>
      <c r="H11" s="15">
        <f t="shared" si="1"/>
        <v>0</v>
      </c>
    </row>
    <row r="12" spans="1:11" ht="15.75" x14ac:dyDescent="0.25">
      <c r="A12" s="9">
        <v>42193</v>
      </c>
      <c r="B12" s="10">
        <f>27531.85+697</f>
        <v>28228.85</v>
      </c>
      <c r="C12" s="10">
        <v>435</v>
      </c>
      <c r="D12" s="10">
        <v>3381.56</v>
      </c>
      <c r="E12" s="11">
        <f t="shared" si="0"/>
        <v>24412.289999999997</v>
      </c>
      <c r="F12" s="15">
        <v>27262</v>
      </c>
      <c r="G12" s="42"/>
      <c r="H12" s="15">
        <f t="shared" si="1"/>
        <v>2849.7100000000028</v>
      </c>
      <c r="I12" s="39" t="s">
        <v>617</v>
      </c>
      <c r="J12" s="39"/>
    </row>
    <row r="13" spans="1:11" ht="15.75" x14ac:dyDescent="0.25">
      <c r="A13" s="9">
        <v>42194</v>
      </c>
      <c r="B13" s="10">
        <f>52660.79+1567.27</f>
        <v>54228.06</v>
      </c>
      <c r="C13" s="10">
        <v>0</v>
      </c>
      <c r="D13" s="10">
        <v>0</v>
      </c>
      <c r="E13" s="11">
        <f t="shared" si="0"/>
        <v>54228.06</v>
      </c>
      <c r="F13" s="15">
        <f>12000+14228+28000</f>
        <v>54228</v>
      </c>
      <c r="G13" s="25" t="s">
        <v>9</v>
      </c>
      <c r="H13" s="15">
        <f t="shared" si="1"/>
        <v>-5.9999999997671694E-2</v>
      </c>
    </row>
    <row r="14" spans="1:11" ht="15.75" x14ac:dyDescent="0.25">
      <c r="A14" s="9">
        <v>42195</v>
      </c>
      <c r="B14" s="10">
        <f>77055.36+1816.46</f>
        <v>78871.820000000007</v>
      </c>
      <c r="C14" s="10">
        <v>1149</v>
      </c>
      <c r="D14" s="10">
        <v>37</v>
      </c>
      <c r="E14" s="11">
        <f t="shared" si="0"/>
        <v>77685.820000000007</v>
      </c>
      <c r="F14" s="15">
        <f>18000+10000+11000+30000+8686</f>
        <v>77686</v>
      </c>
      <c r="G14" s="25" t="s">
        <v>9</v>
      </c>
      <c r="H14" s="15">
        <f t="shared" si="1"/>
        <v>0.17999999999301508</v>
      </c>
    </row>
    <row r="15" spans="1:11" ht="15.75" x14ac:dyDescent="0.25">
      <c r="A15" s="9">
        <v>42196</v>
      </c>
      <c r="B15" s="10">
        <f>57425.69+2633.58</f>
        <v>60059.270000000004</v>
      </c>
      <c r="C15" s="10">
        <v>740</v>
      </c>
      <c r="D15" s="10">
        <v>564.38</v>
      </c>
      <c r="E15" s="11">
        <f t="shared" si="0"/>
        <v>58754.890000000007</v>
      </c>
      <c r="F15" s="15">
        <f>24000+17000+13000+4754.89</f>
        <v>58754.89</v>
      </c>
      <c r="G15" s="25" t="s">
        <v>9</v>
      </c>
      <c r="H15" s="15">
        <f t="shared" si="1"/>
        <v>0</v>
      </c>
    </row>
    <row r="16" spans="1:11" ht="15.75" x14ac:dyDescent="0.25">
      <c r="A16" s="9">
        <v>42197</v>
      </c>
      <c r="B16" s="10">
        <f>45721.66+9746.64</f>
        <v>55468.3</v>
      </c>
      <c r="C16" s="10">
        <v>0</v>
      </c>
      <c r="D16" s="10">
        <v>4858</v>
      </c>
      <c r="E16" s="11">
        <f t="shared" si="0"/>
        <v>50610.3</v>
      </c>
      <c r="F16" s="15">
        <f>30000+11000+9626.3</f>
        <v>50626.3</v>
      </c>
      <c r="G16" s="25" t="s">
        <v>9</v>
      </c>
      <c r="H16" s="15">
        <f t="shared" si="1"/>
        <v>16</v>
      </c>
      <c r="I16" s="60" t="s">
        <v>616</v>
      </c>
      <c r="J16" s="60"/>
    </row>
    <row r="17" spans="1:8" ht="15.75" x14ac:dyDescent="0.25">
      <c r="A17" s="9">
        <v>42198</v>
      </c>
      <c r="B17" s="10">
        <f>32702.72+1567.08</f>
        <v>34269.800000000003</v>
      </c>
      <c r="C17" s="10">
        <v>0</v>
      </c>
      <c r="D17" s="10">
        <v>91</v>
      </c>
      <c r="E17" s="11">
        <f t="shared" si="0"/>
        <v>34178.800000000003</v>
      </c>
      <c r="F17" s="15">
        <f>14000+14500+5678.8</f>
        <v>34178.800000000003</v>
      </c>
      <c r="G17" s="25" t="s">
        <v>9</v>
      </c>
      <c r="H17" s="15">
        <f t="shared" si="1"/>
        <v>0</v>
      </c>
    </row>
    <row r="18" spans="1:8" ht="15.75" x14ac:dyDescent="0.25">
      <c r="A18" s="9">
        <v>42199</v>
      </c>
      <c r="B18" s="10">
        <f>26694.74+2380.85</f>
        <v>29075.59</v>
      </c>
      <c r="C18" s="10">
        <v>339</v>
      </c>
      <c r="D18" s="10">
        <v>140</v>
      </c>
      <c r="E18" s="11">
        <f t="shared" si="0"/>
        <v>28596.59</v>
      </c>
      <c r="F18" s="15">
        <f>10000+10000+8596.59</f>
        <v>28596.59</v>
      </c>
      <c r="G18" s="25" t="s">
        <v>9</v>
      </c>
      <c r="H18" s="15">
        <f t="shared" si="1"/>
        <v>0</v>
      </c>
    </row>
    <row r="19" spans="1:8" ht="15.75" x14ac:dyDescent="0.25">
      <c r="A19" s="9">
        <v>42200</v>
      </c>
      <c r="B19" s="10">
        <f>24578.42+2515.95</f>
        <v>27094.37</v>
      </c>
      <c r="C19" s="10">
        <v>822</v>
      </c>
      <c r="D19" s="10">
        <v>149</v>
      </c>
      <c r="E19" s="11">
        <f t="shared" si="0"/>
        <v>26123.37</v>
      </c>
      <c r="F19" s="15">
        <f>14000+12123.5</f>
        <v>26123.5</v>
      </c>
      <c r="G19" s="25" t="s">
        <v>9</v>
      </c>
      <c r="H19" s="15">
        <f t="shared" si="1"/>
        <v>0.13000000000101863</v>
      </c>
    </row>
    <row r="20" spans="1:8" ht="15.75" x14ac:dyDescent="0.25">
      <c r="A20" s="9">
        <v>42201</v>
      </c>
      <c r="B20" s="10">
        <f>35140.5+3000+1763.55</f>
        <v>39904.050000000003</v>
      </c>
      <c r="C20" s="10">
        <v>464</v>
      </c>
      <c r="D20" s="10">
        <v>279.2</v>
      </c>
      <c r="E20" s="11">
        <f t="shared" si="0"/>
        <v>39160.850000000006</v>
      </c>
      <c r="F20" s="15">
        <v>39161</v>
      </c>
      <c r="G20" s="25" t="s">
        <v>9</v>
      </c>
      <c r="H20" s="15">
        <f t="shared" si="1"/>
        <v>0.14999999999417923</v>
      </c>
    </row>
    <row r="21" spans="1:8" ht="15.75" x14ac:dyDescent="0.25">
      <c r="A21" s="9">
        <v>42202</v>
      </c>
      <c r="B21" s="10">
        <f>62454.92+5271.2</f>
        <v>67726.12</v>
      </c>
      <c r="C21" s="10">
        <v>1530.38</v>
      </c>
      <c r="D21" s="10">
        <v>27</v>
      </c>
      <c r="E21" s="11">
        <f t="shared" si="0"/>
        <v>66168.739999999991</v>
      </c>
      <c r="F21" s="15">
        <v>66170</v>
      </c>
      <c r="G21" s="25" t="s">
        <v>9</v>
      </c>
      <c r="H21" s="15">
        <f t="shared" si="1"/>
        <v>1.2600000000093132</v>
      </c>
    </row>
    <row r="22" spans="1:8" ht="15.75" x14ac:dyDescent="0.25">
      <c r="A22" s="9">
        <v>42203</v>
      </c>
      <c r="B22" s="10">
        <f>56678.84+8154.92</f>
        <v>64833.759999999995</v>
      </c>
      <c r="C22" s="10">
        <v>1063</v>
      </c>
      <c r="D22" s="10">
        <v>830</v>
      </c>
      <c r="E22" s="11">
        <f t="shared" si="0"/>
        <v>62940.759999999995</v>
      </c>
      <c r="F22" s="15">
        <v>62941</v>
      </c>
      <c r="G22" s="25" t="s">
        <v>9</v>
      </c>
      <c r="H22" s="15">
        <f t="shared" si="1"/>
        <v>0.24000000000523869</v>
      </c>
    </row>
    <row r="23" spans="1:8" ht="15.75" x14ac:dyDescent="0.25">
      <c r="A23" s="9">
        <v>42204</v>
      </c>
      <c r="B23" s="10">
        <f>41790.63+7889.09</f>
        <v>49679.72</v>
      </c>
      <c r="C23" s="10">
        <v>0</v>
      </c>
      <c r="D23" s="10">
        <v>6409.22</v>
      </c>
      <c r="E23" s="11">
        <f t="shared" si="0"/>
        <v>43270.5</v>
      </c>
      <c r="F23" s="15">
        <v>43270.5</v>
      </c>
      <c r="G23" s="25" t="s">
        <v>9</v>
      </c>
      <c r="H23" s="15">
        <f t="shared" si="1"/>
        <v>0</v>
      </c>
    </row>
    <row r="24" spans="1:8" ht="15.75" x14ac:dyDescent="0.25">
      <c r="A24" s="9">
        <v>42205</v>
      </c>
      <c r="B24" s="10">
        <f>26265.84+186.11</f>
        <v>26451.95</v>
      </c>
      <c r="C24" s="10">
        <v>0</v>
      </c>
      <c r="D24" s="10">
        <v>25</v>
      </c>
      <c r="E24" s="11">
        <f t="shared" si="0"/>
        <v>26426.95</v>
      </c>
      <c r="F24" s="15">
        <v>26427</v>
      </c>
      <c r="G24" s="25" t="s">
        <v>9</v>
      </c>
      <c r="H24" s="15">
        <f t="shared" si="1"/>
        <v>4.9999999999272404E-2</v>
      </c>
    </row>
    <row r="25" spans="1:8" ht="15.75" x14ac:dyDescent="0.25">
      <c r="A25" s="9">
        <v>42206</v>
      </c>
      <c r="B25" s="10">
        <f>28130.77+2916.97</f>
        <v>31047.74</v>
      </c>
      <c r="C25" s="10">
        <v>436</v>
      </c>
      <c r="D25" s="10">
        <v>0</v>
      </c>
      <c r="E25" s="11">
        <f t="shared" si="0"/>
        <v>30611.74</v>
      </c>
      <c r="F25" s="15">
        <v>30612</v>
      </c>
      <c r="G25" s="25" t="s">
        <v>9</v>
      </c>
      <c r="H25" s="15">
        <f t="shared" si="1"/>
        <v>0.25999999999839929</v>
      </c>
    </row>
    <row r="26" spans="1:8" ht="15.75" x14ac:dyDescent="0.25">
      <c r="A26" s="9">
        <v>42207</v>
      </c>
      <c r="B26" s="10">
        <f>35032.54+828.8</f>
        <v>35861.340000000004</v>
      </c>
      <c r="C26" s="10">
        <v>1958</v>
      </c>
      <c r="D26" s="10">
        <v>350</v>
      </c>
      <c r="E26" s="11">
        <f t="shared" si="0"/>
        <v>33553.340000000004</v>
      </c>
      <c r="F26" s="15">
        <v>33553</v>
      </c>
      <c r="G26" s="25" t="s">
        <v>9</v>
      </c>
      <c r="H26" s="15">
        <f t="shared" si="1"/>
        <v>-0.3400000000037835</v>
      </c>
    </row>
    <row r="27" spans="1:8" ht="15.75" x14ac:dyDescent="0.25">
      <c r="A27" s="9">
        <v>42208</v>
      </c>
      <c r="B27" s="10">
        <f>38067.78+2400</f>
        <v>40467.78</v>
      </c>
      <c r="C27" s="10">
        <v>901</v>
      </c>
      <c r="D27" s="10">
        <v>22</v>
      </c>
      <c r="E27" s="11">
        <f t="shared" si="0"/>
        <v>39544.78</v>
      </c>
      <c r="F27" s="15">
        <v>39545</v>
      </c>
      <c r="G27" s="25" t="s">
        <v>9</v>
      </c>
      <c r="H27" s="15">
        <f t="shared" si="1"/>
        <v>0.22000000000116415</v>
      </c>
    </row>
    <row r="28" spans="1:8" ht="15.75" x14ac:dyDescent="0.25">
      <c r="A28" s="9">
        <v>42209</v>
      </c>
      <c r="B28" s="10">
        <f>52685.23+1107.84</f>
        <v>53793.07</v>
      </c>
      <c r="C28" s="10">
        <v>480</v>
      </c>
      <c r="D28" s="10">
        <v>35.5</v>
      </c>
      <c r="E28" s="11">
        <f t="shared" si="0"/>
        <v>53277.57</v>
      </c>
      <c r="F28" s="15">
        <v>53277.57</v>
      </c>
      <c r="G28" s="25" t="s">
        <v>9</v>
      </c>
      <c r="H28" s="15">
        <f t="shared" si="1"/>
        <v>0</v>
      </c>
    </row>
    <row r="29" spans="1:8" ht="15.75" x14ac:dyDescent="0.25">
      <c r="A29" s="9">
        <v>42210</v>
      </c>
      <c r="B29" s="10">
        <f>53815.64+14951.84</f>
        <v>68767.48</v>
      </c>
      <c r="C29" s="10">
        <v>0</v>
      </c>
      <c r="D29" s="10">
        <v>46.5</v>
      </c>
      <c r="E29" s="11">
        <f t="shared" si="0"/>
        <v>68720.98</v>
      </c>
      <c r="F29" s="15">
        <v>68721</v>
      </c>
      <c r="G29" s="25" t="s">
        <v>9</v>
      </c>
      <c r="H29" s="15">
        <f t="shared" si="1"/>
        <v>2.0000000004074536E-2</v>
      </c>
    </row>
    <row r="30" spans="1:8" ht="15.75" x14ac:dyDescent="0.25">
      <c r="A30" s="9">
        <v>42211</v>
      </c>
      <c r="B30" s="10">
        <f>43170.53+2411.84</f>
        <v>45582.369999999995</v>
      </c>
      <c r="C30" s="10">
        <v>456</v>
      </c>
      <c r="D30" s="10">
        <v>6264.39</v>
      </c>
      <c r="E30" s="11">
        <f t="shared" si="0"/>
        <v>38861.979999999996</v>
      </c>
      <c r="F30" s="15">
        <v>38862</v>
      </c>
      <c r="G30" s="25" t="s">
        <v>9</v>
      </c>
      <c r="H30" s="15">
        <f t="shared" si="1"/>
        <v>2.0000000004074536E-2</v>
      </c>
    </row>
    <row r="31" spans="1:8" ht="15.75" x14ac:dyDescent="0.25">
      <c r="A31" s="9">
        <v>42212</v>
      </c>
      <c r="B31" s="10">
        <f>27648.44+2100</f>
        <v>29748.44</v>
      </c>
      <c r="C31" s="10">
        <v>0</v>
      </c>
      <c r="D31" s="10">
        <v>25</v>
      </c>
      <c r="E31" s="11">
        <f t="shared" si="0"/>
        <v>29723.439999999999</v>
      </c>
      <c r="F31" s="15">
        <v>29723.439999999999</v>
      </c>
      <c r="G31" s="25" t="s">
        <v>9</v>
      </c>
      <c r="H31" s="15">
        <f t="shared" si="1"/>
        <v>0</v>
      </c>
    </row>
    <row r="32" spans="1:8" ht="15.75" x14ac:dyDescent="0.25">
      <c r="A32" s="9">
        <v>42213</v>
      </c>
      <c r="B32" s="10">
        <f>28165.79+643.12</f>
        <v>28808.91</v>
      </c>
      <c r="C32" s="10">
        <v>1020</v>
      </c>
      <c r="D32" s="10">
        <v>80</v>
      </c>
      <c r="E32" s="11">
        <f t="shared" si="0"/>
        <v>27708.91</v>
      </c>
      <c r="F32" s="15">
        <v>27708.91</v>
      </c>
      <c r="G32" s="25" t="s">
        <v>9</v>
      </c>
      <c r="H32" s="15">
        <f t="shared" si="1"/>
        <v>0</v>
      </c>
    </row>
    <row r="33" spans="1:8" ht="15.75" x14ac:dyDescent="0.25">
      <c r="A33" s="9">
        <v>42214</v>
      </c>
      <c r="B33" s="10">
        <f>23311.04+3428.15</f>
        <v>26739.190000000002</v>
      </c>
      <c r="C33" s="10">
        <v>0</v>
      </c>
      <c r="D33" s="10">
        <v>255</v>
      </c>
      <c r="E33" s="11">
        <f t="shared" si="0"/>
        <v>26484.190000000002</v>
      </c>
      <c r="F33" s="15">
        <v>26484.19</v>
      </c>
      <c r="G33" s="25" t="s">
        <v>9</v>
      </c>
      <c r="H33" s="15">
        <f t="shared" si="1"/>
        <v>0</v>
      </c>
    </row>
    <row r="34" spans="1:8" ht="15.75" x14ac:dyDescent="0.25">
      <c r="A34" s="9">
        <v>42215</v>
      </c>
      <c r="B34" s="10">
        <f>22158.15+27.95+7878.4</f>
        <v>30064.5</v>
      </c>
      <c r="C34" s="10">
        <v>504</v>
      </c>
      <c r="D34" s="10">
        <v>0</v>
      </c>
      <c r="E34" s="11">
        <f t="shared" si="0"/>
        <v>29560.5</v>
      </c>
      <c r="F34" s="15">
        <v>29560.5</v>
      </c>
      <c r="G34" s="25" t="s">
        <v>9</v>
      </c>
      <c r="H34" s="15">
        <f t="shared" si="1"/>
        <v>0</v>
      </c>
    </row>
    <row r="35" spans="1:8" ht="15.75" x14ac:dyDescent="0.25">
      <c r="A35" s="9">
        <v>42216</v>
      </c>
      <c r="B35" s="10">
        <f>54448.17+1593.12</f>
        <v>56041.29</v>
      </c>
      <c r="C35" s="10">
        <v>19519.669999999998</v>
      </c>
      <c r="D35" s="10">
        <v>241.5</v>
      </c>
      <c r="E35" s="11">
        <f t="shared" si="0"/>
        <v>36280.120000000003</v>
      </c>
      <c r="F35" s="15">
        <v>36280</v>
      </c>
      <c r="G35" s="25" t="s">
        <v>9</v>
      </c>
      <c r="H35" s="15">
        <f t="shared" si="1"/>
        <v>-0.12000000000261934</v>
      </c>
    </row>
    <row r="36" spans="1:8" ht="15.75" x14ac:dyDescent="0.25">
      <c r="A36" s="9"/>
      <c r="B36" s="10"/>
      <c r="C36" s="10"/>
      <c r="D36" s="10"/>
      <c r="E36" s="11">
        <f t="shared" si="0"/>
        <v>0</v>
      </c>
      <c r="F36" s="15"/>
      <c r="G36" s="25"/>
      <c r="H36" s="15">
        <f t="shared" si="1"/>
        <v>0</v>
      </c>
    </row>
    <row r="37" spans="1:8" ht="15.75" x14ac:dyDescent="0.25">
      <c r="A37" s="9"/>
      <c r="B37" s="10"/>
      <c r="C37" s="10"/>
      <c r="D37" s="10"/>
      <c r="E37" s="11">
        <f t="shared" si="0"/>
        <v>0</v>
      </c>
      <c r="F37" s="15"/>
      <c r="G37" s="4"/>
      <c r="H37" s="4"/>
    </row>
    <row r="38" spans="1:8" ht="15.75" x14ac:dyDescent="0.25">
      <c r="A38" s="14"/>
      <c r="B38" s="13"/>
      <c r="C38" s="10"/>
      <c r="D38" s="10"/>
      <c r="E38" s="11">
        <f t="shared" si="0"/>
        <v>0</v>
      </c>
      <c r="F38" s="15"/>
      <c r="G38" s="189"/>
      <c r="H38" s="4"/>
    </row>
    <row r="39" spans="1:8" ht="15.75" x14ac:dyDescent="0.25">
      <c r="A39" s="14"/>
      <c r="B39" s="10"/>
      <c r="C39" s="10"/>
      <c r="D39" s="10"/>
      <c r="E39" s="11">
        <f t="shared" si="0"/>
        <v>0</v>
      </c>
      <c r="F39" s="15"/>
      <c r="G39" s="4"/>
      <c r="H39" s="4"/>
    </row>
    <row r="40" spans="1:8" ht="15.75" x14ac:dyDescent="0.25">
      <c r="A40" s="14"/>
      <c r="B40" s="10">
        <f>SUM(B5:B39)</f>
        <v>1364847.4599999997</v>
      </c>
      <c r="C40" s="10"/>
      <c r="D40" s="10">
        <f>SUM(D5:D39)</f>
        <v>33585.520000000004</v>
      </c>
      <c r="E40" s="11">
        <f t="shared" si="0"/>
        <v>1331261.9399999997</v>
      </c>
      <c r="F40" s="15"/>
      <c r="G40" s="4"/>
      <c r="H40" s="4"/>
    </row>
    <row r="42" spans="1:8" ht="18.75" x14ac:dyDescent="0.3">
      <c r="B42" s="275" t="s">
        <v>223</v>
      </c>
      <c r="C42" s="275"/>
      <c r="D42" s="275"/>
      <c r="E42" s="275"/>
      <c r="F42" s="275"/>
    </row>
    <row r="44" spans="1:8" ht="16.5" thickBot="1" x14ac:dyDescent="0.3">
      <c r="A44" s="19" t="s">
        <v>0</v>
      </c>
      <c r="B44" s="20" t="s">
        <v>1</v>
      </c>
      <c r="C44" s="8" t="s">
        <v>3</v>
      </c>
      <c r="D44" s="21" t="s">
        <v>2</v>
      </c>
      <c r="E44" s="22" t="s">
        <v>4</v>
      </c>
      <c r="F44" s="27" t="s">
        <v>8</v>
      </c>
      <c r="G44" s="4"/>
      <c r="H44" s="4"/>
    </row>
    <row r="45" spans="1:8" ht="16.5" thickTop="1" x14ac:dyDescent="0.25">
      <c r="A45" s="9">
        <v>42217</v>
      </c>
      <c r="B45" s="10">
        <f>57383.33+4725.65</f>
        <v>62108.98</v>
      </c>
      <c r="C45" s="10">
        <v>1195</v>
      </c>
      <c r="D45" s="10">
        <v>20</v>
      </c>
      <c r="E45" s="11">
        <f>B45-C45-D45</f>
        <v>60893.98</v>
      </c>
      <c r="F45" s="15">
        <v>60893.98</v>
      </c>
      <c r="G45" s="25" t="s">
        <v>9</v>
      </c>
      <c r="H45" s="15">
        <f>F45-E45</f>
        <v>0</v>
      </c>
    </row>
    <row r="46" spans="1:8" ht="15.75" x14ac:dyDescent="0.25">
      <c r="A46" s="9">
        <v>42218</v>
      </c>
      <c r="B46" s="10">
        <f>57300.43+8199.01</f>
        <v>65499.44</v>
      </c>
      <c r="C46" s="10">
        <v>0</v>
      </c>
      <c r="D46" s="10">
        <v>4625</v>
      </c>
      <c r="E46" s="11">
        <f t="shared" ref="E46:E80" si="2">B46-C46-D46</f>
        <v>60874.44</v>
      </c>
      <c r="F46" s="15">
        <v>60874.44</v>
      </c>
      <c r="G46" s="25" t="s">
        <v>9</v>
      </c>
      <c r="H46" s="15">
        <f t="shared" ref="H46:H76" si="3">F46-E46</f>
        <v>0</v>
      </c>
    </row>
    <row r="47" spans="1:8" ht="15.75" x14ac:dyDescent="0.25">
      <c r="A47" s="9">
        <v>42219</v>
      </c>
      <c r="B47" s="10">
        <f>22660.07+3835.2+10244.8</f>
        <v>36740.07</v>
      </c>
      <c r="C47" s="10">
        <v>688.52</v>
      </c>
      <c r="D47" s="10">
        <v>2500</v>
      </c>
      <c r="E47" s="11">
        <f t="shared" si="2"/>
        <v>33551.550000000003</v>
      </c>
      <c r="F47" s="15">
        <v>33550</v>
      </c>
      <c r="G47" s="25" t="s">
        <v>9</v>
      </c>
      <c r="H47" s="15">
        <f t="shared" si="3"/>
        <v>-1.5500000000029104</v>
      </c>
    </row>
    <row r="48" spans="1:8" ht="15.75" x14ac:dyDescent="0.25">
      <c r="A48" s="9">
        <v>42220</v>
      </c>
      <c r="B48" s="10">
        <f>22292.96+1559.76+420.25</f>
        <v>24272.969999999998</v>
      </c>
      <c r="C48" s="10">
        <v>401</v>
      </c>
      <c r="D48" s="10">
        <v>1550</v>
      </c>
      <c r="E48" s="11">
        <f t="shared" si="2"/>
        <v>22321.969999999998</v>
      </c>
      <c r="F48" s="15">
        <v>22322</v>
      </c>
      <c r="G48" s="25" t="s">
        <v>9</v>
      </c>
      <c r="H48" s="15">
        <f t="shared" si="3"/>
        <v>3.0000000002473826E-2</v>
      </c>
    </row>
    <row r="49" spans="1:8" ht="15.75" x14ac:dyDescent="0.25">
      <c r="A49" s="9">
        <v>42221</v>
      </c>
      <c r="B49" s="10">
        <f>32438.49+3550+4196.28</f>
        <v>40184.770000000004</v>
      </c>
      <c r="C49" s="10">
        <v>1747</v>
      </c>
      <c r="D49" s="10">
        <v>80</v>
      </c>
      <c r="E49" s="11">
        <f t="shared" si="2"/>
        <v>38357.770000000004</v>
      </c>
      <c r="F49" s="15">
        <v>38358</v>
      </c>
      <c r="G49" s="25" t="s">
        <v>9</v>
      </c>
      <c r="H49" s="15">
        <f t="shared" si="3"/>
        <v>0.22999999999592546</v>
      </c>
    </row>
    <row r="50" spans="1:8" ht="15.75" x14ac:dyDescent="0.25">
      <c r="A50" s="9">
        <v>42222</v>
      </c>
      <c r="B50" s="10">
        <f>35863.96+327.23</f>
        <v>36191.19</v>
      </c>
      <c r="C50" s="10">
        <v>350</v>
      </c>
      <c r="D50" s="10">
        <v>0</v>
      </c>
      <c r="E50" s="11">
        <f t="shared" si="2"/>
        <v>35841.19</v>
      </c>
      <c r="F50" s="15">
        <v>35841.19</v>
      </c>
      <c r="G50" s="25" t="s">
        <v>9</v>
      </c>
      <c r="H50" s="15">
        <f t="shared" si="3"/>
        <v>0</v>
      </c>
    </row>
    <row r="51" spans="1:8" ht="15.75" x14ac:dyDescent="0.25">
      <c r="A51" s="9">
        <v>42223</v>
      </c>
      <c r="B51" s="10">
        <f>58001.58+1950+2387.88</f>
        <v>62339.46</v>
      </c>
      <c r="C51" s="10">
        <v>4262</v>
      </c>
      <c r="D51" s="10">
        <v>0</v>
      </c>
      <c r="E51" s="11">
        <f t="shared" si="2"/>
        <v>58077.46</v>
      </c>
      <c r="F51" s="15">
        <v>58077.46</v>
      </c>
      <c r="G51" s="25" t="s">
        <v>9</v>
      </c>
      <c r="H51" s="15">
        <f t="shared" si="3"/>
        <v>0</v>
      </c>
    </row>
    <row r="52" spans="1:8" ht="15.75" x14ac:dyDescent="0.25">
      <c r="A52" s="9">
        <v>42224</v>
      </c>
      <c r="B52" s="10">
        <f>43930.17+3200+14897.75</f>
        <v>62027.92</v>
      </c>
      <c r="C52" s="10">
        <v>1054</v>
      </c>
      <c r="D52" s="10">
        <v>20</v>
      </c>
      <c r="E52" s="11">
        <f t="shared" si="2"/>
        <v>60953.919999999998</v>
      </c>
      <c r="F52" s="15">
        <v>60950</v>
      </c>
      <c r="G52" s="25" t="s">
        <v>9</v>
      </c>
      <c r="H52" s="15">
        <f t="shared" si="3"/>
        <v>-3.9199999999982538</v>
      </c>
    </row>
    <row r="53" spans="1:8" ht="15.75" x14ac:dyDescent="0.25">
      <c r="A53" s="9">
        <v>42225</v>
      </c>
      <c r="B53" s="10">
        <f>41829.82+2000+10020.88</f>
        <v>53850.7</v>
      </c>
      <c r="C53" s="10">
        <v>1524.04</v>
      </c>
      <c r="D53" s="10">
        <v>0</v>
      </c>
      <c r="E53" s="11">
        <f t="shared" si="2"/>
        <v>52326.659999999996</v>
      </c>
      <c r="F53" s="15">
        <v>52326.66</v>
      </c>
      <c r="G53" s="25" t="s">
        <v>9</v>
      </c>
      <c r="H53" s="15">
        <f t="shared" si="3"/>
        <v>0</v>
      </c>
    </row>
    <row r="54" spans="1:8" ht="15.75" x14ac:dyDescent="0.25">
      <c r="A54" s="9">
        <v>42226</v>
      </c>
      <c r="B54" s="10">
        <f>32476.33+720+2787.86</f>
        <v>35984.19</v>
      </c>
      <c r="C54" s="10">
        <v>4684.21</v>
      </c>
      <c r="D54" s="10">
        <v>1212</v>
      </c>
      <c r="E54" s="11">
        <f t="shared" si="2"/>
        <v>30087.980000000003</v>
      </c>
      <c r="F54" s="15">
        <v>30087.98</v>
      </c>
      <c r="G54" s="25" t="s">
        <v>9</v>
      </c>
      <c r="H54" s="15">
        <f t="shared" si="3"/>
        <v>0</v>
      </c>
    </row>
    <row r="55" spans="1:8" ht="15.75" x14ac:dyDescent="0.25">
      <c r="A55" s="9">
        <v>42227</v>
      </c>
      <c r="B55" s="10">
        <f>21138.49+14516.07</f>
        <v>35654.559999999998</v>
      </c>
      <c r="C55" s="10">
        <v>1206</v>
      </c>
      <c r="D55" s="10">
        <v>0</v>
      </c>
      <c r="E55" s="11">
        <f t="shared" si="2"/>
        <v>34448.559999999998</v>
      </c>
      <c r="F55" s="15">
        <v>34448.559999999998</v>
      </c>
      <c r="G55" s="25" t="s">
        <v>9</v>
      </c>
      <c r="H55" s="15">
        <f t="shared" si="3"/>
        <v>0</v>
      </c>
    </row>
    <row r="56" spans="1:8" ht="15.75" x14ac:dyDescent="0.25">
      <c r="A56" s="9">
        <v>42228</v>
      </c>
      <c r="B56" s="10">
        <f>39244.31+5208.42</f>
        <v>44452.729999999996</v>
      </c>
      <c r="C56" s="10">
        <v>3544</v>
      </c>
      <c r="D56" s="10">
        <v>232</v>
      </c>
      <c r="E56" s="11">
        <f t="shared" si="2"/>
        <v>40676.729999999996</v>
      </c>
      <c r="F56" s="15">
        <v>40677</v>
      </c>
      <c r="G56" s="25" t="s">
        <v>9</v>
      </c>
      <c r="H56" s="15">
        <f t="shared" si="3"/>
        <v>0.27000000000407454</v>
      </c>
    </row>
    <row r="57" spans="1:8" ht="15.75" x14ac:dyDescent="0.25">
      <c r="A57" s="9">
        <v>42229</v>
      </c>
      <c r="B57" s="10">
        <f>33423.4+882.55+3567.16</f>
        <v>37873.11</v>
      </c>
      <c r="C57" s="10">
        <v>1553.65</v>
      </c>
      <c r="D57" s="10">
        <v>0</v>
      </c>
      <c r="E57" s="11">
        <f t="shared" si="2"/>
        <v>36319.46</v>
      </c>
      <c r="F57" s="15">
        <f>36320</f>
        <v>36320</v>
      </c>
      <c r="G57" s="25" t="s">
        <v>9</v>
      </c>
      <c r="H57" s="15">
        <f t="shared" si="3"/>
        <v>0.54000000000087311</v>
      </c>
    </row>
    <row r="58" spans="1:8" ht="15.75" x14ac:dyDescent="0.25">
      <c r="A58" s="9">
        <v>42230</v>
      </c>
      <c r="B58" s="10">
        <f>62345.78+1752.76+3881.3</f>
        <v>67979.839999999997</v>
      </c>
      <c r="C58" s="10">
        <v>0</v>
      </c>
      <c r="D58" s="10">
        <v>528.97</v>
      </c>
      <c r="E58" s="11">
        <f t="shared" si="2"/>
        <v>67450.87</v>
      </c>
      <c r="F58" s="15">
        <f>66900+551</f>
        <v>67451</v>
      </c>
      <c r="G58" s="25" t="s">
        <v>9</v>
      </c>
      <c r="H58" s="15">
        <f t="shared" si="3"/>
        <v>0.13000000000465661</v>
      </c>
    </row>
    <row r="59" spans="1:8" ht="15.75" x14ac:dyDescent="0.25">
      <c r="A59" s="9">
        <v>42231</v>
      </c>
      <c r="B59" s="10">
        <f>55791.22+10698.07</f>
        <v>66489.290000000008</v>
      </c>
      <c r="C59" s="10">
        <v>20</v>
      </c>
      <c r="D59" s="10">
        <f>549+2700</f>
        <v>3249</v>
      </c>
      <c r="E59" s="11">
        <f t="shared" si="2"/>
        <v>63220.290000000008</v>
      </c>
      <c r="F59" s="15">
        <f>63210+10</f>
        <v>63220</v>
      </c>
      <c r="G59" s="25" t="s">
        <v>9</v>
      </c>
      <c r="H59" s="15">
        <f t="shared" si="3"/>
        <v>-0.29000000000814907</v>
      </c>
    </row>
    <row r="60" spans="1:8" ht="15.75" x14ac:dyDescent="0.25">
      <c r="A60" s="9">
        <v>42232</v>
      </c>
      <c r="B60" s="10">
        <f>30624.96+1400+1979</f>
        <v>34003.96</v>
      </c>
      <c r="C60" s="10">
        <v>1185.8399999999999</v>
      </c>
      <c r="D60" s="10">
        <v>0</v>
      </c>
      <c r="E60" s="11">
        <f t="shared" si="2"/>
        <v>32818.120000000003</v>
      </c>
      <c r="F60" s="15">
        <v>32818.720000000001</v>
      </c>
      <c r="G60" s="25" t="s">
        <v>9</v>
      </c>
      <c r="H60" s="15">
        <f t="shared" si="3"/>
        <v>0.59999999999854481</v>
      </c>
    </row>
    <row r="61" spans="1:8" ht="15.75" x14ac:dyDescent="0.25">
      <c r="A61" s="9">
        <v>42233</v>
      </c>
      <c r="B61" s="10">
        <f>44647.58+3280+11543.25</f>
        <v>59470.83</v>
      </c>
      <c r="C61" s="10">
        <v>0</v>
      </c>
      <c r="D61" s="10">
        <v>5850</v>
      </c>
      <c r="E61" s="11">
        <f t="shared" si="2"/>
        <v>53620.83</v>
      </c>
      <c r="F61" s="15">
        <v>53621</v>
      </c>
      <c r="G61" s="25" t="s">
        <v>9</v>
      </c>
      <c r="H61" s="15">
        <f t="shared" si="3"/>
        <v>0.16999999999825377</v>
      </c>
    </row>
    <row r="62" spans="1:8" ht="15.75" x14ac:dyDescent="0.25">
      <c r="A62" s="9">
        <v>42234</v>
      </c>
      <c r="B62" s="10">
        <f>29915.15+1500+7714.37</f>
        <v>39129.520000000004</v>
      </c>
      <c r="C62" s="10">
        <v>465</v>
      </c>
      <c r="D62" s="10">
        <v>0</v>
      </c>
      <c r="E62" s="11">
        <f t="shared" si="2"/>
        <v>38664.520000000004</v>
      </c>
      <c r="F62" s="15">
        <v>38664.5</v>
      </c>
      <c r="G62" s="25" t="s">
        <v>9</v>
      </c>
      <c r="H62" s="15">
        <f t="shared" si="3"/>
        <v>-2.0000000004074536E-2</v>
      </c>
    </row>
    <row r="63" spans="1:8" ht="15.75" x14ac:dyDescent="0.25">
      <c r="A63" s="9">
        <v>42235</v>
      </c>
      <c r="B63" s="10">
        <f>29420.51+5646.36</f>
        <v>35066.869999999995</v>
      </c>
      <c r="C63" s="10">
        <v>730</v>
      </c>
      <c r="D63" s="10">
        <v>0</v>
      </c>
      <c r="E63" s="11">
        <f t="shared" si="2"/>
        <v>34336.869999999995</v>
      </c>
      <c r="F63" s="15">
        <v>34336.870000000003</v>
      </c>
      <c r="G63" s="25" t="s">
        <v>9</v>
      </c>
      <c r="H63" s="15">
        <f t="shared" si="3"/>
        <v>0</v>
      </c>
    </row>
    <row r="64" spans="1:8" ht="15.75" x14ac:dyDescent="0.25">
      <c r="A64" s="9">
        <v>42236</v>
      </c>
      <c r="B64" s="10">
        <f>29445.34+1025+6757.3</f>
        <v>37227.64</v>
      </c>
      <c r="C64" s="10">
        <v>0</v>
      </c>
      <c r="D64" s="10">
        <v>0</v>
      </c>
      <c r="E64" s="11">
        <f t="shared" si="2"/>
        <v>37227.64</v>
      </c>
      <c r="F64" s="15">
        <v>37227.64</v>
      </c>
      <c r="G64" s="25" t="s">
        <v>9</v>
      </c>
      <c r="H64" s="15">
        <f t="shared" si="3"/>
        <v>0</v>
      </c>
    </row>
    <row r="65" spans="1:10" ht="15.75" x14ac:dyDescent="0.25">
      <c r="A65" s="9">
        <v>42237</v>
      </c>
      <c r="B65" s="10">
        <f>51463.91+1398.8+3744.16</f>
        <v>56606.87000000001</v>
      </c>
      <c r="C65" s="10">
        <v>998</v>
      </c>
      <c r="D65" s="10">
        <v>2400</v>
      </c>
      <c r="E65" s="11">
        <f t="shared" si="2"/>
        <v>53208.87000000001</v>
      </c>
      <c r="F65" s="15">
        <f>53208.87</f>
        <v>53208.87</v>
      </c>
      <c r="G65" s="25" t="s">
        <v>9</v>
      </c>
      <c r="H65" s="15">
        <f t="shared" si="3"/>
        <v>0</v>
      </c>
    </row>
    <row r="66" spans="1:10" ht="15.75" x14ac:dyDescent="0.25">
      <c r="A66" s="9">
        <v>42238</v>
      </c>
      <c r="B66" s="10">
        <f>59868.34+5330+4129.96</f>
        <v>69328.3</v>
      </c>
      <c r="C66" s="10">
        <v>220</v>
      </c>
      <c r="D66" s="10">
        <v>1390</v>
      </c>
      <c r="E66" s="11">
        <f t="shared" si="2"/>
        <v>67718.3</v>
      </c>
      <c r="F66" s="15">
        <f>18000+25000+20000+4718</f>
        <v>67718</v>
      </c>
      <c r="G66" s="25" t="s">
        <v>9</v>
      </c>
      <c r="H66" s="15">
        <f t="shared" si="3"/>
        <v>-0.30000000000291038</v>
      </c>
    </row>
    <row r="67" spans="1:10" ht="15.75" x14ac:dyDescent="0.25">
      <c r="A67" s="9">
        <v>42239</v>
      </c>
      <c r="B67" s="10">
        <f>48679.93+2730+10417.21</f>
        <v>61827.14</v>
      </c>
      <c r="C67" s="10">
        <v>448</v>
      </c>
      <c r="D67" s="10">
        <v>6408.95</v>
      </c>
      <c r="E67" s="11">
        <f t="shared" si="2"/>
        <v>54970.19</v>
      </c>
      <c r="F67" s="15">
        <f>54830+140</f>
        <v>54970</v>
      </c>
      <c r="G67" s="25" t="s">
        <v>9</v>
      </c>
      <c r="H67" s="15">
        <f t="shared" si="3"/>
        <v>-0.19000000000232831</v>
      </c>
    </row>
    <row r="68" spans="1:10" ht="15.75" x14ac:dyDescent="0.25">
      <c r="A68" s="9">
        <v>42240</v>
      </c>
      <c r="B68" s="10">
        <f>29914.72+3306.8+6039.67</f>
        <v>39261.19</v>
      </c>
      <c r="C68" s="10">
        <v>0</v>
      </c>
      <c r="D68" s="10">
        <v>0</v>
      </c>
      <c r="E68" s="11">
        <f t="shared" si="2"/>
        <v>39261.19</v>
      </c>
      <c r="F68" s="15">
        <v>39261.19</v>
      </c>
      <c r="G68" s="25" t="s">
        <v>9</v>
      </c>
      <c r="H68" s="15">
        <f t="shared" si="3"/>
        <v>0</v>
      </c>
    </row>
    <row r="69" spans="1:10" ht="15.75" x14ac:dyDescent="0.25">
      <c r="A69" s="9">
        <v>42241</v>
      </c>
      <c r="B69" s="10">
        <f>25799.73+691+2322.2</f>
        <v>28812.93</v>
      </c>
      <c r="C69" s="10">
        <v>397.66</v>
      </c>
      <c r="D69" s="10">
        <v>0</v>
      </c>
      <c r="E69" s="11">
        <f t="shared" si="2"/>
        <v>28415.27</v>
      </c>
      <c r="F69" s="15">
        <v>28415.27</v>
      </c>
      <c r="G69" s="25" t="s">
        <v>9</v>
      </c>
      <c r="H69" s="15">
        <f t="shared" si="3"/>
        <v>0</v>
      </c>
      <c r="J69" t="s">
        <v>629</v>
      </c>
    </row>
    <row r="70" spans="1:10" ht="15.75" x14ac:dyDescent="0.25">
      <c r="A70" s="9">
        <v>42242</v>
      </c>
      <c r="B70" s="10">
        <f>21411.06+630+1910.54</f>
        <v>23951.600000000002</v>
      </c>
      <c r="C70" s="10">
        <v>1246</v>
      </c>
      <c r="D70" s="10">
        <v>70</v>
      </c>
      <c r="E70" s="11">
        <f t="shared" si="2"/>
        <v>22635.600000000002</v>
      </c>
      <c r="F70" s="15">
        <v>22635.5</v>
      </c>
      <c r="G70" s="25" t="s">
        <v>9</v>
      </c>
      <c r="H70" s="15">
        <f t="shared" si="3"/>
        <v>-0.10000000000218279</v>
      </c>
    </row>
    <row r="71" spans="1:10" ht="15.75" x14ac:dyDescent="0.25">
      <c r="A71" s="9">
        <v>42243</v>
      </c>
      <c r="B71" s="10">
        <f>27103.1+2018.85</f>
        <v>29121.949999999997</v>
      </c>
      <c r="C71" s="10">
        <f>125</f>
        <v>125</v>
      </c>
      <c r="D71" s="10">
        <v>2500</v>
      </c>
      <c r="E71" s="11">
        <f t="shared" si="2"/>
        <v>26496.949999999997</v>
      </c>
      <c r="F71" s="15">
        <v>24980.5</v>
      </c>
      <c r="G71" s="42"/>
      <c r="H71" s="15">
        <f t="shared" si="3"/>
        <v>-1516.4499999999971</v>
      </c>
      <c r="I71" s="39" t="s">
        <v>630</v>
      </c>
    </row>
    <row r="72" spans="1:10" ht="15.75" x14ac:dyDescent="0.25">
      <c r="A72" s="9">
        <v>42244</v>
      </c>
      <c r="B72" s="10">
        <f>58664.66+4100.38</f>
        <v>62765.04</v>
      </c>
      <c r="C72" s="10">
        <v>370</v>
      </c>
      <c r="D72" s="10">
        <v>0</v>
      </c>
      <c r="E72" s="11">
        <f t="shared" si="2"/>
        <v>62395.040000000001</v>
      </c>
      <c r="F72" s="15">
        <v>62395</v>
      </c>
      <c r="G72" s="25" t="s">
        <v>9</v>
      </c>
      <c r="H72" s="15">
        <f t="shared" si="3"/>
        <v>-4.0000000000873115E-2</v>
      </c>
    </row>
    <row r="73" spans="1:10" ht="15.75" x14ac:dyDescent="0.25">
      <c r="A73" s="9">
        <v>42245</v>
      </c>
      <c r="B73" s="10">
        <f>56097.03+3520+4709.09</f>
        <v>64326.119999999995</v>
      </c>
      <c r="C73" s="10">
        <v>3670</v>
      </c>
      <c r="D73" s="10">
        <v>110</v>
      </c>
      <c r="E73" s="11">
        <f t="shared" si="2"/>
        <v>60546.119999999995</v>
      </c>
      <c r="F73" s="15">
        <f>48546</f>
        <v>48546</v>
      </c>
      <c r="G73" s="42"/>
      <c r="H73" s="15">
        <f t="shared" si="3"/>
        <v>-12000.119999999995</v>
      </c>
      <c r="I73" s="39" t="s">
        <v>631</v>
      </c>
    </row>
    <row r="74" spans="1:10" ht="15.75" x14ac:dyDescent="0.25">
      <c r="A74" s="9">
        <v>42246</v>
      </c>
      <c r="B74" s="10">
        <f>51530.09+581.4+11495.91</f>
        <v>63607.399999999994</v>
      </c>
      <c r="C74" s="10">
        <v>1635</v>
      </c>
      <c r="D74" s="10">
        <v>6250</v>
      </c>
      <c r="E74" s="11">
        <f t="shared" si="2"/>
        <v>55722.399999999994</v>
      </c>
      <c r="F74" s="15">
        <v>55725</v>
      </c>
      <c r="G74" s="25" t="s">
        <v>9</v>
      </c>
      <c r="H74" s="15">
        <f t="shared" si="3"/>
        <v>2.6000000000058208</v>
      </c>
    </row>
    <row r="75" spans="1:10" ht="15.75" x14ac:dyDescent="0.25">
      <c r="A75" s="9">
        <v>42247</v>
      </c>
      <c r="B75" s="10">
        <f>28935.2+3700</f>
        <v>32635.200000000001</v>
      </c>
      <c r="C75" s="10">
        <v>476</v>
      </c>
      <c r="D75" s="10">
        <v>0</v>
      </c>
      <c r="E75" s="11">
        <f t="shared" si="2"/>
        <v>32159.200000000001</v>
      </c>
      <c r="F75" s="15">
        <v>32158</v>
      </c>
      <c r="G75" s="25" t="s">
        <v>9</v>
      </c>
      <c r="H75" s="15">
        <f t="shared" si="3"/>
        <v>-1.2000000000007276</v>
      </c>
    </row>
    <row r="76" spans="1:10" ht="15.75" x14ac:dyDescent="0.25">
      <c r="A76" s="9"/>
      <c r="B76" s="10"/>
      <c r="C76" s="10"/>
      <c r="D76" s="10"/>
      <c r="E76" s="11">
        <f t="shared" si="2"/>
        <v>0</v>
      </c>
      <c r="F76" s="15"/>
      <c r="G76" s="25"/>
      <c r="H76" s="15">
        <f t="shared" si="3"/>
        <v>0</v>
      </c>
    </row>
    <row r="77" spans="1:10" ht="15.75" x14ac:dyDescent="0.25">
      <c r="A77" s="9"/>
      <c r="B77" s="10"/>
      <c r="C77" s="10"/>
      <c r="D77" s="10"/>
      <c r="E77" s="11">
        <f t="shared" si="2"/>
        <v>0</v>
      </c>
      <c r="F77" s="15"/>
      <c r="G77" s="4"/>
      <c r="H77" s="4"/>
    </row>
    <row r="78" spans="1:10" ht="15.75" x14ac:dyDescent="0.25">
      <c r="A78" s="14"/>
      <c r="B78" s="13"/>
      <c r="C78" s="10"/>
      <c r="D78" s="10"/>
      <c r="E78" s="11">
        <f t="shared" si="2"/>
        <v>0</v>
      </c>
      <c r="F78" s="15"/>
      <c r="G78" s="189"/>
      <c r="H78" s="4"/>
    </row>
    <row r="79" spans="1:10" ht="15.75" x14ac:dyDescent="0.25">
      <c r="A79" s="14"/>
      <c r="B79" s="10"/>
      <c r="C79" s="10"/>
      <c r="D79" s="10"/>
      <c r="E79" s="11">
        <f t="shared" si="2"/>
        <v>0</v>
      </c>
      <c r="F79" s="15"/>
      <c r="G79" s="4"/>
      <c r="H79" s="4"/>
    </row>
    <row r="80" spans="1:10" ht="15.75" x14ac:dyDescent="0.25">
      <c r="A80" s="14"/>
      <c r="B80" s="10">
        <f>SUM(B45:B79)</f>
        <v>1468791.7799999996</v>
      </c>
      <c r="C80" s="10"/>
      <c r="D80" s="10">
        <f>SUM(D45:D79)</f>
        <v>38995.919999999998</v>
      </c>
      <c r="E80" s="11">
        <f t="shared" si="2"/>
        <v>1429795.8599999996</v>
      </c>
      <c r="F80" s="15"/>
      <c r="G80" s="4"/>
      <c r="H80" s="4"/>
    </row>
    <row r="82" spans="1:10" ht="18.75" x14ac:dyDescent="0.3">
      <c r="B82" s="275" t="s">
        <v>254</v>
      </c>
      <c r="C82" s="275"/>
      <c r="D82" s="275"/>
      <c r="E82" s="275"/>
      <c r="F82" s="275"/>
    </row>
    <row r="84" spans="1:10" ht="16.5" thickBot="1" x14ac:dyDescent="0.3">
      <c r="A84" s="19" t="s">
        <v>0</v>
      </c>
      <c r="B84" s="20" t="s">
        <v>1</v>
      </c>
      <c r="C84" s="8" t="s">
        <v>3</v>
      </c>
      <c r="D84" s="21" t="s">
        <v>2</v>
      </c>
      <c r="E84" s="22" t="s">
        <v>4</v>
      </c>
      <c r="F84" s="27" t="s">
        <v>8</v>
      </c>
      <c r="G84" s="4"/>
      <c r="H84" s="4"/>
    </row>
    <row r="85" spans="1:10" ht="16.5" thickTop="1" x14ac:dyDescent="0.25">
      <c r="A85" s="9">
        <v>42248</v>
      </c>
      <c r="B85" s="10">
        <f>36344.04+6384.96</f>
        <v>42729</v>
      </c>
      <c r="C85" s="10">
        <v>0</v>
      </c>
      <c r="D85" s="10">
        <v>400</v>
      </c>
      <c r="E85" s="11">
        <f>B85-C85-D85</f>
        <v>42329</v>
      </c>
      <c r="F85" s="15">
        <v>42329</v>
      </c>
      <c r="G85" s="25" t="s">
        <v>9</v>
      </c>
      <c r="H85" s="15">
        <f>F85-E85</f>
        <v>0</v>
      </c>
    </row>
    <row r="86" spans="1:10" ht="15.75" x14ac:dyDescent="0.25">
      <c r="A86" s="9">
        <v>42249</v>
      </c>
      <c r="B86" s="10">
        <f>24870.9+336+2107</f>
        <v>27313.9</v>
      </c>
      <c r="C86" s="10">
        <v>553</v>
      </c>
      <c r="D86" s="10">
        <v>0</v>
      </c>
      <c r="E86" s="11">
        <f t="shared" ref="E86:E120" si="4">B86-C86-D86</f>
        <v>26760.9</v>
      </c>
      <c r="F86" s="15">
        <v>26761</v>
      </c>
      <c r="G86" s="25" t="s">
        <v>9</v>
      </c>
      <c r="H86" s="15">
        <f t="shared" ref="H86:H116" si="5">F86-E86</f>
        <v>9.9999999998544808E-2</v>
      </c>
    </row>
    <row r="87" spans="1:10" ht="15.75" x14ac:dyDescent="0.25">
      <c r="A87" s="9">
        <v>42250</v>
      </c>
      <c r="B87" s="10">
        <f>32769.45+1739.8+2844.27</f>
        <v>37353.519999999997</v>
      </c>
      <c r="C87" s="10">
        <v>0</v>
      </c>
      <c r="D87" s="10">
        <v>472.2</v>
      </c>
      <c r="E87" s="180">
        <f t="shared" si="4"/>
        <v>36881.32</v>
      </c>
      <c r="F87" s="15">
        <v>36881</v>
      </c>
      <c r="G87" s="25" t="s">
        <v>9</v>
      </c>
      <c r="H87" s="15">
        <f t="shared" si="5"/>
        <v>-0.31999999999970896</v>
      </c>
    </row>
    <row r="88" spans="1:10" ht="15.75" x14ac:dyDescent="0.25">
      <c r="A88" s="9">
        <v>42251</v>
      </c>
      <c r="B88" s="122">
        <f>54484.22+1262.94+9833.08</f>
        <v>65580.240000000005</v>
      </c>
      <c r="C88" s="122">
        <v>5820.48</v>
      </c>
      <c r="D88" s="122">
        <v>35</v>
      </c>
      <c r="E88" s="180">
        <f t="shared" si="4"/>
        <v>59724.760000000009</v>
      </c>
      <c r="G88" s="39"/>
      <c r="H88" s="15">
        <f t="shared" si="5"/>
        <v>-59724.760000000009</v>
      </c>
    </row>
    <row r="89" spans="1:10" ht="15.75" x14ac:dyDescent="0.25">
      <c r="A89" s="9">
        <v>42252</v>
      </c>
      <c r="B89" s="10">
        <f>69610.91+5734.6+17037.26+905</f>
        <v>93287.77</v>
      </c>
      <c r="C89" s="10">
        <v>187</v>
      </c>
      <c r="D89" s="10">
        <v>130</v>
      </c>
      <c r="E89" s="11">
        <f>B89-C89-D89</f>
        <v>92970.77</v>
      </c>
      <c r="F89" s="15">
        <f>92066+905</f>
        <v>92971</v>
      </c>
      <c r="G89" s="25" t="s">
        <v>9</v>
      </c>
      <c r="H89" s="15">
        <f>F89-E89</f>
        <v>0.22999999999592546</v>
      </c>
    </row>
    <row r="90" spans="1:10" ht="15.75" x14ac:dyDescent="0.25">
      <c r="A90" s="9">
        <v>42253</v>
      </c>
      <c r="B90" s="10">
        <f>54383.83+4030+6400.81</f>
        <v>64814.64</v>
      </c>
      <c r="C90" s="10">
        <v>0</v>
      </c>
      <c r="D90" s="10">
        <v>6250</v>
      </c>
      <c r="E90" s="11">
        <f>B90-C90-D90</f>
        <v>58564.639999999999</v>
      </c>
      <c r="F90" s="15">
        <v>58564.5</v>
      </c>
      <c r="G90" s="25" t="s">
        <v>9</v>
      </c>
      <c r="H90" s="15">
        <f>F90-E90</f>
        <v>-0.13999999999941792</v>
      </c>
    </row>
    <row r="91" spans="1:10" ht="15.75" x14ac:dyDescent="0.25">
      <c r="A91" s="9">
        <v>42254</v>
      </c>
      <c r="B91" s="10">
        <f>21238.32+3000.73</f>
        <v>24239.05</v>
      </c>
      <c r="C91" s="10">
        <v>388</v>
      </c>
      <c r="D91" s="10">
        <v>0</v>
      </c>
      <c r="E91" s="11">
        <f>B91-C91-D91</f>
        <v>23851.05</v>
      </c>
      <c r="F91" s="15">
        <v>23851</v>
      </c>
      <c r="G91" s="25" t="s">
        <v>9</v>
      </c>
      <c r="H91" s="15">
        <f>F91-E91</f>
        <v>-4.9999999999272404E-2</v>
      </c>
    </row>
    <row r="92" spans="1:10" ht="15.75" x14ac:dyDescent="0.25">
      <c r="A92" s="9">
        <v>42255</v>
      </c>
      <c r="B92" s="10">
        <f>24357.46+8267.42</f>
        <v>32624.879999999997</v>
      </c>
      <c r="C92" s="10">
        <v>240</v>
      </c>
      <c r="D92" s="10">
        <v>0</v>
      </c>
      <c r="E92" s="11">
        <f t="shared" si="4"/>
        <v>32384.879999999997</v>
      </c>
      <c r="F92" s="15">
        <v>32385</v>
      </c>
      <c r="G92" s="25" t="s">
        <v>9</v>
      </c>
      <c r="H92" s="15">
        <f t="shared" si="5"/>
        <v>0.12000000000261934</v>
      </c>
    </row>
    <row r="93" spans="1:10" ht="15.75" x14ac:dyDescent="0.25">
      <c r="A93" s="9">
        <v>42256</v>
      </c>
      <c r="B93" s="10">
        <f>23908.51+2864.4+1335.13</f>
        <v>28108.04</v>
      </c>
      <c r="C93" s="10">
        <v>0</v>
      </c>
      <c r="D93" s="10">
        <v>0</v>
      </c>
      <c r="E93" s="11">
        <f t="shared" si="4"/>
        <v>28108.04</v>
      </c>
      <c r="F93" s="15">
        <v>28108</v>
      </c>
      <c r="G93" s="25" t="s">
        <v>9</v>
      </c>
      <c r="H93" s="15">
        <f t="shared" si="5"/>
        <v>-4.0000000000873115E-2</v>
      </c>
    </row>
    <row r="94" spans="1:10" ht="15.75" x14ac:dyDescent="0.25">
      <c r="A94" s="9">
        <v>42257</v>
      </c>
      <c r="B94" s="10">
        <f>29121.06+1181.7+7581.39</f>
        <v>37884.15</v>
      </c>
      <c r="C94" s="10">
        <v>770.58</v>
      </c>
      <c r="D94" s="10">
        <v>0</v>
      </c>
      <c r="E94" s="11">
        <f t="shared" si="4"/>
        <v>37113.57</v>
      </c>
      <c r="F94" s="15">
        <f>8113.5+29000</f>
        <v>37113.5</v>
      </c>
      <c r="G94" s="25" t="s">
        <v>9</v>
      </c>
      <c r="H94" s="15">
        <f t="shared" si="5"/>
        <v>-6.9999999999708962E-2</v>
      </c>
    </row>
    <row r="95" spans="1:10" ht="15.75" x14ac:dyDescent="0.25">
      <c r="A95" s="9">
        <v>42258</v>
      </c>
      <c r="B95" s="10">
        <f>45015.28+954+2753.13</f>
        <v>48722.409999999996</v>
      </c>
      <c r="C95" s="10">
        <v>2072</v>
      </c>
      <c r="D95" s="10">
        <v>0</v>
      </c>
      <c r="E95" s="11">
        <f t="shared" si="4"/>
        <v>46650.409999999996</v>
      </c>
      <c r="F95" s="15">
        <v>46650</v>
      </c>
      <c r="G95" s="25" t="s">
        <v>9</v>
      </c>
      <c r="H95" s="15">
        <f t="shared" si="5"/>
        <v>-0.4099999999962165</v>
      </c>
    </row>
    <row r="96" spans="1:10" ht="15.75" x14ac:dyDescent="0.25">
      <c r="A96" s="9">
        <v>42259</v>
      </c>
      <c r="B96" s="10">
        <f>53067.92+1000+14329.69</f>
        <v>68397.61</v>
      </c>
      <c r="C96" s="10">
        <v>1425.44</v>
      </c>
      <c r="D96" s="10">
        <v>20</v>
      </c>
      <c r="E96" s="11">
        <f t="shared" si="4"/>
        <v>66952.17</v>
      </c>
      <c r="F96" s="15">
        <v>66940</v>
      </c>
      <c r="G96" s="25" t="s">
        <v>9</v>
      </c>
      <c r="H96" s="15">
        <f t="shared" si="5"/>
        <v>-12.169999999998254</v>
      </c>
      <c r="J96" s="60" t="s">
        <v>643</v>
      </c>
    </row>
    <row r="97" spans="1:10" ht="15.75" x14ac:dyDescent="0.25">
      <c r="A97" s="9">
        <v>42260</v>
      </c>
      <c r="B97" s="10">
        <f>24353.61+6234.91+19987.25</f>
        <v>50575.770000000004</v>
      </c>
      <c r="C97" s="10">
        <v>0</v>
      </c>
      <c r="D97" s="10">
        <f>5541.5+693</f>
        <v>6234.5</v>
      </c>
      <c r="E97" s="11">
        <f t="shared" si="4"/>
        <v>44341.270000000004</v>
      </c>
      <c r="F97" s="15">
        <f>44341.27</f>
        <v>44341.27</v>
      </c>
      <c r="G97" s="25" t="s">
        <v>9</v>
      </c>
      <c r="H97" s="15">
        <f t="shared" si="5"/>
        <v>0</v>
      </c>
    </row>
    <row r="98" spans="1:10" ht="15.75" x14ac:dyDescent="0.25">
      <c r="A98" s="9">
        <v>42261</v>
      </c>
      <c r="B98" s="10">
        <f>38228.07+9276.8</f>
        <v>47504.869999999995</v>
      </c>
      <c r="C98" s="10">
        <v>630</v>
      </c>
      <c r="D98" s="10">
        <v>0</v>
      </c>
      <c r="E98" s="11">
        <f t="shared" si="4"/>
        <v>46874.869999999995</v>
      </c>
      <c r="F98" s="15">
        <v>46875</v>
      </c>
      <c r="G98" s="25" t="s">
        <v>9</v>
      </c>
      <c r="H98" s="15">
        <f t="shared" si="5"/>
        <v>0.13000000000465661</v>
      </c>
    </row>
    <row r="99" spans="1:10" ht="15.75" x14ac:dyDescent="0.25">
      <c r="A99" s="9">
        <v>42262</v>
      </c>
      <c r="B99" s="10">
        <f>68607.06+5176.62</f>
        <v>73783.679999999993</v>
      </c>
      <c r="C99" s="10">
        <v>0</v>
      </c>
      <c r="D99" s="10">
        <v>1150</v>
      </c>
      <c r="E99" s="11">
        <f t="shared" si="4"/>
        <v>72633.679999999993</v>
      </c>
      <c r="F99" s="15">
        <v>72633.5</v>
      </c>
      <c r="G99" s="25" t="s">
        <v>9</v>
      </c>
      <c r="H99" s="15">
        <f t="shared" si="5"/>
        <v>-0.17999999999301508</v>
      </c>
    </row>
    <row r="100" spans="1:10" ht="15.75" x14ac:dyDescent="0.25">
      <c r="A100" s="9">
        <v>42263</v>
      </c>
      <c r="B100" s="10">
        <f>17345.58</f>
        <v>17345.580000000002</v>
      </c>
      <c r="C100" s="10">
        <v>0</v>
      </c>
      <c r="D100" s="10">
        <v>0</v>
      </c>
      <c r="E100" s="11">
        <f t="shared" si="4"/>
        <v>17345.580000000002</v>
      </c>
      <c r="F100" s="15">
        <v>17345.5</v>
      </c>
      <c r="G100" s="25" t="s">
        <v>9</v>
      </c>
      <c r="H100" s="15">
        <f t="shared" si="5"/>
        <v>-8.000000000174623E-2</v>
      </c>
    </row>
    <row r="101" spans="1:10" ht="15.75" x14ac:dyDescent="0.25">
      <c r="A101" s="9">
        <v>42264</v>
      </c>
      <c r="B101" s="10">
        <f>31739.4+3296.3</f>
        <v>35035.700000000004</v>
      </c>
      <c r="C101" s="10">
        <v>450.56</v>
      </c>
      <c r="D101" s="10">
        <v>74</v>
      </c>
      <c r="E101" s="11">
        <f t="shared" si="4"/>
        <v>34511.140000000007</v>
      </c>
      <c r="F101" s="15">
        <v>34511</v>
      </c>
      <c r="G101" s="25" t="s">
        <v>9</v>
      </c>
      <c r="H101" s="15">
        <f t="shared" si="5"/>
        <v>-0.14000000000669388</v>
      </c>
    </row>
    <row r="102" spans="1:10" ht="15.75" x14ac:dyDescent="0.25">
      <c r="A102" s="9">
        <v>42265</v>
      </c>
      <c r="B102" s="10">
        <f>44826.58+1224+7175.45</f>
        <v>53226.03</v>
      </c>
      <c r="C102" s="10">
        <v>0</v>
      </c>
      <c r="D102" s="10">
        <v>258</v>
      </c>
      <c r="E102" s="11">
        <f t="shared" si="4"/>
        <v>52968.03</v>
      </c>
      <c r="F102" s="15">
        <v>52968</v>
      </c>
      <c r="G102" s="25" t="s">
        <v>9</v>
      </c>
      <c r="H102" s="15">
        <f t="shared" si="5"/>
        <v>-2.9999999998835847E-2</v>
      </c>
    </row>
    <row r="103" spans="1:10" ht="15.75" x14ac:dyDescent="0.25">
      <c r="A103" s="9">
        <v>42266</v>
      </c>
      <c r="B103" s="10">
        <f>67753.52+2665+6101.5</f>
        <v>76520.02</v>
      </c>
      <c r="C103" s="10">
        <v>615</v>
      </c>
      <c r="D103" s="10">
        <v>160</v>
      </c>
      <c r="E103" s="11">
        <f t="shared" si="4"/>
        <v>75745.02</v>
      </c>
      <c r="F103" s="15">
        <v>75765</v>
      </c>
      <c r="G103" s="25" t="s">
        <v>9</v>
      </c>
      <c r="H103" s="15">
        <f t="shared" si="5"/>
        <v>19.979999999995925</v>
      </c>
      <c r="J103" s="60" t="s">
        <v>716</v>
      </c>
    </row>
    <row r="104" spans="1:10" ht="15.75" x14ac:dyDescent="0.25">
      <c r="A104" s="9">
        <v>42267</v>
      </c>
      <c r="B104" s="10">
        <f>36501.52+5128.99</f>
        <v>41630.509999999995</v>
      </c>
      <c r="C104" s="10">
        <v>0</v>
      </c>
      <c r="D104" s="10">
        <v>7705.5</v>
      </c>
      <c r="E104" s="11">
        <f t="shared" si="4"/>
        <v>33925.009999999995</v>
      </c>
      <c r="F104" s="15">
        <f>24640</f>
        <v>24640</v>
      </c>
      <c r="G104" s="42"/>
      <c r="H104" s="15">
        <f t="shared" si="5"/>
        <v>-9285.0099999999948</v>
      </c>
      <c r="J104" s="39" t="s">
        <v>715</v>
      </c>
    </row>
    <row r="105" spans="1:10" ht="15.75" x14ac:dyDescent="0.25">
      <c r="A105" s="9">
        <v>42268</v>
      </c>
      <c r="B105" s="10">
        <f>24929.59+1404+5188.84</f>
        <v>31522.43</v>
      </c>
      <c r="C105" s="10">
        <v>0</v>
      </c>
      <c r="D105" s="10">
        <v>14</v>
      </c>
      <c r="E105" s="11">
        <f t="shared" si="4"/>
        <v>31508.43</v>
      </c>
      <c r="F105" s="15">
        <v>31508.5</v>
      </c>
      <c r="G105" s="25" t="s">
        <v>9</v>
      </c>
      <c r="H105" s="15">
        <f t="shared" si="5"/>
        <v>6.9999999999708962E-2</v>
      </c>
    </row>
    <row r="106" spans="1:10" ht="15.75" x14ac:dyDescent="0.25">
      <c r="A106" s="9">
        <v>42269</v>
      </c>
      <c r="B106" s="10">
        <f>32003.46+740.28</f>
        <v>32743.739999999998</v>
      </c>
      <c r="C106" s="10">
        <v>557</v>
      </c>
      <c r="D106" s="10">
        <v>0</v>
      </c>
      <c r="E106" s="11">
        <f t="shared" si="4"/>
        <v>32186.739999999998</v>
      </c>
      <c r="F106" s="15">
        <v>32187</v>
      </c>
      <c r="G106" s="25" t="s">
        <v>9</v>
      </c>
      <c r="H106" s="15">
        <f t="shared" si="5"/>
        <v>0.26000000000203727</v>
      </c>
    </row>
    <row r="107" spans="1:10" ht="15.75" x14ac:dyDescent="0.25">
      <c r="A107" s="9">
        <v>42270</v>
      </c>
      <c r="B107" s="10">
        <f>28529.54+8366.05</f>
        <v>36895.589999999997</v>
      </c>
      <c r="C107" s="10">
        <v>0</v>
      </c>
      <c r="D107" s="10">
        <v>0</v>
      </c>
      <c r="E107" s="11">
        <f t="shared" si="4"/>
        <v>36895.589999999997</v>
      </c>
      <c r="F107" s="15">
        <f>36395+500</f>
        <v>36895</v>
      </c>
      <c r="G107" s="25" t="s">
        <v>9</v>
      </c>
      <c r="H107" s="15">
        <f t="shared" si="5"/>
        <v>-0.58999999999650754</v>
      </c>
    </row>
    <row r="108" spans="1:10" ht="15.75" x14ac:dyDescent="0.25">
      <c r="A108" s="9">
        <v>42271</v>
      </c>
      <c r="B108" s="10">
        <f>26027.39+717.76</f>
        <v>26745.149999999998</v>
      </c>
      <c r="C108" s="10">
        <v>0</v>
      </c>
      <c r="D108" s="10">
        <v>35</v>
      </c>
      <c r="E108" s="11">
        <f t="shared" si="4"/>
        <v>26710.149999999998</v>
      </c>
      <c r="F108" s="15">
        <v>26710</v>
      </c>
      <c r="G108" s="25" t="s">
        <v>9</v>
      </c>
      <c r="H108" s="15">
        <f t="shared" si="5"/>
        <v>-0.14999999999781721</v>
      </c>
    </row>
    <row r="109" spans="1:10" ht="15.75" x14ac:dyDescent="0.25">
      <c r="A109" s="9">
        <v>42272</v>
      </c>
      <c r="B109" s="10">
        <f>44641.01+1950+9098.09</f>
        <v>55689.100000000006</v>
      </c>
      <c r="C109" s="10">
        <v>1446</v>
      </c>
      <c r="D109" s="10">
        <v>0</v>
      </c>
      <c r="E109" s="11">
        <f t="shared" si="4"/>
        <v>54243.100000000006</v>
      </c>
      <c r="F109" s="15">
        <v>54243</v>
      </c>
      <c r="G109" s="25" t="s">
        <v>9</v>
      </c>
      <c r="H109" s="15">
        <f t="shared" si="5"/>
        <v>-0.10000000000582077</v>
      </c>
    </row>
    <row r="110" spans="1:10" ht="15.75" x14ac:dyDescent="0.25">
      <c r="A110" s="9">
        <v>42273</v>
      </c>
      <c r="B110" s="10">
        <f>71292.34+2800+2557.16</f>
        <v>76649.5</v>
      </c>
      <c r="C110" s="10">
        <v>1082.68</v>
      </c>
      <c r="D110" s="10">
        <v>20</v>
      </c>
      <c r="E110" s="11">
        <f t="shared" si="4"/>
        <v>75546.820000000007</v>
      </c>
      <c r="F110" s="15">
        <v>75547</v>
      </c>
      <c r="G110" s="25" t="s">
        <v>9</v>
      </c>
      <c r="H110" s="15">
        <f t="shared" si="5"/>
        <v>0.17999999999301508</v>
      </c>
    </row>
    <row r="111" spans="1:10" ht="15.75" x14ac:dyDescent="0.25">
      <c r="A111" s="9">
        <v>42274</v>
      </c>
      <c r="B111" s="10">
        <f>42584.51+390+9257.75</f>
        <v>52232.26</v>
      </c>
      <c r="C111" s="10">
        <v>793</v>
      </c>
      <c r="D111" s="10">
        <v>6092.5</v>
      </c>
      <c r="E111" s="11">
        <f t="shared" si="4"/>
        <v>45346.76</v>
      </c>
      <c r="F111" s="15">
        <f>29040</f>
        <v>29040</v>
      </c>
      <c r="G111" s="42"/>
      <c r="H111" s="15">
        <f t="shared" si="5"/>
        <v>-16306.760000000002</v>
      </c>
      <c r="J111" s="39" t="s">
        <v>714</v>
      </c>
    </row>
    <row r="112" spans="1:10" ht="15.75" x14ac:dyDescent="0.25">
      <c r="A112" s="9">
        <v>42275</v>
      </c>
      <c r="B112" s="10">
        <f>39826.65+1287+4078.6</f>
        <v>45192.25</v>
      </c>
      <c r="C112" s="10">
        <v>14179</v>
      </c>
      <c r="D112" s="10">
        <v>0</v>
      </c>
      <c r="E112" s="11">
        <f t="shared" si="4"/>
        <v>31013.25</v>
      </c>
      <c r="F112" s="15">
        <v>31013</v>
      </c>
      <c r="G112" s="25" t="s">
        <v>9</v>
      </c>
      <c r="H112" s="15">
        <f t="shared" si="5"/>
        <v>-0.25</v>
      </c>
    </row>
    <row r="113" spans="1:11" ht="15.75" x14ac:dyDescent="0.25">
      <c r="A113" s="9">
        <v>42276</v>
      </c>
      <c r="B113" s="10">
        <f>30760.01+1781.88</f>
        <v>32541.89</v>
      </c>
      <c r="C113" s="10">
        <v>0</v>
      </c>
      <c r="D113" s="10">
        <v>30</v>
      </c>
      <c r="E113" s="11">
        <f t="shared" si="4"/>
        <v>32511.89</v>
      </c>
      <c r="F113" s="15">
        <v>32512</v>
      </c>
      <c r="G113" s="25" t="s">
        <v>9</v>
      </c>
      <c r="H113" s="15">
        <f t="shared" si="5"/>
        <v>0.11000000000058208</v>
      </c>
    </row>
    <row r="114" spans="1:11" ht="15.75" x14ac:dyDescent="0.25">
      <c r="A114" s="9">
        <v>42277</v>
      </c>
      <c r="B114" s="10">
        <f>26692.35+3283.33</f>
        <v>29975.68</v>
      </c>
      <c r="C114" s="10">
        <v>620</v>
      </c>
      <c r="D114" s="10">
        <v>0</v>
      </c>
      <c r="E114" s="11">
        <f t="shared" si="4"/>
        <v>29355.68</v>
      </c>
      <c r="F114" s="15">
        <v>29355.68</v>
      </c>
      <c r="G114" s="25" t="s">
        <v>9</v>
      </c>
      <c r="H114" s="15">
        <f t="shared" si="5"/>
        <v>0</v>
      </c>
    </row>
    <row r="115" spans="1:11" ht="15.75" x14ac:dyDescent="0.25">
      <c r="A115" s="9"/>
      <c r="B115" s="10"/>
      <c r="C115" s="10"/>
      <c r="D115" s="10"/>
      <c r="E115" s="11">
        <f t="shared" si="4"/>
        <v>0</v>
      </c>
      <c r="F115" s="15"/>
      <c r="G115" s="25"/>
      <c r="H115" s="15">
        <f t="shared" si="5"/>
        <v>0</v>
      </c>
    </row>
    <row r="116" spans="1:11" ht="15.75" x14ac:dyDescent="0.25">
      <c r="A116" s="9"/>
      <c r="B116" s="10"/>
      <c r="C116" s="10"/>
      <c r="D116" s="10"/>
      <c r="E116" s="11">
        <f t="shared" si="4"/>
        <v>0</v>
      </c>
      <c r="F116" s="15"/>
      <c r="G116" s="25"/>
      <c r="H116" s="15">
        <f t="shared" si="5"/>
        <v>0</v>
      </c>
    </row>
    <row r="117" spans="1:11" ht="15.75" x14ac:dyDescent="0.25">
      <c r="A117" s="9"/>
      <c r="B117" s="10"/>
      <c r="C117" s="10"/>
      <c r="D117" s="10"/>
      <c r="E117" s="11">
        <f t="shared" si="4"/>
        <v>0</v>
      </c>
      <c r="F117" s="15"/>
      <c r="G117" s="4"/>
      <c r="H117" s="4"/>
    </row>
    <row r="118" spans="1:11" ht="15.75" x14ac:dyDescent="0.25">
      <c r="A118" s="14"/>
      <c r="B118" s="13"/>
      <c r="C118" s="10"/>
      <c r="D118" s="10"/>
      <c r="E118" s="11">
        <f t="shared" si="4"/>
        <v>0</v>
      </c>
      <c r="F118" s="15"/>
      <c r="G118" s="189"/>
      <c r="H118" s="4"/>
    </row>
    <row r="119" spans="1:11" ht="15.75" x14ac:dyDescent="0.25">
      <c r="A119" s="14"/>
      <c r="B119" s="10"/>
      <c r="C119" s="10"/>
      <c r="D119" s="10"/>
      <c r="E119" s="11">
        <f t="shared" si="4"/>
        <v>0</v>
      </c>
      <c r="F119" s="15"/>
      <c r="G119" s="4"/>
      <c r="H119" s="4"/>
    </row>
    <row r="120" spans="1:11" ht="15.75" x14ac:dyDescent="0.25">
      <c r="A120" s="14"/>
      <c r="B120" s="10">
        <f>SUM(B85:B119)</f>
        <v>1386864.96</v>
      </c>
      <c r="C120" s="10"/>
      <c r="D120" s="10">
        <f>SUM(D85:D119)</f>
        <v>29080.7</v>
      </c>
      <c r="E120" s="11">
        <f t="shared" si="4"/>
        <v>1357784.26</v>
      </c>
      <c r="F120" s="15"/>
      <c r="G120" s="4"/>
      <c r="H120" s="4"/>
    </row>
    <row r="122" spans="1:11" ht="18.75" x14ac:dyDescent="0.3">
      <c r="B122" s="275" t="s">
        <v>255</v>
      </c>
      <c r="C122" s="275"/>
      <c r="D122" s="275"/>
      <c r="E122" s="275"/>
      <c r="F122" s="275"/>
    </row>
    <row r="124" spans="1:11" ht="16.5" thickBot="1" x14ac:dyDescent="0.3">
      <c r="A124" s="19" t="s">
        <v>0</v>
      </c>
      <c r="B124" s="20" t="s">
        <v>1</v>
      </c>
      <c r="C124" s="8" t="s">
        <v>3</v>
      </c>
      <c r="D124" s="21" t="s">
        <v>2</v>
      </c>
      <c r="E124" s="22" t="s">
        <v>4</v>
      </c>
      <c r="F124" s="27" t="s">
        <v>8</v>
      </c>
      <c r="G124" s="4"/>
      <c r="H124" s="4"/>
    </row>
    <row r="125" spans="1:11" ht="16.5" thickTop="1" x14ac:dyDescent="0.25">
      <c r="A125" s="9">
        <v>42278</v>
      </c>
      <c r="B125" s="10">
        <f>37950.81+996.6</f>
        <v>38947.409999999996</v>
      </c>
      <c r="C125" s="10">
        <v>0</v>
      </c>
      <c r="D125" s="10">
        <v>980.85</v>
      </c>
      <c r="E125" s="11">
        <f>B125-C125-D125</f>
        <v>37966.559999999998</v>
      </c>
      <c r="F125" s="15">
        <v>37966.5</v>
      </c>
      <c r="G125" s="25" t="s">
        <v>9</v>
      </c>
      <c r="H125" s="15">
        <f>F125-E125</f>
        <v>-5.9999999997671694E-2</v>
      </c>
    </row>
    <row r="126" spans="1:11" ht="15.75" x14ac:dyDescent="0.25">
      <c r="A126" s="9">
        <v>42279</v>
      </c>
      <c r="B126" s="10">
        <f>60935.74+6872.4</f>
        <v>67808.14</v>
      </c>
      <c r="C126" s="10">
        <v>624</v>
      </c>
      <c r="D126" s="10">
        <v>4635</v>
      </c>
      <c r="E126" s="11">
        <f t="shared" ref="E126:E160" si="6">B126-C126-D126</f>
        <v>62549.14</v>
      </c>
      <c r="F126" s="15">
        <v>62549</v>
      </c>
      <c r="G126" s="25" t="s">
        <v>9</v>
      </c>
      <c r="H126" s="15">
        <f t="shared" ref="H126:H156" si="7">F126-E126</f>
        <v>-0.13999999999941792</v>
      </c>
    </row>
    <row r="127" spans="1:11" ht="15.75" x14ac:dyDescent="0.25">
      <c r="A127" s="9">
        <v>42280</v>
      </c>
      <c r="B127" s="10">
        <f>45368.42+5995.63</f>
        <v>51364.049999999996</v>
      </c>
      <c r="C127" s="10">
        <v>282.8</v>
      </c>
      <c r="D127" s="10">
        <v>117.5</v>
      </c>
      <c r="E127" s="11">
        <f t="shared" si="6"/>
        <v>50963.749999999993</v>
      </c>
      <c r="F127" s="15">
        <v>50964</v>
      </c>
      <c r="G127" s="25" t="s">
        <v>9</v>
      </c>
      <c r="H127" s="15">
        <f t="shared" si="7"/>
        <v>0.25000000000727596</v>
      </c>
    </row>
    <row r="128" spans="1:11" ht="15.75" x14ac:dyDescent="0.25">
      <c r="A128" s="9">
        <v>42281</v>
      </c>
      <c r="B128" s="10">
        <f>48417.29+12866.5</f>
        <v>61283.79</v>
      </c>
      <c r="C128" s="10">
        <v>578</v>
      </c>
      <c r="D128" s="10">
        <v>7990.5</v>
      </c>
      <c r="E128" s="11">
        <f t="shared" si="6"/>
        <v>52715.29</v>
      </c>
      <c r="F128" s="15">
        <f>23015.5+29000+700</f>
        <v>52715.5</v>
      </c>
      <c r="G128" s="25" t="s">
        <v>9</v>
      </c>
      <c r="H128" s="15">
        <f t="shared" si="7"/>
        <v>0.20999999999912689</v>
      </c>
      <c r="J128" s="60" t="s">
        <v>735</v>
      </c>
      <c r="K128" s="60"/>
    </row>
    <row r="129" spans="1:10" ht="15.75" x14ac:dyDescent="0.25">
      <c r="A129" s="9">
        <v>42282</v>
      </c>
      <c r="B129" s="10">
        <f>32339.95+1440+5487.95</f>
        <v>39267.899999999994</v>
      </c>
      <c r="C129" s="10">
        <v>0</v>
      </c>
      <c r="D129" s="10">
        <v>0</v>
      </c>
      <c r="E129" s="11">
        <f t="shared" si="6"/>
        <v>39267.899999999994</v>
      </c>
      <c r="F129" s="15">
        <v>39268</v>
      </c>
      <c r="G129" s="25" t="s">
        <v>9</v>
      </c>
      <c r="H129" s="15">
        <f t="shared" si="7"/>
        <v>0.10000000000582077</v>
      </c>
    </row>
    <row r="130" spans="1:10" ht="15.75" x14ac:dyDescent="0.25">
      <c r="A130" s="9">
        <v>42283</v>
      </c>
      <c r="B130" s="10">
        <f>29505.56+4637.6</f>
        <v>34143.160000000003</v>
      </c>
      <c r="C130" s="10">
        <v>927</v>
      </c>
      <c r="D130" s="10">
        <v>0</v>
      </c>
      <c r="E130" s="11">
        <f t="shared" si="6"/>
        <v>33216.160000000003</v>
      </c>
      <c r="F130" s="15">
        <v>33216</v>
      </c>
      <c r="G130" s="25" t="s">
        <v>9</v>
      </c>
      <c r="H130" s="15">
        <f t="shared" si="7"/>
        <v>-0.16000000000349246</v>
      </c>
    </row>
    <row r="131" spans="1:10" ht="15.75" x14ac:dyDescent="0.25">
      <c r="A131" s="9">
        <v>42284</v>
      </c>
      <c r="B131" s="10">
        <f>34411.93+3397.82</f>
        <v>37809.75</v>
      </c>
      <c r="C131" s="10">
        <v>0</v>
      </c>
      <c r="D131" s="10">
        <v>2000</v>
      </c>
      <c r="E131" s="11">
        <f t="shared" si="6"/>
        <v>35809.75</v>
      </c>
      <c r="F131" s="15">
        <v>35809.75</v>
      </c>
      <c r="G131" s="25" t="s">
        <v>9</v>
      </c>
      <c r="H131" s="15">
        <f t="shared" si="7"/>
        <v>0</v>
      </c>
    </row>
    <row r="132" spans="1:10" ht="15.75" x14ac:dyDescent="0.25">
      <c r="A132" s="9">
        <v>42285</v>
      </c>
      <c r="B132" s="10">
        <f>36845.3+3562.03</f>
        <v>40407.33</v>
      </c>
      <c r="C132" s="10">
        <v>250</v>
      </c>
      <c r="D132" s="10">
        <v>30</v>
      </c>
      <c r="E132" s="11">
        <f t="shared" si="6"/>
        <v>40127.33</v>
      </c>
      <c r="F132" s="15">
        <v>40127</v>
      </c>
      <c r="G132" s="25" t="s">
        <v>9</v>
      </c>
      <c r="H132" s="15">
        <f t="shared" si="7"/>
        <v>-0.33000000000174623</v>
      </c>
    </row>
    <row r="133" spans="1:10" ht="15.75" x14ac:dyDescent="0.25">
      <c r="A133" s="9">
        <v>42286</v>
      </c>
      <c r="B133" s="10">
        <f>60668.32+3002.62</f>
        <v>63670.94</v>
      </c>
      <c r="C133" s="10">
        <v>768</v>
      </c>
      <c r="D133" s="10">
        <v>0</v>
      </c>
      <c r="E133" s="11">
        <f t="shared" si="6"/>
        <v>62902.94</v>
      </c>
      <c r="F133" s="15">
        <v>62903</v>
      </c>
      <c r="G133" s="25" t="s">
        <v>9</v>
      </c>
      <c r="H133" s="15">
        <f t="shared" si="7"/>
        <v>5.9999999997671694E-2</v>
      </c>
    </row>
    <row r="134" spans="1:10" ht="15.75" x14ac:dyDescent="0.25">
      <c r="A134" s="9">
        <v>42287</v>
      </c>
      <c r="B134" s="10">
        <f>50990.01+6912.98</f>
        <v>57902.990000000005</v>
      </c>
      <c r="C134" s="10">
        <v>853</v>
      </c>
      <c r="D134" s="10">
        <v>20</v>
      </c>
      <c r="E134" s="11">
        <f t="shared" si="6"/>
        <v>57029.990000000005</v>
      </c>
      <c r="F134" s="15">
        <v>57030</v>
      </c>
      <c r="G134" s="25" t="s">
        <v>9</v>
      </c>
      <c r="H134" s="15">
        <f t="shared" si="7"/>
        <v>9.9999999947613105E-3</v>
      </c>
    </row>
    <row r="135" spans="1:10" ht="15.75" x14ac:dyDescent="0.25">
      <c r="A135" s="9">
        <v>42288</v>
      </c>
      <c r="B135" s="10">
        <f>43703.88+4961.69</f>
        <v>48665.57</v>
      </c>
      <c r="C135" s="10">
        <v>6845.38</v>
      </c>
      <c r="D135" s="10">
        <v>80</v>
      </c>
      <c r="E135" s="11">
        <f t="shared" si="6"/>
        <v>41740.19</v>
      </c>
      <c r="F135" s="15">
        <v>41740</v>
      </c>
      <c r="G135" s="25" t="s">
        <v>9</v>
      </c>
      <c r="H135" s="15">
        <f t="shared" si="7"/>
        <v>-0.19000000000232831</v>
      </c>
    </row>
    <row r="136" spans="1:10" ht="15.75" x14ac:dyDescent="0.25">
      <c r="A136" s="9">
        <v>42289</v>
      </c>
      <c r="B136" s="10">
        <f>25615.26+635.5+4400</f>
        <v>30650.76</v>
      </c>
      <c r="C136" s="10">
        <v>538</v>
      </c>
      <c r="D136" s="10">
        <v>0</v>
      </c>
      <c r="E136" s="11">
        <f t="shared" si="6"/>
        <v>30112.76</v>
      </c>
      <c r="F136" s="15">
        <v>30113</v>
      </c>
      <c r="G136" s="25" t="s">
        <v>9</v>
      </c>
      <c r="H136" s="15">
        <f t="shared" si="7"/>
        <v>0.24000000000160071</v>
      </c>
    </row>
    <row r="137" spans="1:10" ht="15.75" x14ac:dyDescent="0.25">
      <c r="A137" s="9">
        <v>42290</v>
      </c>
      <c r="B137" s="10">
        <f>33558.82+1260.84+3296.18</f>
        <v>38115.839999999997</v>
      </c>
      <c r="C137" s="10">
        <v>1090</v>
      </c>
      <c r="D137" s="10">
        <v>3624.5</v>
      </c>
      <c r="E137" s="11">
        <f t="shared" si="6"/>
        <v>33401.339999999997</v>
      </c>
      <c r="F137" s="15">
        <v>33401</v>
      </c>
      <c r="G137" s="25" t="s">
        <v>9</v>
      </c>
      <c r="H137" s="15">
        <f t="shared" si="7"/>
        <v>-0.33999999999650754</v>
      </c>
    </row>
    <row r="138" spans="1:10" ht="15.75" x14ac:dyDescent="0.25">
      <c r="A138" s="9">
        <v>42291</v>
      </c>
      <c r="B138" s="10">
        <f>32020.76+3212+682.56</f>
        <v>35915.319999999992</v>
      </c>
      <c r="C138" s="10">
        <v>613</v>
      </c>
      <c r="D138" s="10">
        <v>75.5</v>
      </c>
      <c r="E138" s="11">
        <f t="shared" si="6"/>
        <v>35226.819999999992</v>
      </c>
      <c r="F138" s="15">
        <v>35227</v>
      </c>
      <c r="G138" s="25" t="s">
        <v>9</v>
      </c>
      <c r="H138" s="15">
        <f t="shared" si="7"/>
        <v>0.180000000007567</v>
      </c>
    </row>
    <row r="139" spans="1:10" ht="15.75" x14ac:dyDescent="0.25">
      <c r="A139" s="9">
        <v>42292</v>
      </c>
      <c r="B139" s="10">
        <f>38954.37+5216.86</f>
        <v>44171.23</v>
      </c>
      <c r="C139" s="10">
        <v>800</v>
      </c>
      <c r="D139" s="10">
        <v>0</v>
      </c>
      <c r="E139" s="11">
        <f t="shared" si="6"/>
        <v>43371.23</v>
      </c>
      <c r="F139" s="15">
        <v>43371</v>
      </c>
      <c r="G139" s="25" t="s">
        <v>9</v>
      </c>
      <c r="H139" s="15">
        <f t="shared" si="7"/>
        <v>-0.23000000000320142</v>
      </c>
    </row>
    <row r="140" spans="1:10" ht="15.75" x14ac:dyDescent="0.25">
      <c r="A140" s="9">
        <v>42293</v>
      </c>
      <c r="B140" s="10">
        <f>75080.4+2314.62+8664.98</f>
        <v>86059.999999999985</v>
      </c>
      <c r="C140" s="10">
        <v>450</v>
      </c>
      <c r="D140" s="10">
        <v>1500</v>
      </c>
      <c r="E140" s="11">
        <f t="shared" si="6"/>
        <v>84109.999999999985</v>
      </c>
      <c r="F140" s="15">
        <v>84110</v>
      </c>
      <c r="G140" s="25" t="s">
        <v>9</v>
      </c>
      <c r="H140" s="15">
        <f t="shared" si="7"/>
        <v>0</v>
      </c>
    </row>
    <row r="141" spans="1:10" ht="15.75" x14ac:dyDescent="0.25">
      <c r="A141" s="9">
        <v>42294</v>
      </c>
      <c r="B141" s="10">
        <f>55476.87+3150+1893.47</f>
        <v>60520.340000000004</v>
      </c>
      <c r="C141" s="10">
        <v>530</v>
      </c>
      <c r="D141" s="10">
        <v>20</v>
      </c>
      <c r="E141" s="11">
        <f t="shared" si="6"/>
        <v>59970.340000000004</v>
      </c>
      <c r="F141" s="15"/>
      <c r="G141" s="42"/>
      <c r="H141" s="15">
        <f t="shared" si="7"/>
        <v>-59970.340000000004</v>
      </c>
      <c r="J141" s="39" t="s">
        <v>773</v>
      </c>
    </row>
    <row r="142" spans="1:10" ht="15.75" x14ac:dyDescent="0.25">
      <c r="A142" s="9">
        <v>42295</v>
      </c>
      <c r="B142" s="10">
        <f>50737.75+9043.1</f>
        <v>59780.85</v>
      </c>
      <c r="C142" s="10">
        <v>500</v>
      </c>
      <c r="D142" s="10">
        <v>5250</v>
      </c>
      <c r="E142" s="11">
        <f t="shared" si="6"/>
        <v>54030.85</v>
      </c>
      <c r="F142" s="15"/>
      <c r="G142" s="42"/>
      <c r="H142" s="15">
        <f t="shared" si="7"/>
        <v>-54030.85</v>
      </c>
      <c r="J142" s="39" t="s">
        <v>774</v>
      </c>
    </row>
    <row r="143" spans="1:10" ht="15.75" x14ac:dyDescent="0.25">
      <c r="A143" s="9">
        <v>42296</v>
      </c>
      <c r="B143" s="10">
        <f>44208.76+9696.81</f>
        <v>53905.57</v>
      </c>
      <c r="C143" s="10">
        <v>0</v>
      </c>
      <c r="D143" s="10">
        <v>110</v>
      </c>
      <c r="E143" s="11">
        <f t="shared" si="6"/>
        <v>53795.57</v>
      </c>
      <c r="F143" s="15">
        <v>53795.5</v>
      </c>
      <c r="G143" s="25" t="s">
        <v>9</v>
      </c>
      <c r="H143" s="15">
        <f t="shared" si="7"/>
        <v>-6.9999999999708962E-2</v>
      </c>
    </row>
    <row r="144" spans="1:10" ht="15.75" x14ac:dyDescent="0.25">
      <c r="A144" s="9">
        <v>42297</v>
      </c>
      <c r="B144" s="10">
        <f>25342.94+113.82</f>
        <v>25456.76</v>
      </c>
      <c r="C144" s="10">
        <v>525</v>
      </c>
      <c r="D144" s="10">
        <v>35</v>
      </c>
      <c r="E144" s="11">
        <f t="shared" si="6"/>
        <v>24896.76</v>
      </c>
      <c r="F144" s="15">
        <v>24892</v>
      </c>
      <c r="G144" s="25" t="s">
        <v>9</v>
      </c>
      <c r="H144" s="15">
        <f t="shared" si="7"/>
        <v>-4.7599999999983993</v>
      </c>
    </row>
    <row r="145" spans="1:10" ht="15.75" x14ac:dyDescent="0.25">
      <c r="A145" s="9">
        <v>42298</v>
      </c>
      <c r="B145" s="10">
        <f>25112.19+2664.23</f>
        <v>27776.42</v>
      </c>
      <c r="C145" s="10">
        <v>0</v>
      </c>
      <c r="D145" s="10">
        <v>80</v>
      </c>
      <c r="E145" s="11">
        <f t="shared" si="6"/>
        <v>27696.42</v>
      </c>
      <c r="F145" s="15">
        <v>27696.5</v>
      </c>
      <c r="G145" s="25" t="s">
        <v>9</v>
      </c>
      <c r="H145" s="15">
        <f t="shared" si="7"/>
        <v>8.000000000174623E-2</v>
      </c>
    </row>
    <row r="146" spans="1:10" ht="15.75" x14ac:dyDescent="0.25">
      <c r="A146" s="9">
        <v>42299</v>
      </c>
      <c r="B146" s="10">
        <f>51225.07+3500.52</f>
        <v>54725.59</v>
      </c>
      <c r="C146" s="10">
        <v>0</v>
      </c>
      <c r="D146" s="10">
        <v>312</v>
      </c>
      <c r="E146" s="11">
        <f t="shared" si="6"/>
        <v>54413.59</v>
      </c>
      <c r="F146" s="15">
        <v>54413.5</v>
      </c>
      <c r="G146" s="25" t="s">
        <v>9</v>
      </c>
      <c r="H146" s="15">
        <f t="shared" si="7"/>
        <v>-8.999999999650754E-2</v>
      </c>
    </row>
    <row r="147" spans="1:10" ht="15.75" x14ac:dyDescent="0.25">
      <c r="A147" s="9">
        <v>42300</v>
      </c>
      <c r="B147" s="10">
        <f>61423.24+4380.69</f>
        <v>65803.929999999993</v>
      </c>
      <c r="C147" s="10">
        <v>0</v>
      </c>
      <c r="D147" s="10">
        <v>4589.3100000000004</v>
      </c>
      <c r="E147" s="11">
        <f t="shared" si="6"/>
        <v>61214.619999999995</v>
      </c>
      <c r="F147" s="15">
        <v>61215</v>
      </c>
      <c r="G147" s="25" t="s">
        <v>9</v>
      </c>
      <c r="H147" s="15">
        <f t="shared" si="7"/>
        <v>0.38000000000465661</v>
      </c>
    </row>
    <row r="148" spans="1:10" ht="15.75" x14ac:dyDescent="0.25">
      <c r="A148" s="9">
        <v>42301</v>
      </c>
      <c r="B148" s="10">
        <f>65728.23+2395.6</f>
        <v>68123.83</v>
      </c>
      <c r="C148" s="10">
        <v>1081</v>
      </c>
      <c r="D148" s="10">
        <v>1280</v>
      </c>
      <c r="E148" s="11">
        <f t="shared" si="6"/>
        <v>65762.83</v>
      </c>
      <c r="F148" s="15">
        <v>65763</v>
      </c>
      <c r="G148" s="25" t="s">
        <v>9</v>
      </c>
      <c r="H148" s="15">
        <f t="shared" si="7"/>
        <v>0.16999999999825377</v>
      </c>
      <c r="J148" s="4"/>
    </row>
    <row r="149" spans="1:10" ht="15.75" x14ac:dyDescent="0.25">
      <c r="A149" s="9">
        <v>42302</v>
      </c>
      <c r="B149" s="10">
        <f>53748.72+10232.93</f>
        <v>63981.65</v>
      </c>
      <c r="C149" s="10">
        <v>0</v>
      </c>
      <c r="D149" s="10">
        <v>9080</v>
      </c>
      <c r="E149" s="11">
        <f t="shared" si="6"/>
        <v>54901.65</v>
      </c>
      <c r="F149" s="15">
        <f>54502</f>
        <v>54502</v>
      </c>
      <c r="G149" s="42"/>
      <c r="H149" s="15">
        <f t="shared" si="7"/>
        <v>-399.65000000000146</v>
      </c>
      <c r="J149" s="39" t="s">
        <v>783</v>
      </c>
    </row>
    <row r="150" spans="1:10" ht="15.75" x14ac:dyDescent="0.25">
      <c r="A150" s="9">
        <v>42303</v>
      </c>
      <c r="B150" s="10">
        <f>32479.55+932.26+43356.38</f>
        <v>76768.19</v>
      </c>
      <c r="C150" s="10">
        <v>572</v>
      </c>
      <c r="D150" s="10">
        <v>10</v>
      </c>
      <c r="E150" s="11">
        <f t="shared" si="6"/>
        <v>76186.19</v>
      </c>
      <c r="F150" s="15">
        <f>33533+42653</f>
        <v>76186</v>
      </c>
      <c r="G150" s="25" t="s">
        <v>9</v>
      </c>
      <c r="H150" s="15">
        <f t="shared" si="7"/>
        <v>-0.19000000000232831</v>
      </c>
      <c r="J150" s="4"/>
    </row>
    <row r="151" spans="1:10" ht="15.75" x14ac:dyDescent="0.25">
      <c r="A151" s="9">
        <v>42304</v>
      </c>
      <c r="B151" s="10">
        <f>27508.08+225.75</f>
        <v>27733.83</v>
      </c>
      <c r="C151" s="10">
        <v>739</v>
      </c>
      <c r="D151" s="10">
        <v>90</v>
      </c>
      <c r="E151" s="11">
        <f t="shared" si="6"/>
        <v>26904.83</v>
      </c>
      <c r="F151" s="15">
        <v>26905</v>
      </c>
      <c r="G151" s="25" t="s">
        <v>9</v>
      </c>
      <c r="H151" s="15">
        <f t="shared" si="7"/>
        <v>0.16999999999825377</v>
      </c>
    </row>
    <row r="152" spans="1:10" ht="15.75" x14ac:dyDescent="0.25">
      <c r="A152" s="9">
        <v>42305</v>
      </c>
      <c r="B152" s="10">
        <f>32991.03+1840.92+2506.69</f>
        <v>37338.639999999999</v>
      </c>
      <c r="C152" s="10">
        <v>0</v>
      </c>
      <c r="D152" s="10">
        <v>0</v>
      </c>
      <c r="E152" s="11">
        <f t="shared" si="6"/>
        <v>37338.639999999999</v>
      </c>
      <c r="F152" s="15">
        <v>37338.5</v>
      </c>
      <c r="G152" s="25" t="s">
        <v>9</v>
      </c>
      <c r="H152" s="15">
        <f t="shared" si="7"/>
        <v>-0.13999999999941792</v>
      </c>
      <c r="J152" s="4"/>
    </row>
    <row r="153" spans="1:10" ht="15.75" x14ac:dyDescent="0.25">
      <c r="A153" s="9">
        <v>42306</v>
      </c>
      <c r="B153" s="10">
        <f>35995.75+478.05</f>
        <v>36473.800000000003</v>
      </c>
      <c r="C153" s="10">
        <v>605</v>
      </c>
      <c r="D153" s="10">
        <v>300</v>
      </c>
      <c r="E153" s="11">
        <f t="shared" si="6"/>
        <v>35568.800000000003</v>
      </c>
      <c r="F153" s="15">
        <v>35569</v>
      </c>
      <c r="G153" s="25" t="s">
        <v>9</v>
      </c>
      <c r="H153" s="15">
        <f t="shared" si="7"/>
        <v>0.19999999999708962</v>
      </c>
    </row>
    <row r="154" spans="1:10" ht="15.75" x14ac:dyDescent="0.25">
      <c r="A154" s="9">
        <v>42307</v>
      </c>
      <c r="B154" s="10">
        <f>78850.47+3223.1+336.15</f>
        <v>82409.72</v>
      </c>
      <c r="C154" s="10">
        <v>282</v>
      </c>
      <c r="D154" s="10">
        <v>1223</v>
      </c>
      <c r="E154" s="11">
        <f t="shared" si="6"/>
        <v>80904.72</v>
      </c>
      <c r="F154" s="15">
        <v>80905</v>
      </c>
      <c r="G154" s="25" t="s">
        <v>9</v>
      </c>
      <c r="H154" s="15">
        <f t="shared" si="7"/>
        <v>0.27999999999883585</v>
      </c>
    </row>
    <row r="155" spans="1:10" ht="15.75" x14ac:dyDescent="0.25">
      <c r="A155" s="9">
        <v>42308</v>
      </c>
      <c r="B155" s="10">
        <f>76857.76+8301.44+7893.55</f>
        <v>93052.75</v>
      </c>
      <c r="C155" s="10">
        <v>220</v>
      </c>
      <c r="D155" s="10">
        <v>20</v>
      </c>
      <c r="E155" s="11">
        <f t="shared" si="6"/>
        <v>92812.75</v>
      </c>
      <c r="F155" s="15">
        <f>92813</f>
        <v>92813</v>
      </c>
      <c r="G155" s="25" t="s">
        <v>9</v>
      </c>
      <c r="H155" s="15">
        <f t="shared" si="7"/>
        <v>0.25</v>
      </c>
    </row>
    <row r="156" spans="1:10" ht="15.75" x14ac:dyDescent="0.25">
      <c r="A156" s="9"/>
      <c r="B156" s="10"/>
      <c r="C156" s="10"/>
      <c r="D156" s="10"/>
      <c r="E156" s="11">
        <f t="shared" si="6"/>
        <v>0</v>
      </c>
      <c r="F156" s="15"/>
      <c r="G156" s="25"/>
      <c r="H156" s="15">
        <f t="shared" si="7"/>
        <v>0</v>
      </c>
    </row>
    <row r="157" spans="1:10" ht="15.75" x14ac:dyDescent="0.25">
      <c r="A157" s="9"/>
      <c r="B157" s="10"/>
      <c r="C157" s="10"/>
      <c r="D157" s="10"/>
      <c r="E157" s="11">
        <f t="shared" si="6"/>
        <v>0</v>
      </c>
      <c r="F157" s="15"/>
      <c r="G157" s="4"/>
      <c r="H157" s="4"/>
    </row>
    <row r="158" spans="1:10" ht="15.75" x14ac:dyDescent="0.25">
      <c r="A158" s="14"/>
      <c r="B158" s="13"/>
      <c r="C158" s="10"/>
      <c r="D158" s="10"/>
      <c r="E158" s="11">
        <f t="shared" si="6"/>
        <v>0</v>
      </c>
      <c r="F158" s="15"/>
      <c r="G158" s="189"/>
      <c r="H158" s="4"/>
    </row>
    <row r="159" spans="1:10" ht="15.75" x14ac:dyDescent="0.25">
      <c r="A159" s="14"/>
      <c r="B159" s="10"/>
      <c r="C159" s="10"/>
      <c r="D159" s="10"/>
      <c r="E159" s="11">
        <f t="shared" si="6"/>
        <v>0</v>
      </c>
      <c r="F159" s="15"/>
      <c r="G159" s="4"/>
      <c r="H159" s="4"/>
    </row>
    <row r="160" spans="1:10" ht="15.75" x14ac:dyDescent="0.25">
      <c r="A160" s="14"/>
      <c r="B160" s="10">
        <f>SUM(B125:B159)</f>
        <v>1610036.0499999996</v>
      </c>
      <c r="C160" s="10"/>
      <c r="D160" s="10">
        <f>SUM(D125:D159)</f>
        <v>43453.16</v>
      </c>
      <c r="E160" s="11">
        <f t="shared" si="6"/>
        <v>1566582.8899999997</v>
      </c>
      <c r="F160" s="15"/>
      <c r="G160" s="4"/>
      <c r="H160" s="4"/>
    </row>
    <row r="162" spans="1:10" ht="18.75" x14ac:dyDescent="0.3">
      <c r="B162" s="275" t="s">
        <v>618</v>
      </c>
      <c r="C162" s="275"/>
      <c r="D162" s="275"/>
      <c r="E162" s="275"/>
      <c r="F162" s="275"/>
    </row>
    <row r="164" spans="1:10" ht="16.5" thickBot="1" x14ac:dyDescent="0.3">
      <c r="A164" s="19" t="s">
        <v>0</v>
      </c>
      <c r="B164" s="20" t="s">
        <v>1</v>
      </c>
      <c r="C164" s="8" t="s">
        <v>3</v>
      </c>
      <c r="D164" s="21" t="s">
        <v>2</v>
      </c>
      <c r="E164" s="22" t="s">
        <v>4</v>
      </c>
      <c r="F164" s="27" t="s">
        <v>8</v>
      </c>
      <c r="G164" s="4"/>
      <c r="H164" s="4"/>
    </row>
    <row r="165" spans="1:10" ht="16.5" thickTop="1" x14ac:dyDescent="0.25">
      <c r="A165" s="9">
        <v>42309</v>
      </c>
      <c r="B165" s="10">
        <f>19565.63+36354.37+6978.19</f>
        <v>62898.19</v>
      </c>
      <c r="C165" s="10">
        <v>0</v>
      </c>
      <c r="D165" s="10">
        <v>6850</v>
      </c>
      <c r="E165" s="11">
        <f>B165-C165-D165</f>
        <v>56048.19</v>
      </c>
      <c r="F165" s="15">
        <f>53550</f>
        <v>53550</v>
      </c>
      <c r="G165" s="42"/>
      <c r="H165" s="15">
        <f>F165-E165</f>
        <v>-2498.1900000000023</v>
      </c>
      <c r="J165" s="39" t="s">
        <v>791</v>
      </c>
    </row>
    <row r="166" spans="1:10" ht="15.75" x14ac:dyDescent="0.25">
      <c r="A166" s="9">
        <v>42310</v>
      </c>
      <c r="B166" s="10">
        <f>25393.25+2212.18</f>
        <v>27605.43</v>
      </c>
      <c r="C166" s="10">
        <v>605</v>
      </c>
      <c r="D166" s="10">
        <v>17</v>
      </c>
      <c r="E166" s="11">
        <f t="shared" ref="E166:E200" si="8">B166-C166-D166</f>
        <v>26983.43</v>
      </c>
      <c r="F166" s="15">
        <f>26983</f>
        <v>26983</v>
      </c>
      <c r="G166" s="25" t="s">
        <v>9</v>
      </c>
      <c r="H166" s="15">
        <f t="shared" ref="H166:H196" si="9">F166-E166</f>
        <v>-0.43000000000029104</v>
      </c>
    </row>
    <row r="167" spans="1:10" ht="15.75" x14ac:dyDescent="0.25">
      <c r="A167" s="9">
        <v>42311</v>
      </c>
      <c r="B167" s="10">
        <f>44759.34+1442.79+2440.8</f>
        <v>48642.93</v>
      </c>
      <c r="C167" s="10">
        <v>1716.14</v>
      </c>
      <c r="D167" s="10">
        <v>0</v>
      </c>
      <c r="E167" s="11">
        <f t="shared" si="8"/>
        <v>46926.79</v>
      </c>
      <c r="F167" s="15">
        <v>41927</v>
      </c>
      <c r="G167" s="42"/>
      <c r="H167" s="15">
        <f t="shared" si="9"/>
        <v>-4999.7900000000009</v>
      </c>
      <c r="J167" s="39" t="s">
        <v>875</v>
      </c>
    </row>
    <row r="168" spans="1:10" ht="15.75" x14ac:dyDescent="0.25">
      <c r="A168" s="9">
        <v>42312</v>
      </c>
      <c r="B168" s="10">
        <f>41399.05+6636.04</f>
        <v>48035.090000000004</v>
      </c>
      <c r="C168" s="10">
        <v>1284</v>
      </c>
      <c r="D168" s="10">
        <v>300</v>
      </c>
      <c r="E168" s="11">
        <f t="shared" si="8"/>
        <v>46451.090000000004</v>
      </c>
      <c r="F168" s="15">
        <v>46450</v>
      </c>
      <c r="G168" s="25" t="s">
        <v>9</v>
      </c>
      <c r="H168" s="15">
        <f t="shared" si="9"/>
        <v>-1.0900000000037835</v>
      </c>
      <c r="J168" s="4"/>
    </row>
    <row r="169" spans="1:10" ht="15.75" x14ac:dyDescent="0.25">
      <c r="A169" s="9">
        <v>42313</v>
      </c>
      <c r="B169" s="10">
        <f>37460.19+1752.21+582.85</f>
        <v>39795.25</v>
      </c>
      <c r="C169" s="10">
        <v>0</v>
      </c>
      <c r="D169" s="10">
        <v>46</v>
      </c>
      <c r="E169" s="11">
        <f t="shared" si="8"/>
        <v>39749.25</v>
      </c>
      <c r="F169" s="15">
        <v>39749</v>
      </c>
      <c r="G169" s="25" t="s">
        <v>9</v>
      </c>
      <c r="H169" s="15">
        <f t="shared" si="9"/>
        <v>-0.25</v>
      </c>
      <c r="J169" s="4"/>
    </row>
    <row r="170" spans="1:10" ht="15.75" x14ac:dyDescent="0.25">
      <c r="A170" s="9">
        <v>42314</v>
      </c>
      <c r="B170" s="10">
        <f>51794.86+5293+6263.78</f>
        <v>63351.64</v>
      </c>
      <c r="C170" s="10">
        <v>720</v>
      </c>
      <c r="D170" s="10">
        <v>1500</v>
      </c>
      <c r="E170" s="11">
        <f t="shared" si="8"/>
        <v>61131.64</v>
      </c>
      <c r="F170" s="15">
        <v>61131.5</v>
      </c>
      <c r="G170" s="25" t="s">
        <v>9</v>
      </c>
      <c r="H170" s="15">
        <f t="shared" si="9"/>
        <v>-0.13999999999941792</v>
      </c>
      <c r="J170" s="4"/>
    </row>
    <row r="171" spans="1:10" ht="15.75" x14ac:dyDescent="0.25">
      <c r="A171" s="9">
        <v>42315</v>
      </c>
      <c r="B171" s="10">
        <f>74107.28+5508.94+6504.83</f>
        <v>86121.05</v>
      </c>
      <c r="C171" s="10">
        <v>180</v>
      </c>
      <c r="D171" s="10">
        <v>840</v>
      </c>
      <c r="E171" s="11">
        <f t="shared" si="8"/>
        <v>85101.05</v>
      </c>
      <c r="F171" s="15">
        <v>85100</v>
      </c>
      <c r="G171" s="25" t="s">
        <v>9</v>
      </c>
      <c r="H171" s="15">
        <f t="shared" si="9"/>
        <v>-1.0500000000029104</v>
      </c>
    </row>
    <row r="172" spans="1:10" ht="15.75" x14ac:dyDescent="0.25">
      <c r="A172" s="9">
        <v>42316</v>
      </c>
      <c r="B172" s="10">
        <f>44390.5+5227.51</f>
        <v>49618.01</v>
      </c>
      <c r="C172" s="10">
        <v>0</v>
      </c>
      <c r="D172" s="10">
        <f>5850+2500</f>
        <v>8350</v>
      </c>
      <c r="E172" s="11">
        <f t="shared" si="8"/>
        <v>41268.01</v>
      </c>
      <c r="F172" s="15">
        <f>40268</f>
        <v>40268</v>
      </c>
      <c r="G172" s="42"/>
      <c r="H172" s="15">
        <f t="shared" si="9"/>
        <v>-1000.010000000002</v>
      </c>
      <c r="J172" s="39" t="s">
        <v>872</v>
      </c>
    </row>
    <row r="173" spans="1:10" ht="15.75" x14ac:dyDescent="0.25">
      <c r="A173" s="9">
        <v>42317</v>
      </c>
      <c r="B173" s="10">
        <f>33139.39+2026.38+5736.24</f>
        <v>40902.009999999995</v>
      </c>
      <c r="C173" s="10">
        <v>0</v>
      </c>
      <c r="D173" s="10">
        <v>20</v>
      </c>
      <c r="E173" s="11">
        <f t="shared" si="8"/>
        <v>40882.009999999995</v>
      </c>
      <c r="F173" s="15">
        <v>40882</v>
      </c>
      <c r="G173" s="25" t="s">
        <v>9</v>
      </c>
      <c r="H173" s="15">
        <f t="shared" si="9"/>
        <v>-9.9999999947613105E-3</v>
      </c>
    </row>
    <row r="174" spans="1:10" ht="15.75" x14ac:dyDescent="0.25">
      <c r="A174" s="9">
        <v>42318</v>
      </c>
      <c r="B174" s="10">
        <f>39205.79+972.14+10398.94</f>
        <v>50576.87</v>
      </c>
      <c r="C174" s="10">
        <v>947</v>
      </c>
      <c r="D174" s="10">
        <v>97.5</v>
      </c>
      <c r="E174" s="11">
        <f t="shared" si="8"/>
        <v>49532.37</v>
      </c>
      <c r="F174" s="15">
        <v>49532</v>
      </c>
      <c r="G174" s="25" t="s">
        <v>9</v>
      </c>
      <c r="H174" s="15">
        <f t="shared" si="9"/>
        <v>-0.37000000000261934</v>
      </c>
    </row>
    <row r="175" spans="1:10" ht="15.75" x14ac:dyDescent="0.25">
      <c r="A175" s="9">
        <v>42319</v>
      </c>
      <c r="B175" s="10">
        <f>37142.2+656.09</f>
        <v>37798.289999999994</v>
      </c>
      <c r="C175" s="10">
        <v>3003</v>
      </c>
      <c r="D175" s="10">
        <v>70</v>
      </c>
      <c r="E175" s="11">
        <f t="shared" si="8"/>
        <v>34725.289999999994</v>
      </c>
      <c r="F175" s="15">
        <v>34725</v>
      </c>
      <c r="G175" s="25" t="s">
        <v>9</v>
      </c>
      <c r="H175" s="15">
        <f t="shared" si="9"/>
        <v>-0.28999999999359716</v>
      </c>
      <c r="J175" s="4"/>
    </row>
    <row r="176" spans="1:10" ht="15.75" x14ac:dyDescent="0.25">
      <c r="A176" s="9">
        <v>42320</v>
      </c>
      <c r="B176" s="10">
        <f>49880.68+2304.2</f>
        <v>52184.88</v>
      </c>
      <c r="C176" s="10">
        <v>14526.95</v>
      </c>
      <c r="D176" s="10">
        <v>110</v>
      </c>
      <c r="E176" s="11">
        <f t="shared" si="8"/>
        <v>37547.929999999993</v>
      </c>
      <c r="F176" s="15">
        <v>37548</v>
      </c>
      <c r="G176" s="25" t="s">
        <v>9</v>
      </c>
      <c r="H176" s="15">
        <f t="shared" si="9"/>
        <v>7.0000000006984919E-2</v>
      </c>
    </row>
    <row r="177" spans="1:10" ht="15.75" x14ac:dyDescent="0.25">
      <c r="A177" s="9">
        <v>42321</v>
      </c>
      <c r="B177" s="10">
        <f>76677.39+5611.3+3404.07</f>
        <v>85692.760000000009</v>
      </c>
      <c r="C177" s="10">
        <v>537</v>
      </c>
      <c r="D177" s="10">
        <v>0</v>
      </c>
      <c r="E177" s="11">
        <f t="shared" si="8"/>
        <v>85155.760000000009</v>
      </c>
      <c r="F177" s="15">
        <v>85156</v>
      </c>
      <c r="G177" s="25" t="s">
        <v>9</v>
      </c>
      <c r="H177" s="15">
        <f t="shared" si="9"/>
        <v>0.23999999999068677</v>
      </c>
    </row>
    <row r="178" spans="1:10" ht="15.75" x14ac:dyDescent="0.25">
      <c r="A178" s="9">
        <v>42322</v>
      </c>
      <c r="B178" s="10">
        <f>75596+8304.3+40926.91</f>
        <v>124827.21</v>
      </c>
      <c r="C178" s="10">
        <v>1040</v>
      </c>
      <c r="D178" s="10">
        <v>320</v>
      </c>
      <c r="E178" s="11">
        <f t="shared" si="8"/>
        <v>123467.21</v>
      </c>
      <c r="F178" s="15">
        <v>89027</v>
      </c>
      <c r="G178" s="42"/>
      <c r="H178" s="15">
        <f t="shared" si="9"/>
        <v>-34440.210000000006</v>
      </c>
      <c r="J178" s="39" t="s">
        <v>873</v>
      </c>
    </row>
    <row r="179" spans="1:10" ht="15.75" x14ac:dyDescent="0.25">
      <c r="A179" s="9">
        <v>42323</v>
      </c>
      <c r="B179" s="10">
        <f>60291.28+839.96+1078.01</f>
        <v>62209.25</v>
      </c>
      <c r="C179" s="10">
        <v>0</v>
      </c>
      <c r="D179" s="10">
        <v>8209</v>
      </c>
      <c r="E179" s="11">
        <f t="shared" si="8"/>
        <v>54000.25</v>
      </c>
      <c r="F179" s="15">
        <v>54000</v>
      </c>
      <c r="G179" s="25" t="s">
        <v>9</v>
      </c>
      <c r="H179" s="15">
        <f t="shared" si="9"/>
        <v>-0.25</v>
      </c>
    </row>
    <row r="180" spans="1:10" ht="15.75" x14ac:dyDescent="0.25">
      <c r="A180" s="9">
        <v>42324</v>
      </c>
      <c r="B180" s="10">
        <f>42346.97+833.17</f>
        <v>43180.14</v>
      </c>
      <c r="C180" s="10">
        <v>0</v>
      </c>
      <c r="D180" s="10">
        <v>259</v>
      </c>
      <c r="E180" s="11">
        <f t="shared" si="8"/>
        <v>42921.14</v>
      </c>
      <c r="F180" s="15">
        <v>42921</v>
      </c>
      <c r="G180" s="25" t="s">
        <v>9</v>
      </c>
      <c r="H180" s="15">
        <f t="shared" si="9"/>
        <v>-0.13999999999941792</v>
      </c>
    </row>
    <row r="181" spans="1:10" ht="15.75" x14ac:dyDescent="0.25">
      <c r="A181" s="9">
        <v>42325</v>
      </c>
      <c r="B181" s="10">
        <f>45363.85+1713.5+4217.74</f>
        <v>51295.09</v>
      </c>
      <c r="C181" s="10">
        <v>522</v>
      </c>
      <c r="D181" s="10">
        <v>0</v>
      </c>
      <c r="E181" s="11">
        <f t="shared" si="8"/>
        <v>50773.09</v>
      </c>
      <c r="F181" s="15">
        <v>43773</v>
      </c>
      <c r="G181" s="42"/>
      <c r="H181" s="15">
        <f t="shared" si="9"/>
        <v>-7000.0899999999965</v>
      </c>
      <c r="J181" s="39" t="s">
        <v>874</v>
      </c>
    </row>
    <row r="182" spans="1:10" ht="15.75" x14ac:dyDescent="0.25">
      <c r="A182" s="9">
        <v>42326</v>
      </c>
      <c r="B182" s="10">
        <f>42883.72+1592.51+4051.19</f>
        <v>48527.420000000006</v>
      </c>
      <c r="C182" s="10">
        <v>1188</v>
      </c>
      <c r="D182" s="10">
        <v>0</v>
      </c>
      <c r="E182" s="11">
        <f t="shared" si="8"/>
        <v>47339.420000000006</v>
      </c>
      <c r="F182" s="15">
        <v>47339.5</v>
      </c>
      <c r="G182" s="25" t="s">
        <v>9</v>
      </c>
      <c r="H182" s="15">
        <f t="shared" si="9"/>
        <v>7.9999999994470272E-2</v>
      </c>
    </row>
    <row r="183" spans="1:10" ht="15.75" x14ac:dyDescent="0.25">
      <c r="A183" s="9">
        <v>42327</v>
      </c>
      <c r="B183" s="10">
        <f>41679.16+655.5+1324.22</f>
        <v>43658.880000000005</v>
      </c>
      <c r="C183" s="10">
        <v>564</v>
      </c>
      <c r="D183" s="10">
        <v>0</v>
      </c>
      <c r="E183" s="11">
        <f t="shared" si="8"/>
        <v>43094.880000000005</v>
      </c>
      <c r="F183" s="15"/>
      <c r="G183" s="42"/>
      <c r="H183" s="15">
        <f t="shared" si="9"/>
        <v>-43094.880000000005</v>
      </c>
      <c r="J183" s="39" t="s">
        <v>876</v>
      </c>
    </row>
    <row r="184" spans="1:10" ht="15.75" x14ac:dyDescent="0.25">
      <c r="A184" s="9">
        <v>42328</v>
      </c>
      <c r="B184" s="10">
        <f>77859.48+8093.84+14705.09</f>
        <v>100658.40999999999</v>
      </c>
      <c r="C184" s="10">
        <v>1306.8800000000001</v>
      </c>
      <c r="D184" s="10">
        <v>0</v>
      </c>
      <c r="E184" s="11">
        <f t="shared" si="8"/>
        <v>99351.529999999984</v>
      </c>
      <c r="F184" s="15"/>
      <c r="G184" s="42"/>
      <c r="H184" s="15">
        <f t="shared" si="9"/>
        <v>-99351.529999999984</v>
      </c>
      <c r="J184" s="39" t="s">
        <v>877</v>
      </c>
    </row>
    <row r="185" spans="1:10" ht="15.75" x14ac:dyDescent="0.25">
      <c r="A185" s="9">
        <v>42329</v>
      </c>
      <c r="B185" s="10"/>
      <c r="C185" s="10"/>
      <c r="D185" s="10"/>
      <c r="E185" s="11">
        <f t="shared" si="8"/>
        <v>0</v>
      </c>
      <c r="F185" s="15"/>
      <c r="G185" s="25"/>
      <c r="H185" s="15">
        <f t="shared" si="9"/>
        <v>0</v>
      </c>
    </row>
    <row r="186" spans="1:10" ht="15.75" x14ac:dyDescent="0.25">
      <c r="A186" s="9">
        <v>42330</v>
      </c>
      <c r="B186" s="10"/>
      <c r="C186" s="10"/>
      <c r="D186" s="10"/>
      <c r="E186" s="11">
        <f t="shared" si="8"/>
        <v>0</v>
      </c>
      <c r="F186" s="15"/>
      <c r="G186" s="25"/>
      <c r="H186" s="15">
        <f t="shared" si="9"/>
        <v>0</v>
      </c>
    </row>
    <row r="187" spans="1:10" ht="15.75" x14ac:dyDescent="0.25">
      <c r="A187" s="9">
        <v>42331</v>
      </c>
      <c r="B187" s="10">
        <f>43131.5+1030.95</f>
        <v>44162.45</v>
      </c>
      <c r="C187" s="10">
        <v>0</v>
      </c>
      <c r="D187" s="10">
        <v>0</v>
      </c>
      <c r="E187" s="11">
        <f t="shared" si="8"/>
        <v>44162.45</v>
      </c>
      <c r="F187" s="15"/>
      <c r="G187" s="42"/>
      <c r="H187" s="15">
        <f t="shared" si="9"/>
        <v>-44162.45</v>
      </c>
      <c r="J187" s="39" t="s">
        <v>904</v>
      </c>
    </row>
    <row r="188" spans="1:10" ht="15.75" x14ac:dyDescent="0.25">
      <c r="A188" s="9">
        <v>42332</v>
      </c>
      <c r="B188" s="10">
        <f>36042.41+1765.82+7284.29</f>
        <v>45092.520000000004</v>
      </c>
      <c r="C188" s="10">
        <v>856</v>
      </c>
      <c r="D188" s="10">
        <v>0</v>
      </c>
      <c r="E188" s="11">
        <f t="shared" si="8"/>
        <v>44236.520000000004</v>
      </c>
      <c r="F188" s="15"/>
      <c r="G188" s="42"/>
      <c r="H188" s="15">
        <f t="shared" si="9"/>
        <v>-44236.520000000004</v>
      </c>
      <c r="J188" s="39" t="s">
        <v>905</v>
      </c>
    </row>
    <row r="189" spans="1:10" ht="15.75" x14ac:dyDescent="0.25">
      <c r="A189" s="9">
        <v>42333</v>
      </c>
      <c r="B189" s="10">
        <f>35329.89+2931.78</f>
        <v>38261.67</v>
      </c>
      <c r="C189" s="10">
        <v>527.35</v>
      </c>
      <c r="D189" s="10">
        <v>3100</v>
      </c>
      <c r="E189" s="11">
        <f t="shared" si="8"/>
        <v>34634.32</v>
      </c>
      <c r="F189" s="15"/>
      <c r="G189" s="42"/>
      <c r="H189" s="15">
        <f t="shared" si="9"/>
        <v>-34634.32</v>
      </c>
      <c r="J189" s="39" t="s">
        <v>906</v>
      </c>
    </row>
    <row r="190" spans="1:10" ht="15.75" x14ac:dyDescent="0.25">
      <c r="A190" s="9">
        <v>42334</v>
      </c>
      <c r="B190" s="10">
        <f>35847.54+7364.67+1011.36</f>
        <v>44223.57</v>
      </c>
      <c r="C190" s="10">
        <v>562</v>
      </c>
      <c r="D190" s="10">
        <v>0</v>
      </c>
      <c r="E190" s="11">
        <f t="shared" si="8"/>
        <v>43661.57</v>
      </c>
      <c r="F190" s="15"/>
      <c r="G190" s="42"/>
      <c r="H190" s="15">
        <f t="shared" si="9"/>
        <v>-43661.57</v>
      </c>
      <c r="J190" s="39" t="s">
        <v>907</v>
      </c>
    </row>
    <row r="191" spans="1:10" ht="15.75" x14ac:dyDescent="0.25">
      <c r="A191" s="9">
        <v>42335</v>
      </c>
      <c r="B191" s="10"/>
      <c r="C191" s="10"/>
      <c r="D191" s="10"/>
      <c r="E191" s="11">
        <f t="shared" si="8"/>
        <v>0</v>
      </c>
      <c r="F191" s="15"/>
      <c r="G191" s="25"/>
      <c r="H191" s="15">
        <f t="shared" si="9"/>
        <v>0</v>
      </c>
    </row>
    <row r="192" spans="1:10" ht="15.75" x14ac:dyDescent="0.25">
      <c r="A192" s="9">
        <v>42336</v>
      </c>
      <c r="B192" s="10"/>
      <c r="C192" s="10"/>
      <c r="D192" s="10"/>
      <c r="E192" s="11">
        <f t="shared" si="8"/>
        <v>0</v>
      </c>
      <c r="F192" s="15"/>
      <c r="G192" s="25"/>
      <c r="H192" s="15">
        <f t="shared" si="9"/>
        <v>0</v>
      </c>
    </row>
    <row r="193" spans="1:8" ht="15.75" x14ac:dyDescent="0.25">
      <c r="A193" s="9">
        <v>42337</v>
      </c>
      <c r="B193" s="10"/>
      <c r="C193" s="10"/>
      <c r="D193" s="10"/>
      <c r="E193" s="11">
        <f t="shared" si="8"/>
        <v>0</v>
      </c>
      <c r="F193" s="15"/>
      <c r="G193" s="25"/>
      <c r="H193" s="15">
        <f t="shared" si="9"/>
        <v>0</v>
      </c>
    </row>
    <row r="194" spans="1:8" ht="15.75" x14ac:dyDescent="0.25">
      <c r="A194" s="9">
        <v>42338</v>
      </c>
      <c r="B194" s="10"/>
      <c r="C194" s="10"/>
      <c r="D194" s="10"/>
      <c r="E194" s="11">
        <f t="shared" si="8"/>
        <v>0</v>
      </c>
      <c r="F194" s="15"/>
      <c r="G194" s="25"/>
      <c r="H194" s="15">
        <f t="shared" si="9"/>
        <v>0</v>
      </c>
    </row>
    <row r="195" spans="1:8" ht="15.75" x14ac:dyDescent="0.25">
      <c r="A195" s="9"/>
      <c r="B195" s="10"/>
      <c r="C195" s="10"/>
      <c r="D195" s="10"/>
      <c r="E195" s="11">
        <f t="shared" si="8"/>
        <v>0</v>
      </c>
      <c r="F195" s="15"/>
      <c r="G195" s="25"/>
      <c r="H195" s="15">
        <f t="shared" si="9"/>
        <v>0</v>
      </c>
    </row>
    <row r="196" spans="1:8" ht="15.75" x14ac:dyDescent="0.25">
      <c r="A196" s="9"/>
      <c r="B196" s="10"/>
      <c r="C196" s="10"/>
      <c r="D196" s="10"/>
      <c r="E196" s="11">
        <f t="shared" si="8"/>
        <v>0</v>
      </c>
      <c r="F196" s="15"/>
      <c r="G196" s="25"/>
      <c r="H196" s="15">
        <f t="shared" si="9"/>
        <v>0</v>
      </c>
    </row>
    <row r="197" spans="1:8" ht="15.75" x14ac:dyDescent="0.25">
      <c r="A197" s="9"/>
      <c r="B197" s="10"/>
      <c r="C197" s="10"/>
      <c r="D197" s="10"/>
      <c r="E197" s="11">
        <f t="shared" si="8"/>
        <v>0</v>
      </c>
      <c r="F197" s="15"/>
      <c r="G197" s="4"/>
      <c r="H197" s="4"/>
    </row>
    <row r="198" spans="1:8" ht="15.75" x14ac:dyDescent="0.25">
      <c r="A198" s="14"/>
      <c r="B198" s="13"/>
      <c r="C198" s="10"/>
      <c r="D198" s="10"/>
      <c r="E198" s="11">
        <f t="shared" si="8"/>
        <v>0</v>
      </c>
      <c r="F198" s="15"/>
      <c r="G198" s="189"/>
      <c r="H198" s="4"/>
    </row>
    <row r="199" spans="1:8" ht="15.75" x14ac:dyDescent="0.25">
      <c r="A199" s="14"/>
      <c r="B199" s="10"/>
      <c r="C199" s="10"/>
      <c r="D199" s="10"/>
      <c r="E199" s="11">
        <f t="shared" si="8"/>
        <v>0</v>
      </c>
      <c r="F199" s="15"/>
      <c r="G199" s="4"/>
      <c r="H199" s="4"/>
    </row>
    <row r="200" spans="1:8" ht="15.75" x14ac:dyDescent="0.25">
      <c r="A200" s="14"/>
      <c r="B200" s="10">
        <f>SUM(B165:B199)</f>
        <v>1339319.01</v>
      </c>
      <c r="C200" s="10"/>
      <c r="D200" s="10">
        <f>SUM(D165:D199)</f>
        <v>30088.5</v>
      </c>
      <c r="E200" s="11">
        <f t="shared" si="8"/>
        <v>1309230.51</v>
      </c>
      <c r="F200" s="15"/>
      <c r="G200" s="4"/>
      <c r="H200" s="4"/>
    </row>
    <row r="202" spans="1:8" ht="18.75" x14ac:dyDescent="0.3">
      <c r="B202" s="275" t="s">
        <v>619</v>
      </c>
      <c r="C202" s="275"/>
      <c r="D202" s="275"/>
      <c r="E202" s="275"/>
      <c r="F202" s="275"/>
    </row>
    <row r="204" spans="1:8" ht="16.5" thickBot="1" x14ac:dyDescent="0.3">
      <c r="A204" s="19" t="s">
        <v>0</v>
      </c>
      <c r="B204" s="20" t="s">
        <v>1</v>
      </c>
      <c r="C204" s="8" t="s">
        <v>3</v>
      </c>
      <c r="D204" s="21" t="s">
        <v>2</v>
      </c>
      <c r="E204" s="22" t="s">
        <v>4</v>
      </c>
      <c r="F204" s="27" t="s">
        <v>8</v>
      </c>
      <c r="G204" s="4"/>
      <c r="H204" s="4"/>
    </row>
    <row r="205" spans="1:8" ht="16.5" thickTop="1" x14ac:dyDescent="0.25">
      <c r="A205" s="9"/>
      <c r="B205" s="10"/>
      <c r="C205" s="10"/>
      <c r="D205" s="10"/>
      <c r="E205" s="11">
        <f>B205-C205-D205</f>
        <v>0</v>
      </c>
      <c r="F205" s="15"/>
      <c r="G205" s="25"/>
      <c r="H205" s="15">
        <f>F205-E205</f>
        <v>0</v>
      </c>
    </row>
    <row r="206" spans="1:8" ht="15.75" x14ac:dyDescent="0.25">
      <c r="A206" s="9"/>
      <c r="B206" s="10"/>
      <c r="C206" s="10"/>
      <c r="D206" s="10"/>
      <c r="E206" s="11">
        <f t="shared" ref="E206:E240" si="10">B206-C206-D206</f>
        <v>0</v>
      </c>
      <c r="F206" s="15"/>
      <c r="G206" s="25"/>
      <c r="H206" s="15">
        <f t="shared" ref="H206:H236" si="11">F206-E206</f>
        <v>0</v>
      </c>
    </row>
    <row r="207" spans="1:8" ht="15.75" x14ac:dyDescent="0.25">
      <c r="A207" s="9"/>
      <c r="B207" s="10"/>
      <c r="C207" s="10"/>
      <c r="D207" s="10"/>
      <c r="E207" s="11">
        <f t="shared" si="10"/>
        <v>0</v>
      </c>
      <c r="F207" s="15"/>
      <c r="G207" s="25"/>
      <c r="H207" s="15">
        <f t="shared" si="11"/>
        <v>0</v>
      </c>
    </row>
    <row r="208" spans="1:8" ht="15.75" x14ac:dyDescent="0.25">
      <c r="A208" s="9"/>
      <c r="B208" s="10"/>
      <c r="C208" s="10"/>
      <c r="D208" s="10"/>
      <c r="E208" s="11">
        <f t="shared" si="10"/>
        <v>0</v>
      </c>
      <c r="F208" s="15"/>
      <c r="G208" s="25"/>
      <c r="H208" s="15">
        <f t="shared" si="11"/>
        <v>0</v>
      </c>
    </row>
    <row r="209" spans="1:8" ht="15.75" x14ac:dyDescent="0.25">
      <c r="A209" s="9"/>
      <c r="B209" s="10"/>
      <c r="C209" s="10"/>
      <c r="D209" s="10"/>
      <c r="E209" s="11">
        <f t="shared" si="10"/>
        <v>0</v>
      </c>
      <c r="F209" s="15"/>
      <c r="G209" s="25"/>
      <c r="H209" s="15">
        <f t="shared" si="11"/>
        <v>0</v>
      </c>
    </row>
    <row r="210" spans="1:8" ht="15.75" x14ac:dyDescent="0.25">
      <c r="A210" s="9"/>
      <c r="B210" s="10"/>
      <c r="C210" s="10"/>
      <c r="D210" s="10"/>
      <c r="E210" s="11">
        <f t="shared" si="10"/>
        <v>0</v>
      </c>
      <c r="F210" s="15"/>
      <c r="G210" s="25"/>
      <c r="H210" s="15">
        <f t="shared" si="11"/>
        <v>0</v>
      </c>
    </row>
    <row r="211" spans="1:8" ht="15.75" x14ac:dyDescent="0.25">
      <c r="A211" s="9"/>
      <c r="B211" s="10"/>
      <c r="C211" s="10"/>
      <c r="D211" s="10"/>
      <c r="E211" s="11">
        <f t="shared" si="10"/>
        <v>0</v>
      </c>
      <c r="F211" s="15"/>
      <c r="G211" s="25"/>
      <c r="H211" s="15">
        <f t="shared" si="11"/>
        <v>0</v>
      </c>
    </row>
    <row r="212" spans="1:8" ht="15.75" x14ac:dyDescent="0.25">
      <c r="A212" s="9"/>
      <c r="B212" s="10"/>
      <c r="C212" s="10"/>
      <c r="D212" s="10"/>
      <c r="E212" s="11">
        <f t="shared" si="10"/>
        <v>0</v>
      </c>
      <c r="F212" s="15"/>
      <c r="G212" s="25"/>
      <c r="H212" s="15">
        <f t="shared" si="11"/>
        <v>0</v>
      </c>
    </row>
    <row r="213" spans="1:8" ht="15.75" x14ac:dyDescent="0.25">
      <c r="A213" s="9"/>
      <c r="B213" s="10"/>
      <c r="C213" s="10"/>
      <c r="D213" s="10"/>
      <c r="E213" s="11">
        <f t="shared" si="10"/>
        <v>0</v>
      </c>
      <c r="F213" s="15"/>
      <c r="G213" s="25"/>
      <c r="H213" s="15">
        <f t="shared" si="11"/>
        <v>0</v>
      </c>
    </row>
    <row r="214" spans="1:8" ht="15.75" x14ac:dyDescent="0.25">
      <c r="A214" s="9"/>
      <c r="B214" s="10"/>
      <c r="C214" s="10"/>
      <c r="D214" s="10"/>
      <c r="E214" s="11">
        <f t="shared" si="10"/>
        <v>0</v>
      </c>
      <c r="F214" s="15"/>
      <c r="G214" s="25"/>
      <c r="H214" s="15">
        <f t="shared" si="11"/>
        <v>0</v>
      </c>
    </row>
    <row r="215" spans="1:8" ht="15.75" x14ac:dyDescent="0.25">
      <c r="A215" s="9"/>
      <c r="B215" s="10"/>
      <c r="C215" s="10"/>
      <c r="D215" s="10"/>
      <c r="E215" s="11">
        <f t="shared" si="10"/>
        <v>0</v>
      </c>
      <c r="F215" s="15"/>
      <c r="G215" s="25"/>
      <c r="H215" s="15">
        <f t="shared" si="11"/>
        <v>0</v>
      </c>
    </row>
    <row r="216" spans="1:8" ht="15.75" x14ac:dyDescent="0.25">
      <c r="A216" s="9"/>
      <c r="B216" s="10"/>
      <c r="C216" s="10"/>
      <c r="D216" s="10"/>
      <c r="E216" s="11">
        <f t="shared" si="10"/>
        <v>0</v>
      </c>
      <c r="F216" s="15"/>
      <c r="G216" s="25"/>
      <c r="H216" s="15">
        <f t="shared" si="11"/>
        <v>0</v>
      </c>
    </row>
    <row r="217" spans="1:8" ht="15.75" x14ac:dyDescent="0.25">
      <c r="A217" s="9"/>
      <c r="B217" s="10"/>
      <c r="C217" s="10"/>
      <c r="D217" s="10"/>
      <c r="E217" s="11">
        <f t="shared" si="10"/>
        <v>0</v>
      </c>
      <c r="F217" s="15"/>
      <c r="G217" s="25"/>
      <c r="H217" s="15">
        <f t="shared" si="11"/>
        <v>0</v>
      </c>
    </row>
    <row r="218" spans="1:8" ht="15.75" x14ac:dyDescent="0.25">
      <c r="A218" s="9"/>
      <c r="B218" s="10"/>
      <c r="C218" s="10"/>
      <c r="D218" s="10"/>
      <c r="E218" s="11">
        <f t="shared" si="10"/>
        <v>0</v>
      </c>
      <c r="F218" s="15"/>
      <c r="G218" s="25"/>
      <c r="H218" s="15">
        <f t="shared" si="11"/>
        <v>0</v>
      </c>
    </row>
    <row r="219" spans="1:8" ht="15.75" x14ac:dyDescent="0.25">
      <c r="A219" s="9"/>
      <c r="B219" s="10"/>
      <c r="C219" s="10"/>
      <c r="D219" s="10"/>
      <c r="E219" s="11">
        <f t="shared" si="10"/>
        <v>0</v>
      </c>
      <c r="F219" s="15"/>
      <c r="G219" s="25"/>
      <c r="H219" s="15">
        <f t="shared" si="11"/>
        <v>0</v>
      </c>
    </row>
    <row r="220" spans="1:8" ht="15.75" x14ac:dyDescent="0.25">
      <c r="A220" s="9"/>
      <c r="B220" s="10"/>
      <c r="C220" s="10"/>
      <c r="D220" s="10"/>
      <c r="E220" s="11">
        <f t="shared" si="10"/>
        <v>0</v>
      </c>
      <c r="F220" s="15"/>
      <c r="G220" s="25"/>
      <c r="H220" s="15">
        <f t="shared" si="11"/>
        <v>0</v>
      </c>
    </row>
    <row r="221" spans="1:8" ht="15.75" x14ac:dyDescent="0.25">
      <c r="A221" s="9"/>
      <c r="B221" s="10"/>
      <c r="C221" s="10"/>
      <c r="D221" s="10"/>
      <c r="E221" s="11">
        <f t="shared" si="10"/>
        <v>0</v>
      </c>
      <c r="F221" s="15"/>
      <c r="G221" s="25"/>
      <c r="H221" s="15">
        <f t="shared" si="11"/>
        <v>0</v>
      </c>
    </row>
    <row r="222" spans="1:8" ht="15.75" x14ac:dyDescent="0.25">
      <c r="A222" s="9"/>
      <c r="B222" s="10"/>
      <c r="C222" s="10"/>
      <c r="D222" s="10"/>
      <c r="E222" s="11">
        <f t="shared" si="10"/>
        <v>0</v>
      </c>
      <c r="F222" s="15"/>
      <c r="G222" s="25"/>
      <c r="H222" s="15">
        <f t="shared" si="11"/>
        <v>0</v>
      </c>
    </row>
    <row r="223" spans="1:8" ht="15.75" x14ac:dyDescent="0.25">
      <c r="A223" s="9"/>
      <c r="B223" s="10"/>
      <c r="C223" s="10"/>
      <c r="D223" s="10"/>
      <c r="E223" s="11">
        <f t="shared" si="10"/>
        <v>0</v>
      </c>
      <c r="F223" s="15"/>
      <c r="G223" s="25"/>
      <c r="H223" s="15">
        <f t="shared" si="11"/>
        <v>0</v>
      </c>
    </row>
    <row r="224" spans="1:8" ht="15.75" x14ac:dyDescent="0.25">
      <c r="A224" s="9"/>
      <c r="B224" s="10"/>
      <c r="C224" s="10"/>
      <c r="D224" s="10"/>
      <c r="E224" s="11">
        <f t="shared" si="10"/>
        <v>0</v>
      </c>
      <c r="F224" s="15"/>
      <c r="G224" s="25"/>
      <c r="H224" s="15">
        <f t="shared" si="11"/>
        <v>0</v>
      </c>
    </row>
    <row r="225" spans="1:8" ht="15.75" x14ac:dyDescent="0.25">
      <c r="A225" s="9"/>
      <c r="B225" s="10"/>
      <c r="C225" s="10"/>
      <c r="D225" s="10"/>
      <c r="E225" s="11">
        <f t="shared" si="10"/>
        <v>0</v>
      </c>
      <c r="F225" s="15"/>
      <c r="G225" s="25"/>
      <c r="H225" s="15">
        <f t="shared" si="11"/>
        <v>0</v>
      </c>
    </row>
    <row r="226" spans="1:8" ht="15.75" x14ac:dyDescent="0.25">
      <c r="A226" s="9"/>
      <c r="B226" s="10"/>
      <c r="C226" s="10"/>
      <c r="D226" s="10"/>
      <c r="E226" s="11">
        <f t="shared" si="10"/>
        <v>0</v>
      </c>
      <c r="F226" s="15"/>
      <c r="G226" s="25"/>
      <c r="H226" s="15">
        <f t="shared" si="11"/>
        <v>0</v>
      </c>
    </row>
    <row r="227" spans="1:8" ht="15.75" x14ac:dyDescent="0.25">
      <c r="A227" s="9"/>
      <c r="B227" s="10"/>
      <c r="C227" s="10"/>
      <c r="D227" s="10"/>
      <c r="E227" s="11">
        <f t="shared" si="10"/>
        <v>0</v>
      </c>
      <c r="F227" s="15"/>
      <c r="G227" s="25"/>
      <c r="H227" s="15">
        <f t="shared" si="11"/>
        <v>0</v>
      </c>
    </row>
    <row r="228" spans="1:8" ht="15.75" x14ac:dyDescent="0.25">
      <c r="A228" s="9"/>
      <c r="B228" s="10"/>
      <c r="C228" s="10"/>
      <c r="D228" s="10"/>
      <c r="E228" s="11">
        <f t="shared" si="10"/>
        <v>0</v>
      </c>
      <c r="F228" s="15"/>
      <c r="G228" s="25"/>
      <c r="H228" s="15">
        <f t="shared" si="11"/>
        <v>0</v>
      </c>
    </row>
    <row r="229" spans="1:8" ht="15.75" x14ac:dyDescent="0.25">
      <c r="A229" s="9"/>
      <c r="B229" s="10"/>
      <c r="C229" s="10"/>
      <c r="D229" s="10"/>
      <c r="E229" s="11">
        <f t="shared" si="10"/>
        <v>0</v>
      </c>
      <c r="F229" s="15"/>
      <c r="G229" s="25"/>
      <c r="H229" s="15">
        <f t="shared" si="11"/>
        <v>0</v>
      </c>
    </row>
    <row r="230" spans="1:8" ht="15.75" x14ac:dyDescent="0.25">
      <c r="A230" s="9"/>
      <c r="B230" s="10"/>
      <c r="C230" s="10"/>
      <c r="D230" s="10"/>
      <c r="E230" s="11">
        <f t="shared" si="10"/>
        <v>0</v>
      </c>
      <c r="F230" s="15"/>
      <c r="G230" s="25"/>
      <c r="H230" s="15">
        <f t="shared" si="11"/>
        <v>0</v>
      </c>
    </row>
    <row r="231" spans="1:8" ht="15.75" x14ac:dyDescent="0.25">
      <c r="A231" s="9"/>
      <c r="B231" s="10"/>
      <c r="C231" s="10"/>
      <c r="D231" s="10"/>
      <c r="E231" s="11">
        <f t="shared" si="10"/>
        <v>0</v>
      </c>
      <c r="F231" s="15"/>
      <c r="G231" s="25"/>
      <c r="H231" s="15">
        <f t="shared" si="11"/>
        <v>0</v>
      </c>
    </row>
    <row r="232" spans="1:8" ht="15.75" x14ac:dyDescent="0.25">
      <c r="A232" s="9"/>
      <c r="B232" s="10"/>
      <c r="C232" s="10"/>
      <c r="D232" s="10"/>
      <c r="E232" s="11">
        <f t="shared" si="10"/>
        <v>0</v>
      </c>
      <c r="F232" s="15"/>
      <c r="G232" s="25"/>
      <c r="H232" s="15">
        <f t="shared" si="11"/>
        <v>0</v>
      </c>
    </row>
    <row r="233" spans="1:8" ht="15.75" x14ac:dyDescent="0.25">
      <c r="A233" s="9"/>
      <c r="B233" s="10"/>
      <c r="C233" s="10"/>
      <c r="D233" s="10"/>
      <c r="E233" s="11">
        <f t="shared" si="10"/>
        <v>0</v>
      </c>
      <c r="F233" s="15"/>
      <c r="G233" s="25"/>
      <c r="H233" s="15">
        <f t="shared" si="11"/>
        <v>0</v>
      </c>
    </row>
    <row r="234" spans="1:8" ht="15.75" x14ac:dyDescent="0.25">
      <c r="A234" s="9"/>
      <c r="B234" s="10"/>
      <c r="C234" s="10"/>
      <c r="D234" s="10"/>
      <c r="E234" s="11">
        <f t="shared" si="10"/>
        <v>0</v>
      </c>
      <c r="F234" s="15"/>
      <c r="G234" s="25"/>
      <c r="H234" s="15">
        <f t="shared" si="11"/>
        <v>0</v>
      </c>
    </row>
    <row r="235" spans="1:8" ht="15.75" x14ac:dyDescent="0.25">
      <c r="A235" s="9"/>
      <c r="B235" s="10"/>
      <c r="C235" s="10"/>
      <c r="D235" s="10"/>
      <c r="E235" s="11">
        <f t="shared" si="10"/>
        <v>0</v>
      </c>
      <c r="F235" s="15"/>
      <c r="G235" s="25"/>
      <c r="H235" s="15">
        <f t="shared" si="11"/>
        <v>0</v>
      </c>
    </row>
    <row r="236" spans="1:8" ht="15.75" x14ac:dyDescent="0.25">
      <c r="A236" s="9"/>
      <c r="B236" s="10"/>
      <c r="C236" s="10"/>
      <c r="D236" s="10"/>
      <c r="E236" s="11">
        <f t="shared" si="10"/>
        <v>0</v>
      </c>
      <c r="F236" s="15"/>
      <c r="G236" s="25"/>
      <c r="H236" s="15">
        <f t="shared" si="11"/>
        <v>0</v>
      </c>
    </row>
    <row r="237" spans="1:8" ht="15.75" x14ac:dyDescent="0.25">
      <c r="A237" s="9"/>
      <c r="B237" s="10"/>
      <c r="C237" s="10"/>
      <c r="D237" s="10"/>
      <c r="E237" s="11">
        <f t="shared" si="10"/>
        <v>0</v>
      </c>
      <c r="F237" s="15"/>
      <c r="G237" s="4"/>
      <c r="H237" s="4"/>
    </row>
    <row r="238" spans="1:8" ht="15.75" x14ac:dyDescent="0.25">
      <c r="A238" s="14"/>
      <c r="B238" s="13"/>
      <c r="C238" s="10"/>
      <c r="D238" s="10"/>
      <c r="E238" s="11">
        <f t="shared" si="10"/>
        <v>0</v>
      </c>
      <c r="F238" s="15"/>
      <c r="G238" s="189"/>
      <c r="H238" s="4"/>
    </row>
    <row r="239" spans="1:8" ht="15.75" x14ac:dyDescent="0.25">
      <c r="A239" s="14"/>
      <c r="B239" s="10"/>
      <c r="C239" s="10"/>
      <c r="D239" s="10"/>
      <c r="E239" s="11">
        <f t="shared" si="10"/>
        <v>0</v>
      </c>
      <c r="F239" s="15"/>
      <c r="G239" s="4"/>
      <c r="H239" s="4"/>
    </row>
    <row r="240" spans="1:8" ht="15.75" x14ac:dyDescent="0.25">
      <c r="A240" s="14"/>
      <c r="B240" s="10">
        <f>SUM(B205:B239)</f>
        <v>0</v>
      </c>
      <c r="C240" s="10"/>
      <c r="D240" s="10">
        <f>SUM(D205:D239)</f>
        <v>0</v>
      </c>
      <c r="E240" s="11">
        <f t="shared" si="10"/>
        <v>0</v>
      </c>
      <c r="F240" s="15"/>
      <c r="G240" s="4"/>
      <c r="H240" s="4"/>
    </row>
  </sheetData>
  <mergeCells count="6">
    <mergeCell ref="B202:F202"/>
    <mergeCell ref="B2:F2"/>
    <mergeCell ref="B42:F42"/>
    <mergeCell ref="B82:F82"/>
    <mergeCell ref="B122:F122"/>
    <mergeCell ref="B162:F16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0"/>
  <sheetViews>
    <sheetView topLeftCell="A79" workbookViewId="0">
      <selection activeCell="H87" sqref="H87"/>
    </sheetView>
  </sheetViews>
  <sheetFormatPr baseColWidth="10" defaultRowHeight="15" x14ac:dyDescent="0.25"/>
  <cols>
    <col min="2" max="2" width="12.85546875" bestFit="1" customWidth="1"/>
    <col min="3" max="3" width="12.28515625" customWidth="1"/>
    <col min="4" max="4" width="13.5703125" customWidth="1"/>
    <col min="8" max="8" width="19.85546875" customWidth="1"/>
    <col min="14" max="14" width="14.7109375" customWidth="1"/>
  </cols>
  <sheetData>
    <row r="2" spans="1:17" x14ac:dyDescent="0.25">
      <c r="B2" s="303" t="s">
        <v>172</v>
      </c>
      <c r="C2" s="303"/>
      <c r="D2" s="303"/>
      <c r="H2" s="303" t="s">
        <v>178</v>
      </c>
      <c r="I2" s="303"/>
      <c r="J2" s="303"/>
      <c r="N2" s="303" t="s">
        <v>195</v>
      </c>
      <c r="O2" s="303"/>
      <c r="P2" s="303"/>
    </row>
    <row r="3" spans="1:17" x14ac:dyDescent="0.25">
      <c r="B3" s="101"/>
      <c r="C3" s="101"/>
      <c r="D3" s="101"/>
      <c r="H3" s="101"/>
      <c r="I3" s="101"/>
      <c r="J3" s="101"/>
      <c r="N3" s="101"/>
      <c r="O3" s="101"/>
      <c r="P3" s="101"/>
    </row>
    <row r="4" spans="1:17" x14ac:dyDescent="0.25">
      <c r="A4" s="102" t="s">
        <v>0</v>
      </c>
      <c r="B4" s="103" t="s">
        <v>173</v>
      </c>
      <c r="C4" s="103" t="s">
        <v>174</v>
      </c>
      <c r="D4" s="103" t="s">
        <v>175</v>
      </c>
      <c r="G4" s="102" t="s">
        <v>0</v>
      </c>
      <c r="H4" s="103" t="s">
        <v>173</v>
      </c>
      <c r="I4" s="103" t="s">
        <v>174</v>
      </c>
      <c r="J4" s="103" t="s">
        <v>175</v>
      </c>
      <c r="M4" s="102" t="s">
        <v>0</v>
      </c>
      <c r="N4" s="103" t="s">
        <v>173</v>
      </c>
      <c r="O4" s="103" t="s">
        <v>174</v>
      </c>
      <c r="P4" s="103" t="s">
        <v>175</v>
      </c>
    </row>
    <row r="5" spans="1:17" x14ac:dyDescent="0.25">
      <c r="A5" s="104">
        <v>42064</v>
      </c>
      <c r="B5" s="99"/>
      <c r="C5" s="99"/>
      <c r="D5" s="106"/>
      <c r="E5" s="99"/>
      <c r="G5" s="104">
        <v>42064</v>
      </c>
      <c r="H5" s="99"/>
      <c r="I5" s="99"/>
      <c r="J5" s="106"/>
      <c r="K5" s="99"/>
      <c r="M5" s="104"/>
      <c r="N5" s="99"/>
      <c r="O5" s="99"/>
      <c r="P5" s="106"/>
      <c r="Q5" s="99"/>
    </row>
    <row r="6" spans="1:17" x14ac:dyDescent="0.25">
      <c r="A6" s="104">
        <v>42065</v>
      </c>
      <c r="B6" s="99"/>
      <c r="C6" s="99"/>
      <c r="D6" s="106"/>
      <c r="E6" s="99"/>
      <c r="G6" s="104">
        <v>42065</v>
      </c>
      <c r="H6" s="99"/>
      <c r="I6" s="99"/>
      <c r="J6" s="106"/>
      <c r="K6" s="99"/>
      <c r="M6" s="104"/>
      <c r="N6" s="99"/>
      <c r="O6" s="99"/>
      <c r="P6" s="106"/>
      <c r="Q6" s="99"/>
    </row>
    <row r="7" spans="1:17" x14ac:dyDescent="0.25">
      <c r="A7" s="104">
        <v>42066</v>
      </c>
      <c r="B7" s="99"/>
      <c r="C7" s="99"/>
      <c r="D7" s="106"/>
      <c r="E7" s="99"/>
      <c r="G7" s="104">
        <v>42066</v>
      </c>
      <c r="H7" s="99"/>
      <c r="I7" s="99"/>
      <c r="J7" s="106"/>
      <c r="K7" s="99"/>
      <c r="M7" s="104"/>
      <c r="N7" s="99"/>
      <c r="O7" s="99"/>
      <c r="P7" s="106"/>
      <c r="Q7" s="99"/>
    </row>
    <row r="8" spans="1:17" ht="30" x14ac:dyDescent="0.25">
      <c r="A8" s="104">
        <v>42067</v>
      </c>
      <c r="B8" s="99"/>
      <c r="C8" s="99"/>
      <c r="D8" s="106"/>
      <c r="E8" s="99"/>
      <c r="G8" s="104">
        <v>42067</v>
      </c>
      <c r="H8" s="99" t="s">
        <v>183</v>
      </c>
      <c r="I8" s="105" t="s">
        <v>184</v>
      </c>
      <c r="J8" s="106">
        <v>859.02</v>
      </c>
      <c r="K8" s="99"/>
      <c r="M8" s="104"/>
      <c r="N8" s="99"/>
      <c r="O8" s="105"/>
      <c r="P8" s="106"/>
      <c r="Q8" s="99"/>
    </row>
    <row r="9" spans="1:17" x14ac:dyDescent="0.25">
      <c r="A9" s="104">
        <v>42068</v>
      </c>
      <c r="B9" s="99"/>
      <c r="C9" s="99"/>
      <c r="D9" s="106"/>
      <c r="E9" s="99"/>
      <c r="G9" s="104">
        <v>42068</v>
      </c>
      <c r="H9" s="99"/>
      <c r="I9" s="99"/>
      <c r="J9" s="106"/>
      <c r="K9" s="99"/>
      <c r="M9" s="104"/>
      <c r="N9" s="99"/>
      <c r="O9" s="99"/>
      <c r="P9" s="106"/>
      <c r="Q9" s="99"/>
    </row>
    <row r="10" spans="1:17" x14ac:dyDescent="0.25">
      <c r="A10" s="104">
        <v>42069</v>
      </c>
      <c r="B10" s="99"/>
      <c r="C10" s="99"/>
      <c r="D10" s="106"/>
      <c r="E10" s="99"/>
      <c r="G10" s="104">
        <v>42069</v>
      </c>
      <c r="H10" s="99"/>
      <c r="I10" s="99"/>
      <c r="J10" s="106"/>
      <c r="K10" s="99"/>
      <c r="M10" s="104"/>
      <c r="N10" s="99"/>
      <c r="O10" s="99"/>
      <c r="P10" s="106"/>
      <c r="Q10" s="99"/>
    </row>
    <row r="11" spans="1:17" x14ac:dyDescent="0.25">
      <c r="A11" s="104">
        <v>42070</v>
      </c>
      <c r="B11" s="99"/>
      <c r="C11" s="99"/>
      <c r="D11" s="106"/>
      <c r="E11" s="99"/>
      <c r="G11" s="104">
        <v>42070</v>
      </c>
      <c r="H11" s="99"/>
      <c r="I11" s="99"/>
      <c r="J11" s="106"/>
      <c r="K11" s="99"/>
      <c r="M11" s="104"/>
      <c r="N11" s="99"/>
      <c r="O11" s="99"/>
      <c r="P11" s="106"/>
      <c r="Q11" s="99"/>
    </row>
    <row r="12" spans="1:17" x14ac:dyDescent="0.25">
      <c r="A12" s="104">
        <v>42071</v>
      </c>
      <c r="B12" s="99"/>
      <c r="C12" s="99"/>
      <c r="D12" s="106"/>
      <c r="E12" s="99"/>
      <c r="G12" s="104">
        <v>42071</v>
      </c>
      <c r="H12" s="99"/>
      <c r="I12" s="99"/>
      <c r="J12" s="106"/>
      <c r="K12" s="99"/>
      <c r="M12" s="104"/>
      <c r="N12" s="99"/>
      <c r="O12" s="99"/>
      <c r="P12" s="106"/>
      <c r="Q12" s="99"/>
    </row>
    <row r="13" spans="1:17" x14ac:dyDescent="0.25">
      <c r="A13" s="104">
        <v>42072</v>
      </c>
      <c r="B13" s="99"/>
      <c r="C13" s="99"/>
      <c r="D13" s="106"/>
      <c r="E13" s="99"/>
      <c r="G13" s="104">
        <v>42072</v>
      </c>
      <c r="H13" s="99"/>
      <c r="I13" s="99"/>
      <c r="J13" s="106"/>
      <c r="K13" s="99"/>
      <c r="M13" s="104"/>
      <c r="N13" s="99"/>
      <c r="O13" s="99"/>
      <c r="P13" s="106"/>
      <c r="Q13" s="99"/>
    </row>
    <row r="14" spans="1:17" x14ac:dyDescent="0.25">
      <c r="A14" s="104">
        <v>42073</v>
      </c>
      <c r="B14" s="99"/>
      <c r="C14" s="99"/>
      <c r="D14" s="106"/>
      <c r="E14" s="99"/>
      <c r="G14" s="104">
        <v>42073</v>
      </c>
      <c r="H14" s="99"/>
      <c r="I14" s="99"/>
      <c r="J14" s="106"/>
      <c r="K14" s="99"/>
      <c r="M14" s="104"/>
      <c r="N14" s="99"/>
      <c r="O14" s="99"/>
      <c r="P14" s="106"/>
      <c r="Q14" s="99"/>
    </row>
    <row r="15" spans="1:17" x14ac:dyDescent="0.25">
      <c r="A15" s="104">
        <v>42074</v>
      </c>
      <c r="B15" s="99"/>
      <c r="C15" s="99"/>
      <c r="D15" s="106"/>
      <c r="E15" s="99"/>
      <c r="G15" s="104">
        <v>42074</v>
      </c>
      <c r="H15" s="99"/>
      <c r="I15" s="99"/>
      <c r="J15" s="106"/>
      <c r="K15" s="99"/>
      <c r="M15" s="104"/>
      <c r="N15" s="99"/>
      <c r="O15" s="99"/>
      <c r="P15" s="106"/>
      <c r="Q15" s="99"/>
    </row>
    <row r="16" spans="1:17" x14ac:dyDescent="0.25">
      <c r="A16" s="104">
        <v>42075</v>
      </c>
      <c r="B16" s="99"/>
      <c r="C16" s="99"/>
      <c r="D16" s="106"/>
      <c r="E16" s="99"/>
      <c r="G16" s="104">
        <v>42075</v>
      </c>
      <c r="H16" s="99"/>
      <c r="I16" s="99"/>
      <c r="J16" s="106"/>
      <c r="K16" s="99"/>
      <c r="M16" s="104"/>
      <c r="N16" s="99"/>
      <c r="O16" s="99"/>
      <c r="P16" s="106"/>
      <c r="Q16" s="99"/>
    </row>
    <row r="17" spans="1:17" x14ac:dyDescent="0.25">
      <c r="A17" s="104">
        <v>42076</v>
      </c>
      <c r="B17" s="99"/>
      <c r="C17" s="99"/>
      <c r="D17" s="106"/>
      <c r="E17" s="99"/>
      <c r="G17" s="104">
        <v>42076</v>
      </c>
      <c r="H17" s="99"/>
      <c r="I17" s="99"/>
      <c r="J17" s="106"/>
      <c r="K17" s="99"/>
      <c r="M17" s="104"/>
      <c r="N17" s="99"/>
      <c r="O17" s="99"/>
      <c r="P17" s="106"/>
      <c r="Q17" s="99"/>
    </row>
    <row r="18" spans="1:17" x14ac:dyDescent="0.25">
      <c r="A18" s="104">
        <v>42077</v>
      </c>
      <c r="B18" s="99"/>
      <c r="C18" s="99"/>
      <c r="D18" s="106"/>
      <c r="E18" s="99"/>
      <c r="G18" s="104">
        <v>42077</v>
      </c>
      <c r="H18" s="99"/>
      <c r="I18" s="99"/>
      <c r="J18" s="106"/>
      <c r="K18" s="99"/>
      <c r="M18" s="104"/>
      <c r="N18" s="99"/>
      <c r="O18" s="99"/>
      <c r="P18" s="106"/>
      <c r="Q18" s="99"/>
    </row>
    <row r="19" spans="1:17" x14ac:dyDescent="0.25">
      <c r="A19" s="104">
        <v>42078</v>
      </c>
      <c r="B19" s="99"/>
      <c r="C19" s="99"/>
      <c r="D19" s="106"/>
      <c r="E19" s="99"/>
      <c r="G19" s="104">
        <v>42078</v>
      </c>
      <c r="H19" s="99"/>
      <c r="I19" s="99"/>
      <c r="J19" s="106"/>
      <c r="K19" s="99"/>
      <c r="M19" s="104"/>
      <c r="N19" s="99"/>
      <c r="O19" s="99"/>
      <c r="P19" s="106"/>
      <c r="Q19" s="99"/>
    </row>
    <row r="20" spans="1:17" x14ac:dyDescent="0.25">
      <c r="A20" s="104">
        <v>42079</v>
      </c>
      <c r="B20" s="99"/>
      <c r="C20" s="99"/>
      <c r="D20" s="106"/>
      <c r="E20" s="99"/>
      <c r="G20" s="104">
        <v>42079</v>
      </c>
      <c r="H20" s="99"/>
      <c r="I20" s="99"/>
      <c r="J20" s="106"/>
      <c r="K20" s="99"/>
      <c r="M20" s="104"/>
      <c r="N20" s="99"/>
      <c r="O20" s="99"/>
      <c r="P20" s="106"/>
      <c r="Q20" s="99"/>
    </row>
    <row r="21" spans="1:17" x14ac:dyDescent="0.25">
      <c r="A21" s="104">
        <v>42080</v>
      </c>
      <c r="B21" s="99"/>
      <c r="C21" s="99"/>
      <c r="D21" s="106"/>
      <c r="E21" s="99"/>
      <c r="G21" s="104">
        <v>42080</v>
      </c>
      <c r="H21" s="99"/>
      <c r="I21" s="99"/>
      <c r="J21" s="106"/>
      <c r="K21" s="99"/>
      <c r="M21" s="104"/>
      <c r="N21" s="99"/>
      <c r="O21" s="99"/>
      <c r="P21" s="106"/>
      <c r="Q21" s="99"/>
    </row>
    <row r="22" spans="1:17" x14ac:dyDescent="0.25">
      <c r="A22" s="104">
        <v>42081</v>
      </c>
      <c r="B22" s="99"/>
      <c r="C22" s="99"/>
      <c r="D22" s="106"/>
      <c r="E22" s="99"/>
      <c r="G22" s="104">
        <v>42081</v>
      </c>
      <c r="H22" s="99"/>
      <c r="I22" s="99"/>
      <c r="J22" s="106"/>
      <c r="K22" s="99"/>
      <c r="M22" s="104"/>
      <c r="N22" s="99"/>
      <c r="O22" s="99"/>
      <c r="P22" s="106"/>
      <c r="Q22" s="99"/>
    </row>
    <row r="23" spans="1:17" x14ac:dyDescent="0.25">
      <c r="A23" s="104">
        <v>42082</v>
      </c>
      <c r="B23" s="99"/>
      <c r="C23" s="99"/>
      <c r="D23" s="106"/>
      <c r="E23" s="99"/>
      <c r="G23" s="104">
        <v>42082</v>
      </c>
      <c r="H23" s="99"/>
      <c r="I23" s="99"/>
      <c r="J23" s="106"/>
      <c r="K23" s="99"/>
      <c r="M23" s="104"/>
      <c r="N23" s="99"/>
      <c r="O23" s="99"/>
      <c r="P23" s="106"/>
      <c r="Q23" s="99"/>
    </row>
    <row r="24" spans="1:17" x14ac:dyDescent="0.25">
      <c r="A24" s="104">
        <v>42083</v>
      </c>
      <c r="B24" s="99"/>
      <c r="C24" s="99"/>
      <c r="D24" s="106"/>
      <c r="E24" s="99"/>
      <c r="G24" s="104">
        <v>42083</v>
      </c>
      <c r="H24" s="99"/>
      <c r="I24" s="99"/>
      <c r="J24" s="106"/>
      <c r="K24" s="99"/>
      <c r="M24" s="104"/>
      <c r="N24" s="99"/>
      <c r="O24" s="99"/>
      <c r="P24" s="106"/>
      <c r="Q24" s="99"/>
    </row>
    <row r="25" spans="1:17" x14ac:dyDescent="0.25">
      <c r="A25" s="104">
        <v>42084</v>
      </c>
      <c r="B25" s="99"/>
      <c r="C25" s="99"/>
      <c r="D25" s="106"/>
      <c r="E25" s="99"/>
      <c r="G25" s="104">
        <v>42084</v>
      </c>
      <c r="H25" s="99"/>
      <c r="I25" s="99"/>
      <c r="J25" s="106"/>
      <c r="K25" s="99"/>
      <c r="M25" s="104"/>
      <c r="N25" s="99"/>
      <c r="O25" s="99"/>
      <c r="P25" s="106"/>
      <c r="Q25" s="99"/>
    </row>
    <row r="26" spans="1:17" x14ac:dyDescent="0.25">
      <c r="A26" s="104">
        <v>42085</v>
      </c>
      <c r="B26" s="99"/>
      <c r="C26" s="99"/>
      <c r="D26" s="106"/>
      <c r="E26" s="99"/>
      <c r="G26" s="104">
        <v>42085</v>
      </c>
      <c r="H26" s="99"/>
      <c r="I26" s="99"/>
      <c r="J26" s="106"/>
      <c r="K26" s="99"/>
      <c r="M26" s="104"/>
      <c r="N26" s="99"/>
      <c r="O26" s="99"/>
      <c r="P26" s="106"/>
      <c r="Q26" s="99"/>
    </row>
    <row r="27" spans="1:17" x14ac:dyDescent="0.25">
      <c r="A27" s="104">
        <v>42086</v>
      </c>
      <c r="B27" s="99"/>
      <c r="C27" s="99"/>
      <c r="D27" s="106"/>
      <c r="E27" s="99"/>
      <c r="G27" s="104">
        <v>42086</v>
      </c>
      <c r="H27" s="99"/>
      <c r="I27" s="99"/>
      <c r="J27" s="106"/>
      <c r="K27" s="99"/>
      <c r="M27" s="104"/>
      <c r="N27" s="99"/>
      <c r="O27" s="99"/>
      <c r="P27" s="106"/>
      <c r="Q27" s="99"/>
    </row>
    <row r="28" spans="1:17" x14ac:dyDescent="0.25">
      <c r="A28" s="104">
        <v>42087</v>
      </c>
      <c r="B28" s="99"/>
      <c r="C28" s="99"/>
      <c r="D28" s="106"/>
      <c r="E28" s="99"/>
      <c r="G28" s="104">
        <v>42087</v>
      </c>
      <c r="H28" s="99"/>
      <c r="I28" s="99"/>
      <c r="J28" s="106"/>
      <c r="K28" s="99"/>
      <c r="M28" s="104"/>
      <c r="N28" s="99"/>
      <c r="O28" s="99"/>
      <c r="P28" s="106"/>
      <c r="Q28" s="99"/>
    </row>
    <row r="29" spans="1:17" ht="67.5" x14ac:dyDescent="0.25">
      <c r="A29" s="104">
        <v>42088</v>
      </c>
      <c r="B29" s="108" t="s">
        <v>176</v>
      </c>
      <c r="C29" s="105" t="s">
        <v>177</v>
      </c>
      <c r="D29" s="106">
        <v>3480</v>
      </c>
      <c r="E29" s="99"/>
      <c r="G29" s="104">
        <v>42088</v>
      </c>
      <c r="H29" s="99"/>
      <c r="I29" s="105"/>
      <c r="J29" s="106"/>
      <c r="K29" s="99"/>
      <c r="M29" s="104"/>
      <c r="N29" s="99"/>
      <c r="O29" s="105"/>
      <c r="P29" s="106"/>
      <c r="Q29" s="99"/>
    </row>
    <row r="30" spans="1:17" x14ac:dyDescent="0.25">
      <c r="A30" s="104">
        <v>42089</v>
      </c>
      <c r="B30" s="99"/>
      <c r="C30" s="99"/>
      <c r="D30" s="106"/>
      <c r="E30" s="99"/>
      <c r="G30" s="104">
        <v>42089</v>
      </c>
      <c r="H30" s="99"/>
      <c r="I30" s="99"/>
      <c r="J30" s="106"/>
      <c r="K30" s="99"/>
      <c r="M30" s="104"/>
      <c r="N30" s="99"/>
      <c r="O30" s="99"/>
      <c r="P30" s="106"/>
      <c r="Q30" s="99"/>
    </row>
    <row r="31" spans="1:17" x14ac:dyDescent="0.25">
      <c r="A31" s="104">
        <v>42090</v>
      </c>
      <c r="B31" s="99"/>
      <c r="C31" s="99"/>
      <c r="D31" s="106"/>
      <c r="E31" s="99"/>
      <c r="G31" s="104">
        <v>42090</v>
      </c>
      <c r="H31" s="99"/>
      <c r="I31" s="99"/>
      <c r="J31" s="106"/>
      <c r="K31" s="99"/>
      <c r="M31" s="104"/>
      <c r="N31" s="99"/>
      <c r="O31" s="99"/>
      <c r="P31" s="106"/>
      <c r="Q31" s="99"/>
    </row>
    <row r="32" spans="1:17" x14ac:dyDescent="0.25">
      <c r="A32" s="104">
        <v>42091</v>
      </c>
      <c r="B32" s="99"/>
      <c r="C32" s="99"/>
      <c r="D32" s="106"/>
      <c r="E32" s="99"/>
      <c r="G32" s="104">
        <v>42091</v>
      </c>
      <c r="H32" s="99"/>
      <c r="I32" s="99"/>
      <c r="J32" s="106"/>
      <c r="K32" s="99"/>
      <c r="M32" s="104"/>
      <c r="N32" s="99"/>
      <c r="O32" s="99"/>
      <c r="P32" s="106"/>
      <c r="Q32" s="99"/>
    </row>
    <row r="33" spans="1:17" x14ac:dyDescent="0.25">
      <c r="A33" s="104">
        <v>42092</v>
      </c>
      <c r="B33" s="99"/>
      <c r="C33" s="99"/>
      <c r="D33" s="106"/>
      <c r="E33" s="99"/>
      <c r="G33" s="104">
        <v>42092</v>
      </c>
      <c r="H33" s="99"/>
      <c r="I33" s="99"/>
      <c r="J33" s="106"/>
      <c r="K33" s="99"/>
      <c r="M33" s="104"/>
      <c r="N33" s="99"/>
      <c r="O33" s="99"/>
      <c r="P33" s="106"/>
      <c r="Q33" s="99"/>
    </row>
    <row r="34" spans="1:17" x14ac:dyDescent="0.25">
      <c r="A34" s="104">
        <v>42093</v>
      </c>
      <c r="B34" s="99"/>
      <c r="C34" s="99"/>
      <c r="D34" s="106"/>
      <c r="E34" s="99"/>
      <c r="G34" s="104">
        <v>42093</v>
      </c>
      <c r="H34" s="99"/>
      <c r="I34" s="99"/>
      <c r="J34" s="106"/>
      <c r="K34" s="99"/>
      <c r="M34" s="104"/>
      <c r="N34" s="99"/>
      <c r="O34" s="99"/>
      <c r="P34" s="106"/>
      <c r="Q34" s="99"/>
    </row>
    <row r="35" spans="1:17" ht="22.5" x14ac:dyDescent="0.25">
      <c r="A35" s="104">
        <v>42094</v>
      </c>
      <c r="B35" s="99"/>
      <c r="C35" s="99"/>
      <c r="D35" s="106"/>
      <c r="E35" s="99"/>
      <c r="G35" s="104">
        <v>42094</v>
      </c>
      <c r="H35" s="108" t="s">
        <v>180</v>
      </c>
      <c r="I35" s="107" t="s">
        <v>179</v>
      </c>
      <c r="J35" s="106">
        <v>350.01</v>
      </c>
      <c r="K35" s="99"/>
      <c r="M35" s="104"/>
      <c r="N35" s="108"/>
      <c r="O35" s="107"/>
      <c r="P35" s="106"/>
      <c r="Q35" s="99"/>
    </row>
    <row r="36" spans="1:17" x14ac:dyDescent="0.25">
      <c r="A36" s="100"/>
      <c r="B36" s="100"/>
      <c r="C36" s="100"/>
      <c r="G36" s="100"/>
      <c r="H36" s="100"/>
      <c r="I36" s="100"/>
    </row>
    <row r="37" spans="1:17" x14ac:dyDescent="0.25">
      <c r="A37" s="100"/>
      <c r="B37" s="100"/>
      <c r="C37" s="100"/>
      <c r="G37" s="100"/>
      <c r="H37" s="100"/>
      <c r="I37" s="100"/>
    </row>
    <row r="38" spans="1:17" x14ac:dyDescent="0.25">
      <c r="B38" s="303" t="s">
        <v>172</v>
      </c>
      <c r="C38" s="303"/>
      <c r="D38" s="303"/>
      <c r="H38" s="303" t="s">
        <v>178</v>
      </c>
      <c r="I38" s="303"/>
      <c r="J38" s="303"/>
      <c r="N38" s="303" t="s">
        <v>195</v>
      </c>
      <c r="O38" s="303"/>
      <c r="P38" s="303"/>
    </row>
    <row r="39" spans="1:17" x14ac:dyDescent="0.25">
      <c r="B39" s="101"/>
      <c r="C39" s="101"/>
      <c r="D39" s="101"/>
      <c r="H39" s="101"/>
      <c r="I39" s="101"/>
      <c r="J39" s="101"/>
      <c r="N39" s="101"/>
      <c r="O39" s="101"/>
      <c r="P39" s="101"/>
    </row>
    <row r="40" spans="1:17" x14ac:dyDescent="0.25">
      <c r="A40" s="102" t="s">
        <v>0</v>
      </c>
      <c r="B40" s="103" t="s">
        <v>173</v>
      </c>
      <c r="C40" s="103" t="s">
        <v>174</v>
      </c>
      <c r="D40" s="103" t="s">
        <v>175</v>
      </c>
      <c r="G40" s="102" t="s">
        <v>0</v>
      </c>
      <c r="H40" s="103" t="s">
        <v>173</v>
      </c>
      <c r="I40" s="103" t="s">
        <v>174</v>
      </c>
      <c r="J40" s="103" t="s">
        <v>175</v>
      </c>
      <c r="M40" s="102" t="s">
        <v>0</v>
      </c>
      <c r="N40" s="103" t="s">
        <v>173</v>
      </c>
      <c r="O40" s="103" t="s">
        <v>174</v>
      </c>
      <c r="P40" s="103" t="s">
        <v>175</v>
      </c>
    </row>
    <row r="41" spans="1:17" ht="123.75" x14ac:dyDescent="0.25">
      <c r="A41" s="104">
        <v>42095</v>
      </c>
      <c r="B41" s="99"/>
      <c r="C41" s="99"/>
      <c r="D41" s="106"/>
      <c r="E41" s="99"/>
      <c r="G41" s="104">
        <v>42095</v>
      </c>
      <c r="H41" s="99"/>
      <c r="I41" s="99"/>
      <c r="J41" s="106"/>
      <c r="K41" s="99"/>
      <c r="M41" s="115">
        <v>42105</v>
      </c>
      <c r="N41" s="108" t="s">
        <v>197</v>
      </c>
      <c r="O41" s="105" t="s">
        <v>196</v>
      </c>
      <c r="P41" s="106">
        <v>4843.6000000000004</v>
      </c>
      <c r="Q41" s="99"/>
    </row>
    <row r="42" spans="1:17" x14ac:dyDescent="0.25">
      <c r="A42" s="104">
        <v>42096</v>
      </c>
      <c r="B42" s="99"/>
      <c r="C42" s="99"/>
      <c r="D42" s="106"/>
      <c r="E42" s="99"/>
      <c r="G42" s="104">
        <v>42096</v>
      </c>
      <c r="H42" s="99"/>
      <c r="I42" s="99"/>
      <c r="J42" s="106"/>
      <c r="K42" s="99"/>
      <c r="P42" s="120">
        <f>SUM(P41)</f>
        <v>4843.6000000000004</v>
      </c>
    </row>
    <row r="43" spans="1:17" x14ac:dyDescent="0.25">
      <c r="A43" s="104">
        <v>42097</v>
      </c>
      <c r="B43" s="99"/>
      <c r="C43" s="99"/>
      <c r="D43" s="106"/>
      <c r="E43" s="99"/>
      <c r="G43" s="104">
        <v>42097</v>
      </c>
      <c r="H43" s="99"/>
      <c r="I43" s="99"/>
      <c r="J43" s="106"/>
      <c r="K43" s="99"/>
      <c r="M43" s="117"/>
      <c r="N43" s="100"/>
      <c r="O43" s="100"/>
      <c r="P43" s="118"/>
      <c r="Q43" s="100"/>
    </row>
    <row r="44" spans="1:17" x14ac:dyDescent="0.25">
      <c r="A44" s="104">
        <v>42098</v>
      </c>
      <c r="B44" s="99"/>
      <c r="C44" s="99"/>
      <c r="D44" s="106"/>
      <c r="E44" s="99"/>
      <c r="G44" s="104">
        <v>42098</v>
      </c>
      <c r="H44" s="99"/>
      <c r="I44" s="105"/>
      <c r="J44" s="106"/>
      <c r="K44" s="99"/>
      <c r="M44" s="117"/>
      <c r="N44" s="100"/>
      <c r="O44" s="119"/>
      <c r="P44" s="118"/>
      <c r="Q44" s="100"/>
    </row>
    <row r="45" spans="1:17" x14ac:dyDescent="0.25">
      <c r="A45" s="104">
        <v>42099</v>
      </c>
      <c r="B45" s="99"/>
      <c r="C45" s="99"/>
      <c r="D45" s="106"/>
      <c r="E45" s="99"/>
      <c r="G45" s="104">
        <v>42099</v>
      </c>
      <c r="H45" s="99"/>
      <c r="I45" s="99"/>
      <c r="J45" s="106"/>
      <c r="K45" s="99"/>
      <c r="N45" s="303" t="s">
        <v>195</v>
      </c>
      <c r="O45" s="303"/>
      <c r="P45" s="303"/>
    </row>
    <row r="46" spans="1:17" x14ac:dyDescent="0.25">
      <c r="A46" s="104">
        <v>42100</v>
      </c>
      <c r="B46" s="99"/>
      <c r="C46" s="99"/>
      <c r="D46" s="106"/>
      <c r="E46" s="99"/>
      <c r="G46" s="104">
        <v>42100</v>
      </c>
      <c r="H46" s="99" t="s">
        <v>188</v>
      </c>
      <c r="I46" s="99" t="s">
        <v>189</v>
      </c>
      <c r="J46" s="106">
        <v>120</v>
      </c>
      <c r="K46" s="99"/>
      <c r="N46" s="101"/>
      <c r="O46" s="101"/>
      <c r="P46" s="101"/>
    </row>
    <row r="47" spans="1:17" x14ac:dyDescent="0.25">
      <c r="A47" s="104">
        <v>42101</v>
      </c>
      <c r="B47" s="99"/>
      <c r="C47" s="99"/>
      <c r="D47" s="106"/>
      <c r="E47" s="99"/>
      <c r="G47" s="104"/>
      <c r="H47" s="99"/>
      <c r="I47" s="99"/>
      <c r="J47" s="106"/>
      <c r="K47" s="99"/>
      <c r="M47" s="102" t="s">
        <v>0</v>
      </c>
      <c r="N47" s="103" t="s">
        <v>173</v>
      </c>
      <c r="O47" s="103" t="s">
        <v>174</v>
      </c>
      <c r="P47" s="103" t="s">
        <v>175</v>
      </c>
    </row>
    <row r="48" spans="1:17" x14ac:dyDescent="0.25">
      <c r="A48" s="104">
        <v>42102</v>
      </c>
      <c r="B48" s="99"/>
      <c r="C48" s="99"/>
      <c r="D48" s="106"/>
      <c r="E48" s="99"/>
      <c r="G48" s="104"/>
      <c r="H48" s="99"/>
      <c r="I48" s="99"/>
      <c r="J48" s="106"/>
      <c r="K48" s="99"/>
      <c r="M48" s="104">
        <v>42131</v>
      </c>
      <c r="N48" s="99" t="s">
        <v>233</v>
      </c>
      <c r="O48" s="116" t="s">
        <v>234</v>
      </c>
      <c r="P48" s="106">
        <v>1200</v>
      </c>
      <c r="Q48" s="99"/>
    </row>
    <row r="49" spans="1:17" x14ac:dyDescent="0.25">
      <c r="A49" s="104">
        <v>42103</v>
      </c>
      <c r="B49" s="99"/>
      <c r="C49" s="99"/>
      <c r="D49" s="106"/>
      <c r="E49" s="99"/>
      <c r="G49" s="104"/>
      <c r="H49" s="99"/>
      <c r="I49" s="99"/>
      <c r="J49" s="106"/>
      <c r="K49" s="99"/>
      <c r="M49" s="104">
        <v>42132</v>
      </c>
      <c r="N49" s="99" t="s">
        <v>237</v>
      </c>
      <c r="O49" s="99" t="s">
        <v>238</v>
      </c>
      <c r="P49" s="106">
        <f>227.36+1160</f>
        <v>1387.3600000000001</v>
      </c>
      <c r="Q49" s="99"/>
    </row>
    <row r="50" spans="1:17" x14ac:dyDescent="0.25">
      <c r="A50" s="104">
        <v>42104</v>
      </c>
      <c r="B50" s="99"/>
      <c r="C50" s="99"/>
      <c r="D50" s="106"/>
      <c r="E50" s="99"/>
      <c r="G50" s="104"/>
      <c r="H50" s="99"/>
      <c r="I50" s="99"/>
      <c r="J50" s="106"/>
      <c r="K50" s="99"/>
      <c r="M50" s="104">
        <v>42133</v>
      </c>
      <c r="N50" s="99" t="s">
        <v>235</v>
      </c>
      <c r="O50" s="99" t="s">
        <v>236</v>
      </c>
      <c r="P50" s="106">
        <f>1200+1700</f>
        <v>2900</v>
      </c>
      <c r="Q50" s="99"/>
    </row>
    <row r="51" spans="1:17" x14ac:dyDescent="0.25">
      <c r="A51" s="104">
        <v>42105</v>
      </c>
      <c r="B51" s="99"/>
      <c r="C51" s="99"/>
      <c r="D51" s="106"/>
      <c r="E51" s="99"/>
      <c r="G51" s="117"/>
      <c r="H51" s="100"/>
      <c r="I51" s="100"/>
      <c r="J51" s="118"/>
      <c r="K51" s="100"/>
      <c r="M51" s="117"/>
      <c r="N51" s="100"/>
      <c r="O51" s="119"/>
      <c r="P51" s="106">
        <f>SUM(P48:P50)</f>
        <v>5487.3600000000006</v>
      </c>
      <c r="Q51" s="100"/>
    </row>
    <row r="52" spans="1:17" x14ac:dyDescent="0.25">
      <c r="A52" s="104">
        <v>42106</v>
      </c>
      <c r="B52" s="99"/>
      <c r="C52" s="99"/>
      <c r="D52" s="106"/>
      <c r="E52" s="99"/>
      <c r="G52" s="117"/>
      <c r="H52" s="100"/>
      <c r="I52" s="100"/>
      <c r="J52" s="118"/>
      <c r="K52" s="100"/>
      <c r="M52" s="117"/>
      <c r="N52" s="100"/>
      <c r="O52" s="100"/>
      <c r="P52" s="118"/>
      <c r="Q52" s="100"/>
    </row>
    <row r="53" spans="1:17" x14ac:dyDescent="0.25">
      <c r="A53" s="104">
        <v>42107</v>
      </c>
      <c r="B53" s="99"/>
      <c r="C53" s="99"/>
      <c r="D53" s="106"/>
      <c r="E53" s="99"/>
      <c r="G53" s="117"/>
      <c r="H53" s="100"/>
      <c r="I53" s="100"/>
      <c r="J53" s="118"/>
      <c r="K53" s="100"/>
      <c r="M53" s="117"/>
      <c r="N53" s="100"/>
      <c r="O53" s="100"/>
      <c r="P53" s="118"/>
      <c r="Q53" s="100"/>
    </row>
    <row r="54" spans="1:17" x14ac:dyDescent="0.25">
      <c r="A54" s="104">
        <v>42108</v>
      </c>
      <c r="B54" s="99"/>
      <c r="C54" s="99"/>
      <c r="D54" s="106"/>
      <c r="E54" s="99"/>
      <c r="G54" s="117"/>
      <c r="H54" s="100"/>
      <c r="I54" s="100"/>
      <c r="J54" s="118"/>
      <c r="K54" s="100"/>
      <c r="N54" s="303" t="s">
        <v>195</v>
      </c>
      <c r="O54" s="303"/>
      <c r="P54" s="303"/>
    </row>
    <row r="55" spans="1:17" x14ac:dyDescent="0.25">
      <c r="A55" s="104">
        <v>42109</v>
      </c>
      <c r="B55" s="99"/>
      <c r="C55" s="99"/>
      <c r="D55" s="106"/>
      <c r="E55" s="99"/>
      <c r="G55" s="117"/>
      <c r="H55" s="100"/>
      <c r="I55" s="100"/>
      <c r="J55" s="118"/>
      <c r="K55" s="100"/>
      <c r="N55" s="101"/>
      <c r="O55" s="101"/>
      <c r="P55" s="101"/>
    </row>
    <row r="56" spans="1:17" x14ac:dyDescent="0.25">
      <c r="A56" s="104">
        <v>42110</v>
      </c>
      <c r="B56" s="99"/>
      <c r="C56" s="99"/>
      <c r="D56" s="106"/>
      <c r="E56" s="99"/>
      <c r="G56" s="117"/>
      <c r="H56" s="100"/>
      <c r="I56" s="100"/>
      <c r="J56" s="118"/>
      <c r="K56" s="100"/>
      <c r="M56" s="102" t="s">
        <v>0</v>
      </c>
      <c r="N56" s="103" t="s">
        <v>173</v>
      </c>
      <c r="O56" s="103" t="s">
        <v>174</v>
      </c>
      <c r="P56" s="103" t="s">
        <v>175</v>
      </c>
    </row>
    <row r="57" spans="1:17" ht="45" x14ac:dyDescent="0.25">
      <c r="A57" s="104">
        <v>42113</v>
      </c>
      <c r="B57" s="99"/>
      <c r="C57" s="99"/>
      <c r="D57" s="106"/>
      <c r="E57" s="99"/>
      <c r="G57" s="117"/>
      <c r="H57" s="100"/>
      <c r="I57" s="100"/>
      <c r="J57" s="118"/>
      <c r="K57" s="100"/>
      <c r="M57" s="115">
        <v>42158</v>
      </c>
      <c r="N57" s="105" t="s">
        <v>279</v>
      </c>
      <c r="O57" s="127" t="s">
        <v>234</v>
      </c>
      <c r="P57" s="121">
        <v>350</v>
      </c>
      <c r="Q57" s="128"/>
    </row>
    <row r="58" spans="1:17" ht="30" x14ac:dyDescent="0.25">
      <c r="H58" s="303" t="s">
        <v>178</v>
      </c>
      <c r="I58" s="303"/>
      <c r="J58" s="303"/>
      <c r="M58" s="115">
        <v>42175</v>
      </c>
      <c r="N58" s="105" t="s">
        <v>289</v>
      </c>
      <c r="O58" s="127" t="s">
        <v>234</v>
      </c>
      <c r="P58" s="121">
        <v>750</v>
      </c>
      <c r="Q58" s="128"/>
    </row>
    <row r="59" spans="1:17" ht="75" x14ac:dyDescent="0.25">
      <c r="H59" s="101"/>
      <c r="I59" s="101"/>
      <c r="J59" s="101"/>
      <c r="M59" s="115">
        <v>42184</v>
      </c>
      <c r="N59" s="105" t="s">
        <v>324</v>
      </c>
      <c r="O59" s="127" t="s">
        <v>323</v>
      </c>
      <c r="P59" s="121">
        <v>260</v>
      </c>
      <c r="Q59" s="128"/>
    </row>
    <row r="60" spans="1:17" x14ac:dyDescent="0.25">
      <c r="G60" s="102" t="s">
        <v>0</v>
      </c>
      <c r="H60" s="103" t="s">
        <v>173</v>
      </c>
      <c r="I60" s="103" t="s">
        <v>174</v>
      </c>
      <c r="J60" s="103" t="s">
        <v>175</v>
      </c>
      <c r="M60" s="126"/>
      <c r="N60" s="100"/>
      <c r="O60" s="100"/>
      <c r="P60" s="106">
        <f>SUM(P57:P59)</f>
        <v>1360</v>
      </c>
      <c r="Q60" s="100"/>
    </row>
    <row r="61" spans="1:17" x14ac:dyDescent="0.25">
      <c r="G61" s="104">
        <v>42149</v>
      </c>
      <c r="H61" s="99"/>
      <c r="I61" s="99"/>
      <c r="J61" s="106"/>
      <c r="K61" s="99"/>
      <c r="M61" s="126"/>
      <c r="N61" s="100"/>
      <c r="O61" s="100"/>
      <c r="P61" s="118"/>
      <c r="Q61" s="100"/>
    </row>
    <row r="62" spans="1:17" x14ac:dyDescent="0.25">
      <c r="G62" s="104">
        <v>42150</v>
      </c>
      <c r="H62" s="99"/>
      <c r="I62" s="99"/>
      <c r="J62" s="106"/>
      <c r="K62" s="99"/>
      <c r="M62" s="100"/>
      <c r="N62" s="129"/>
      <c r="O62" s="129"/>
      <c r="P62" s="129"/>
    </row>
    <row r="63" spans="1:17" x14ac:dyDescent="0.25">
      <c r="G63" s="104">
        <v>42151</v>
      </c>
      <c r="H63" s="99"/>
      <c r="I63" s="99"/>
      <c r="J63" s="106"/>
      <c r="K63" s="99"/>
      <c r="M63" s="100"/>
      <c r="N63" s="130"/>
      <c r="O63" s="130"/>
      <c r="P63" s="130"/>
    </row>
    <row r="64" spans="1:17" x14ac:dyDescent="0.25">
      <c r="G64" s="104">
        <v>42152</v>
      </c>
      <c r="H64" s="99"/>
      <c r="I64" s="105"/>
      <c r="J64" s="106"/>
      <c r="K64" s="99"/>
      <c r="M64" s="131"/>
      <c r="N64" s="129"/>
      <c r="O64" s="129"/>
      <c r="P64" s="129"/>
    </row>
    <row r="65" spans="7:17" x14ac:dyDescent="0.25">
      <c r="G65" s="104">
        <v>42153</v>
      </c>
      <c r="H65" s="99"/>
      <c r="I65" s="99"/>
      <c r="J65" s="106"/>
      <c r="K65" s="99"/>
      <c r="M65" s="99"/>
      <c r="N65" s="125" t="s">
        <v>195</v>
      </c>
      <c r="O65" s="125"/>
      <c r="P65" s="125"/>
    </row>
    <row r="66" spans="7:17" x14ac:dyDescent="0.25">
      <c r="G66" s="104">
        <v>42154</v>
      </c>
      <c r="H66" s="99" t="s">
        <v>253</v>
      </c>
      <c r="I66" s="99" t="s">
        <v>252</v>
      </c>
      <c r="J66" s="106">
        <v>340</v>
      </c>
      <c r="K66" s="99"/>
      <c r="N66" s="101"/>
      <c r="O66" s="101"/>
      <c r="P66" s="101"/>
    </row>
    <row r="67" spans="7:17" x14ac:dyDescent="0.25">
      <c r="G67" s="104">
        <v>42155</v>
      </c>
      <c r="H67" s="99"/>
      <c r="I67" s="99"/>
      <c r="J67" s="106"/>
      <c r="K67" s="99"/>
      <c r="M67" s="102" t="s">
        <v>0</v>
      </c>
      <c r="N67" s="103" t="s">
        <v>173</v>
      </c>
      <c r="O67" s="103" t="s">
        <v>174</v>
      </c>
      <c r="P67" s="103" t="s">
        <v>175</v>
      </c>
    </row>
    <row r="68" spans="7:17" x14ac:dyDescent="0.25">
      <c r="G68" s="104"/>
      <c r="H68" s="99"/>
      <c r="I68" s="99"/>
      <c r="J68" s="106"/>
      <c r="K68" s="99"/>
      <c r="M68" s="115">
        <v>42231</v>
      </c>
      <c r="N68" s="99" t="s">
        <v>451</v>
      </c>
      <c r="O68" s="199" t="s">
        <v>452</v>
      </c>
      <c r="P68" s="106">
        <v>560</v>
      </c>
      <c r="Q68" s="128"/>
    </row>
    <row r="69" spans="7:17" x14ac:dyDescent="0.25">
      <c r="G69" s="104"/>
      <c r="H69" s="99"/>
      <c r="I69" s="99"/>
      <c r="J69" s="106"/>
      <c r="K69" s="99"/>
      <c r="M69" s="115">
        <v>42235</v>
      </c>
      <c r="N69" s="99" t="s">
        <v>458</v>
      </c>
      <c r="O69" s="199" t="s">
        <v>459</v>
      </c>
      <c r="P69" s="106">
        <v>1640</v>
      </c>
      <c r="Q69" s="128"/>
    </row>
    <row r="70" spans="7:17" x14ac:dyDescent="0.25">
      <c r="G70" s="104"/>
      <c r="H70" s="99"/>
      <c r="I70" s="99"/>
      <c r="J70" s="106"/>
      <c r="K70" s="99"/>
      <c r="M70" s="126"/>
      <c r="N70" s="100"/>
      <c r="O70" s="119"/>
      <c r="P70" s="106">
        <f>SUM(P68:P69)</f>
        <v>2200</v>
      </c>
      <c r="Q70" s="100"/>
    </row>
    <row r="71" spans="7:17" x14ac:dyDescent="0.25">
      <c r="M71" s="126"/>
      <c r="N71" s="100"/>
      <c r="O71" s="100"/>
      <c r="P71" s="118"/>
      <c r="Q71" s="100"/>
    </row>
    <row r="72" spans="7:17" x14ac:dyDescent="0.25">
      <c r="M72" s="126"/>
      <c r="N72" s="100"/>
      <c r="O72" s="100"/>
      <c r="P72" s="118"/>
      <c r="Q72" s="100"/>
    </row>
    <row r="73" spans="7:17" x14ac:dyDescent="0.25">
      <c r="H73" s="303" t="s">
        <v>178</v>
      </c>
      <c r="I73" s="303"/>
      <c r="J73" s="303"/>
      <c r="M73" s="126"/>
      <c r="N73" s="100"/>
      <c r="O73" s="100"/>
      <c r="P73" s="118"/>
      <c r="Q73" s="100"/>
    </row>
    <row r="74" spans="7:17" x14ac:dyDescent="0.25">
      <c r="H74" s="101"/>
      <c r="I74" s="101"/>
      <c r="J74" s="101"/>
      <c r="M74" s="126"/>
      <c r="N74" s="100"/>
      <c r="O74" s="130"/>
      <c r="P74" s="118"/>
      <c r="Q74" s="100"/>
    </row>
    <row r="75" spans="7:17" x14ac:dyDescent="0.25">
      <c r="G75" s="102" t="s">
        <v>0</v>
      </c>
      <c r="H75" s="103" t="s">
        <v>173</v>
      </c>
      <c r="I75" s="103" t="s">
        <v>174</v>
      </c>
      <c r="J75" s="103" t="s">
        <v>175</v>
      </c>
      <c r="M75" s="99"/>
      <c r="N75" s="198" t="s">
        <v>195</v>
      </c>
      <c r="O75" s="198"/>
      <c r="P75" s="198"/>
      <c r="Q75" s="100"/>
    </row>
    <row r="76" spans="7:17" ht="255" x14ac:dyDescent="0.25">
      <c r="G76" s="115">
        <v>42252</v>
      </c>
      <c r="H76" s="201" t="s">
        <v>545</v>
      </c>
      <c r="I76" s="105" t="s">
        <v>546</v>
      </c>
      <c r="J76" s="121">
        <f>1869.98+1760</f>
        <v>3629.98</v>
      </c>
      <c r="K76" s="99"/>
      <c r="N76" s="101"/>
      <c r="O76" s="101"/>
      <c r="P76" s="101"/>
      <c r="Q76" s="100"/>
    </row>
    <row r="77" spans="7:17" ht="72" x14ac:dyDescent="0.25">
      <c r="G77" s="216">
        <v>42258</v>
      </c>
      <c r="H77" s="217" t="s">
        <v>607</v>
      </c>
      <c r="I77" s="105" t="s">
        <v>606</v>
      </c>
      <c r="J77" s="121">
        <v>910</v>
      </c>
      <c r="K77" s="99"/>
      <c r="M77" s="102" t="s">
        <v>0</v>
      </c>
      <c r="N77" s="103" t="s">
        <v>173</v>
      </c>
      <c r="O77" s="103" t="s">
        <v>174</v>
      </c>
      <c r="P77" s="103" t="s">
        <v>175</v>
      </c>
      <c r="Q77" s="100"/>
    </row>
    <row r="78" spans="7:17" ht="56.25" x14ac:dyDescent="0.25">
      <c r="G78" s="104"/>
      <c r="H78" s="99"/>
      <c r="I78" s="99"/>
      <c r="J78" s="106"/>
      <c r="K78" s="99"/>
      <c r="M78" s="115">
        <v>42251</v>
      </c>
      <c r="N78" s="108" t="s">
        <v>525</v>
      </c>
      <c r="O78" s="105" t="s">
        <v>526</v>
      </c>
      <c r="P78" s="106">
        <f>760</f>
        <v>760</v>
      </c>
      <c r="Q78" s="99"/>
    </row>
    <row r="79" spans="7:17" x14ac:dyDescent="0.25">
      <c r="G79" s="104"/>
      <c r="H79" s="99"/>
      <c r="I79" s="105"/>
      <c r="J79" s="106"/>
      <c r="K79" s="99"/>
      <c r="M79" s="115"/>
      <c r="N79" s="99"/>
      <c r="O79" s="99"/>
      <c r="P79" s="106"/>
      <c r="Q79" s="99"/>
    </row>
    <row r="80" spans="7:17" x14ac:dyDescent="0.25">
      <c r="G80" s="117"/>
      <c r="H80" s="100"/>
      <c r="I80" s="100"/>
      <c r="J80" s="118"/>
      <c r="K80" s="100"/>
      <c r="M80" s="115"/>
      <c r="N80" s="99"/>
      <c r="O80" s="99"/>
      <c r="P80" s="106"/>
      <c r="Q80" s="99"/>
    </row>
    <row r="81" spans="7:18" x14ac:dyDescent="0.25">
      <c r="G81" s="117"/>
      <c r="H81" s="100"/>
      <c r="I81" s="100"/>
      <c r="J81" s="118"/>
      <c r="K81" s="100"/>
      <c r="M81" s="115"/>
      <c r="N81" s="99"/>
      <c r="O81" s="99"/>
      <c r="P81" s="106"/>
      <c r="Q81" s="99"/>
    </row>
    <row r="82" spans="7:18" x14ac:dyDescent="0.25">
      <c r="H82" s="300" t="s">
        <v>178</v>
      </c>
      <c r="I82" s="301"/>
      <c r="J82" s="302"/>
      <c r="M82" s="115"/>
      <c r="N82" s="99"/>
      <c r="O82" s="99"/>
      <c r="P82" s="106"/>
      <c r="Q82" s="99"/>
      <c r="R82" s="100"/>
    </row>
    <row r="83" spans="7:18" x14ac:dyDescent="0.25">
      <c r="H83" s="101"/>
      <c r="I83" s="101"/>
      <c r="J83" s="101"/>
      <c r="M83" s="115"/>
      <c r="N83" s="99"/>
      <c r="O83" s="99"/>
      <c r="P83" s="106"/>
      <c r="Q83" s="99"/>
      <c r="R83" s="100"/>
    </row>
    <row r="84" spans="7:18" x14ac:dyDescent="0.25">
      <c r="G84" s="102" t="s">
        <v>0</v>
      </c>
      <c r="H84" s="103" t="s">
        <v>173</v>
      </c>
      <c r="I84" s="103" t="s">
        <v>174</v>
      </c>
      <c r="J84" s="103" t="s">
        <v>175</v>
      </c>
      <c r="M84" s="115"/>
      <c r="N84" s="99"/>
      <c r="O84" s="99"/>
      <c r="P84" s="106"/>
      <c r="Q84" s="99"/>
      <c r="R84" s="100"/>
    </row>
    <row r="85" spans="7:18" ht="38.25" x14ac:dyDescent="0.25">
      <c r="G85" s="115">
        <v>42298</v>
      </c>
      <c r="H85" s="201" t="s">
        <v>765</v>
      </c>
      <c r="I85" s="105" t="s">
        <v>766</v>
      </c>
      <c r="J85" s="121">
        <v>1531.2</v>
      </c>
      <c r="K85" s="99"/>
      <c r="M85" s="115"/>
      <c r="N85" s="99"/>
      <c r="O85" s="99"/>
      <c r="P85" s="106"/>
      <c r="Q85" s="99"/>
      <c r="R85" s="100"/>
    </row>
    <row r="86" spans="7:18" x14ac:dyDescent="0.25">
      <c r="G86" s="216"/>
      <c r="H86" s="217"/>
      <c r="I86" s="105"/>
      <c r="J86" s="121"/>
      <c r="K86" s="99"/>
      <c r="M86" s="115"/>
      <c r="N86" s="99"/>
      <c r="O86" s="99"/>
      <c r="P86" s="106"/>
      <c r="Q86" s="99"/>
      <c r="R86" s="100"/>
    </row>
    <row r="87" spans="7:18" ht="60" x14ac:dyDescent="0.25">
      <c r="G87" s="216">
        <v>42319</v>
      </c>
      <c r="H87" s="105" t="s">
        <v>845</v>
      </c>
      <c r="I87" s="105" t="s">
        <v>846</v>
      </c>
      <c r="J87" s="121">
        <v>696</v>
      </c>
      <c r="K87" s="99"/>
      <c r="M87" s="115"/>
      <c r="N87" s="105"/>
      <c r="O87" s="105"/>
      <c r="P87" s="121"/>
      <c r="Q87" s="99"/>
    </row>
    <row r="88" spans="7:18" x14ac:dyDescent="0.25">
      <c r="G88" s="104"/>
      <c r="H88" s="99"/>
      <c r="I88" s="105"/>
      <c r="J88" s="106"/>
      <c r="K88" s="99"/>
      <c r="M88" s="115"/>
      <c r="N88" s="99"/>
      <c r="O88" s="99"/>
      <c r="P88" s="106"/>
      <c r="Q88" s="99"/>
    </row>
    <row r="89" spans="7:18" x14ac:dyDescent="0.25">
      <c r="G89" s="104"/>
      <c r="H89" s="99"/>
      <c r="I89" s="99"/>
      <c r="J89" s="106"/>
      <c r="K89" s="99"/>
      <c r="M89" s="115"/>
      <c r="N89" s="99"/>
      <c r="O89" s="99"/>
      <c r="P89" s="106"/>
      <c r="Q89" s="99"/>
    </row>
    <row r="90" spans="7:18" x14ac:dyDescent="0.25">
      <c r="G90" s="104"/>
      <c r="H90" s="99"/>
      <c r="I90" s="99"/>
      <c r="J90" s="106"/>
      <c r="K90" s="99"/>
      <c r="M90" s="115"/>
      <c r="N90" s="99"/>
      <c r="O90" s="99"/>
      <c r="P90" s="106"/>
      <c r="Q90" s="99"/>
    </row>
    <row r="91" spans="7:18" x14ac:dyDescent="0.25">
      <c r="G91" s="104"/>
      <c r="H91" s="99"/>
      <c r="I91" s="99"/>
      <c r="J91" s="106"/>
      <c r="K91" s="99"/>
      <c r="M91" s="115"/>
      <c r="N91" s="99"/>
      <c r="O91" s="99"/>
      <c r="P91" s="106"/>
      <c r="Q91" s="99"/>
    </row>
    <row r="92" spans="7:18" x14ac:dyDescent="0.25">
      <c r="G92" s="104"/>
      <c r="H92" s="99"/>
      <c r="I92" s="99"/>
      <c r="J92" s="106"/>
      <c r="K92" s="99"/>
      <c r="M92" s="115"/>
      <c r="N92" s="99"/>
      <c r="O92" s="105"/>
      <c r="P92" s="106"/>
      <c r="Q92" s="99"/>
    </row>
    <row r="93" spans="7:18" x14ac:dyDescent="0.25">
      <c r="G93" s="104"/>
      <c r="H93" s="99"/>
      <c r="I93" s="99"/>
      <c r="J93" s="106"/>
      <c r="K93" s="99"/>
      <c r="M93" s="115"/>
      <c r="N93" s="99"/>
      <c r="O93" s="99"/>
      <c r="P93" s="106"/>
      <c r="Q93" s="99"/>
    </row>
    <row r="94" spans="7:18" x14ac:dyDescent="0.25">
      <c r="G94" s="104"/>
      <c r="H94" s="99"/>
      <c r="I94" s="99"/>
      <c r="J94" s="106"/>
      <c r="K94" s="99"/>
      <c r="M94" s="115"/>
      <c r="N94" s="99"/>
      <c r="O94" s="99"/>
      <c r="P94" s="106"/>
      <c r="Q94" s="99"/>
    </row>
    <row r="95" spans="7:18" x14ac:dyDescent="0.25">
      <c r="G95" s="117"/>
      <c r="H95" s="100"/>
      <c r="I95" s="100"/>
      <c r="J95" s="118"/>
      <c r="K95" s="100"/>
      <c r="M95" s="115"/>
      <c r="N95" s="99"/>
      <c r="O95" s="99"/>
      <c r="P95" s="106"/>
      <c r="Q95" s="99"/>
    </row>
    <row r="96" spans="7:18" x14ac:dyDescent="0.25">
      <c r="G96" s="117"/>
      <c r="H96" s="100"/>
      <c r="I96" s="100"/>
      <c r="J96" s="118"/>
      <c r="K96" s="100"/>
      <c r="M96" s="115"/>
      <c r="N96" s="99"/>
      <c r="O96" s="99"/>
      <c r="P96" s="106"/>
      <c r="Q96" s="99"/>
    </row>
    <row r="97" spans="7:18" x14ac:dyDescent="0.25">
      <c r="G97" s="117"/>
      <c r="H97" s="100"/>
      <c r="I97" s="100"/>
      <c r="J97" s="118"/>
      <c r="K97" s="100"/>
      <c r="M97" s="115"/>
      <c r="N97" s="99"/>
      <c r="O97" s="99"/>
      <c r="P97" s="106"/>
      <c r="Q97" s="99"/>
    </row>
    <row r="98" spans="7:18" x14ac:dyDescent="0.25">
      <c r="G98" s="117"/>
      <c r="H98" s="100"/>
      <c r="I98" s="100"/>
      <c r="J98" s="118"/>
      <c r="K98" s="100"/>
      <c r="M98" s="115"/>
      <c r="N98" s="108"/>
      <c r="O98" s="107"/>
      <c r="P98" s="106"/>
      <c r="Q98" s="99"/>
    </row>
    <row r="99" spans="7:18" x14ac:dyDescent="0.25">
      <c r="G99" s="117"/>
      <c r="H99" s="100"/>
      <c r="I99" s="100"/>
      <c r="J99" s="118"/>
      <c r="K99" s="100"/>
      <c r="M99" s="99"/>
      <c r="N99" s="99"/>
      <c r="O99" s="99"/>
      <c r="P99" s="99"/>
      <c r="Q99" s="99"/>
      <c r="R99" s="100"/>
    </row>
    <row r="100" spans="7:18" x14ac:dyDescent="0.25">
      <c r="G100" s="117"/>
      <c r="H100" s="100"/>
      <c r="I100" s="100"/>
      <c r="J100" s="118"/>
      <c r="K100" s="100"/>
      <c r="R100" s="100"/>
    </row>
    <row r="101" spans="7:18" x14ac:dyDescent="0.25">
      <c r="G101" s="100"/>
      <c r="H101" s="100"/>
      <c r="I101" s="100"/>
      <c r="J101" s="100"/>
      <c r="K101" s="100"/>
      <c r="R101" s="100"/>
    </row>
    <row r="102" spans="7:18" x14ac:dyDescent="0.25">
      <c r="M102" s="100"/>
      <c r="N102" s="100"/>
      <c r="O102" s="100"/>
      <c r="P102" s="100"/>
      <c r="Q102" s="100"/>
      <c r="R102" s="100"/>
    </row>
    <row r="103" spans="7:18" x14ac:dyDescent="0.25">
      <c r="M103" s="100"/>
      <c r="N103" s="100"/>
      <c r="O103" s="100"/>
      <c r="P103" s="100"/>
      <c r="Q103" s="100"/>
      <c r="R103" s="100"/>
    </row>
    <row r="104" spans="7:18" x14ac:dyDescent="0.25">
      <c r="M104" s="100"/>
      <c r="N104" s="100"/>
      <c r="O104" s="100"/>
      <c r="P104" s="100"/>
      <c r="Q104" s="100"/>
      <c r="R104" s="100"/>
    </row>
    <row r="105" spans="7:18" x14ac:dyDescent="0.25">
      <c r="M105" s="100"/>
      <c r="N105" s="100"/>
      <c r="O105" s="100"/>
      <c r="P105" s="100"/>
      <c r="Q105" s="100"/>
      <c r="R105" s="100"/>
    </row>
    <row r="106" spans="7:18" x14ac:dyDescent="0.25">
      <c r="M106" s="100"/>
      <c r="N106" s="100"/>
      <c r="O106" s="100"/>
      <c r="P106" s="100"/>
      <c r="Q106" s="100"/>
      <c r="R106" s="100"/>
    </row>
    <row r="107" spans="7:18" x14ac:dyDescent="0.25">
      <c r="M107" s="100"/>
      <c r="N107" s="100"/>
      <c r="O107" s="100"/>
      <c r="P107" s="100"/>
      <c r="Q107" s="100"/>
      <c r="R107" s="100"/>
    </row>
    <row r="108" spans="7:18" x14ac:dyDescent="0.25">
      <c r="M108" s="100"/>
      <c r="N108" s="100"/>
      <c r="O108" s="100"/>
      <c r="P108" s="100"/>
      <c r="Q108" s="100"/>
      <c r="R108" s="100"/>
    </row>
    <row r="109" spans="7:18" x14ac:dyDescent="0.25">
      <c r="M109" s="100"/>
      <c r="N109" s="100"/>
      <c r="O109" s="100"/>
      <c r="P109" s="100"/>
      <c r="Q109" s="100"/>
      <c r="R109" s="100"/>
    </row>
    <row r="110" spans="7:18" x14ac:dyDescent="0.25">
      <c r="M110" s="100"/>
      <c r="N110" s="100"/>
      <c r="O110" s="100"/>
      <c r="P110" s="100"/>
      <c r="Q110" s="100"/>
      <c r="R110" s="100"/>
    </row>
  </sheetData>
  <mergeCells count="11">
    <mergeCell ref="B2:D2"/>
    <mergeCell ref="H2:J2"/>
    <mergeCell ref="B38:D38"/>
    <mergeCell ref="H38:J38"/>
    <mergeCell ref="N2:P2"/>
    <mergeCell ref="N38:P38"/>
    <mergeCell ref="H82:J82"/>
    <mergeCell ref="H73:J73"/>
    <mergeCell ref="H58:J58"/>
    <mergeCell ref="N54:P54"/>
    <mergeCell ref="N45:P45"/>
  </mergeCell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2"/>
  <sheetViews>
    <sheetView topLeftCell="A17" workbookViewId="0">
      <selection activeCell="E28" sqref="E28"/>
    </sheetView>
  </sheetViews>
  <sheetFormatPr baseColWidth="10" defaultRowHeight="15" x14ac:dyDescent="0.25"/>
  <sheetData>
    <row r="3" spans="2:5" x14ac:dyDescent="0.25">
      <c r="B3" s="282" t="s">
        <v>2</v>
      </c>
      <c r="C3" s="283"/>
      <c r="D3" s="284"/>
    </row>
    <row r="4" spans="2:5" x14ac:dyDescent="0.25">
      <c r="B4" s="190">
        <v>42185</v>
      </c>
      <c r="C4" s="116" t="s">
        <v>505</v>
      </c>
      <c r="D4" s="154">
        <v>6500</v>
      </c>
      <c r="E4" t="s">
        <v>506</v>
      </c>
    </row>
    <row r="5" spans="2:5" x14ac:dyDescent="0.25">
      <c r="B5" s="190">
        <v>42193</v>
      </c>
      <c r="C5" s="116" t="s">
        <v>505</v>
      </c>
      <c r="D5" s="154">
        <v>6000</v>
      </c>
      <c r="E5" t="s">
        <v>506</v>
      </c>
    </row>
    <row r="6" spans="2:5" x14ac:dyDescent="0.25">
      <c r="B6" s="190">
        <v>42202</v>
      </c>
      <c r="C6" s="116" t="s">
        <v>505</v>
      </c>
      <c r="D6" s="154">
        <v>3000</v>
      </c>
      <c r="E6" t="s">
        <v>507</v>
      </c>
    </row>
    <row r="7" spans="2:5" x14ac:dyDescent="0.25">
      <c r="B7" s="190">
        <v>42206</v>
      </c>
      <c r="C7" s="116" t="s">
        <v>505</v>
      </c>
      <c r="D7" s="154">
        <v>6000</v>
      </c>
      <c r="E7" t="s">
        <v>506</v>
      </c>
    </row>
    <row r="8" spans="2:5" x14ac:dyDescent="0.25">
      <c r="B8" s="190">
        <v>42214</v>
      </c>
      <c r="C8" s="116" t="s">
        <v>505</v>
      </c>
      <c r="D8" s="154">
        <v>6000</v>
      </c>
      <c r="E8" t="s">
        <v>506</v>
      </c>
    </row>
    <row r="9" spans="2:5" x14ac:dyDescent="0.25">
      <c r="B9" s="190">
        <v>42215</v>
      </c>
      <c r="C9" s="116" t="s">
        <v>505</v>
      </c>
      <c r="D9" s="154">
        <v>1164</v>
      </c>
      <c r="E9" t="s">
        <v>508</v>
      </c>
    </row>
    <row r="10" spans="2:5" x14ac:dyDescent="0.25">
      <c r="B10" s="190">
        <v>42220</v>
      </c>
      <c r="C10" s="116" t="s">
        <v>505</v>
      </c>
      <c r="D10" s="154">
        <v>2800</v>
      </c>
      <c r="E10" t="s">
        <v>508</v>
      </c>
    </row>
    <row r="11" spans="2:5" x14ac:dyDescent="0.25">
      <c r="B11" s="190">
        <v>42220</v>
      </c>
      <c r="C11" s="116" t="s">
        <v>6</v>
      </c>
      <c r="D11" s="154">
        <v>3000</v>
      </c>
      <c r="E11" t="s">
        <v>509</v>
      </c>
    </row>
    <row r="12" spans="2:5" x14ac:dyDescent="0.25">
      <c r="B12" s="190">
        <v>42231</v>
      </c>
      <c r="C12" s="116" t="s">
        <v>505</v>
      </c>
      <c r="D12" s="154">
        <v>3000</v>
      </c>
      <c r="E12" t="s">
        <v>508</v>
      </c>
    </row>
    <row r="13" spans="2:5" x14ac:dyDescent="0.25">
      <c r="B13" s="190">
        <v>42243</v>
      </c>
      <c r="C13" s="116" t="s">
        <v>505</v>
      </c>
      <c r="D13" s="154">
        <v>3500</v>
      </c>
      <c r="E13" t="s">
        <v>508</v>
      </c>
    </row>
    <row r="14" spans="2:5" x14ac:dyDescent="0.25">
      <c r="B14" s="190">
        <v>42247</v>
      </c>
      <c r="C14" s="116" t="s">
        <v>505</v>
      </c>
      <c r="D14" s="154">
        <v>3000</v>
      </c>
      <c r="E14" t="s">
        <v>508</v>
      </c>
    </row>
    <row r="15" spans="2:5" x14ac:dyDescent="0.25">
      <c r="B15" s="190">
        <v>42219</v>
      </c>
      <c r="C15" s="116" t="s">
        <v>345</v>
      </c>
      <c r="D15" s="154">
        <v>2500</v>
      </c>
      <c r="E15" t="s">
        <v>509</v>
      </c>
    </row>
    <row r="16" spans="2:5" x14ac:dyDescent="0.25">
      <c r="B16" s="190">
        <v>42231</v>
      </c>
      <c r="C16" s="116" t="s">
        <v>345</v>
      </c>
      <c r="D16" s="154">
        <v>2700</v>
      </c>
      <c r="E16" t="s">
        <v>509</v>
      </c>
    </row>
    <row r="17" spans="2:5" x14ac:dyDescent="0.25">
      <c r="B17" s="190">
        <v>42237</v>
      </c>
      <c r="C17" s="116" t="s">
        <v>345</v>
      </c>
      <c r="D17" s="154">
        <v>2400</v>
      </c>
      <c r="E17" t="s">
        <v>509</v>
      </c>
    </row>
    <row r="18" spans="2:5" x14ac:dyDescent="0.25">
      <c r="B18" s="190">
        <v>42238</v>
      </c>
      <c r="C18" s="116" t="s">
        <v>345</v>
      </c>
      <c r="D18" s="154">
        <v>1000</v>
      </c>
      <c r="E18" t="s">
        <v>508</v>
      </c>
    </row>
    <row r="19" spans="2:5" x14ac:dyDescent="0.25">
      <c r="B19" s="190">
        <v>42243</v>
      </c>
      <c r="C19" s="116" t="s">
        <v>345</v>
      </c>
      <c r="D19" s="154">
        <v>2500</v>
      </c>
      <c r="E19" t="s">
        <v>509</v>
      </c>
    </row>
    <row r="20" spans="2:5" x14ac:dyDescent="0.25">
      <c r="B20" s="116"/>
      <c r="C20" s="116"/>
      <c r="D20" s="154"/>
    </row>
    <row r="21" spans="2:5" ht="15.75" x14ac:dyDescent="0.25">
      <c r="D21" s="191">
        <f>SUM(D4:D20)</f>
        <v>55064</v>
      </c>
    </row>
    <row r="24" spans="2:5" x14ac:dyDescent="0.25">
      <c r="B24" s="282" t="s">
        <v>2</v>
      </c>
      <c r="C24" s="283"/>
      <c r="D24" s="284"/>
    </row>
    <row r="25" spans="2:5" x14ac:dyDescent="0.25">
      <c r="B25" s="190">
        <v>42249</v>
      </c>
      <c r="C25" s="116" t="s">
        <v>505</v>
      </c>
      <c r="D25" s="154">
        <v>2500</v>
      </c>
      <c r="E25" t="s">
        <v>509</v>
      </c>
    </row>
    <row r="26" spans="2:5" x14ac:dyDescent="0.25">
      <c r="B26" s="220">
        <v>42254</v>
      </c>
      <c r="C26" s="219" t="s">
        <v>505</v>
      </c>
      <c r="D26" s="154">
        <v>2000</v>
      </c>
      <c r="E26" t="s">
        <v>508</v>
      </c>
    </row>
    <row r="27" spans="2:5" x14ac:dyDescent="0.25">
      <c r="B27" s="190">
        <v>42262</v>
      </c>
      <c r="C27" s="219" t="s">
        <v>505</v>
      </c>
      <c r="D27" s="154">
        <v>3000</v>
      </c>
      <c r="E27" t="s">
        <v>508</v>
      </c>
    </row>
    <row r="28" spans="2:5" x14ac:dyDescent="0.25">
      <c r="B28" s="190"/>
      <c r="C28" s="116"/>
      <c r="D28" s="154"/>
    </row>
    <row r="29" spans="2:5" x14ac:dyDescent="0.25">
      <c r="B29" s="190"/>
      <c r="C29" s="116"/>
      <c r="D29" s="154"/>
    </row>
    <row r="30" spans="2:5" x14ac:dyDescent="0.25">
      <c r="B30" s="190"/>
      <c r="C30" s="116"/>
      <c r="D30" s="154"/>
    </row>
    <row r="31" spans="2:5" x14ac:dyDescent="0.25">
      <c r="B31" s="190"/>
      <c r="C31" s="116"/>
      <c r="D31" s="154"/>
    </row>
    <row r="32" spans="2:5" x14ac:dyDescent="0.25">
      <c r="B32" s="190"/>
      <c r="C32" s="116"/>
      <c r="D32" s="154"/>
    </row>
    <row r="33" spans="2:4" x14ac:dyDescent="0.25">
      <c r="B33" s="190"/>
      <c r="C33" s="116"/>
      <c r="D33" s="154"/>
    </row>
    <row r="34" spans="2:4" x14ac:dyDescent="0.25">
      <c r="B34" s="190"/>
      <c r="C34" s="116"/>
      <c r="D34" s="154"/>
    </row>
    <row r="35" spans="2:4" x14ac:dyDescent="0.25">
      <c r="B35" s="190"/>
      <c r="C35" s="116"/>
      <c r="D35" s="154"/>
    </row>
    <row r="36" spans="2:4" x14ac:dyDescent="0.25">
      <c r="B36" s="190"/>
      <c r="C36" s="116"/>
      <c r="D36" s="154"/>
    </row>
    <row r="37" spans="2:4" x14ac:dyDescent="0.25">
      <c r="B37" s="190"/>
      <c r="C37" s="116"/>
      <c r="D37" s="154"/>
    </row>
    <row r="38" spans="2:4" x14ac:dyDescent="0.25">
      <c r="B38" s="190"/>
      <c r="C38" s="116"/>
      <c r="D38" s="154"/>
    </row>
    <row r="39" spans="2:4" x14ac:dyDescent="0.25">
      <c r="B39" s="190"/>
      <c r="C39" s="116"/>
      <c r="D39" s="154"/>
    </row>
    <row r="40" spans="2:4" x14ac:dyDescent="0.25">
      <c r="B40" s="190"/>
      <c r="C40" s="116"/>
      <c r="D40" s="154"/>
    </row>
    <row r="41" spans="2:4" x14ac:dyDescent="0.25">
      <c r="B41" s="116"/>
      <c r="C41" s="116"/>
      <c r="D41" s="154"/>
    </row>
    <row r="42" spans="2:4" ht="15.75" x14ac:dyDescent="0.25">
      <c r="D42" s="191">
        <f>SUM(D25:D41)</f>
        <v>7500</v>
      </c>
    </row>
  </sheetData>
  <mergeCells count="2">
    <mergeCell ref="B3:D3"/>
    <mergeCell ref="B24:D24"/>
  </mergeCells>
  <pageMargins left="0.70866141732283472" right="0.70866141732283472" top="0.74803149606299213" bottom="0.74803149606299213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CENTRAL 2014</vt:lpstr>
      <vt:lpstr>OBRADOR 2014</vt:lpstr>
      <vt:lpstr>CENTRAL 2015</vt:lpstr>
      <vt:lpstr>OBRADOR 2015</vt:lpstr>
      <vt:lpstr>Remodelacion Obrador-Central</vt:lpstr>
      <vt:lpstr>COMERCIO 2015</vt:lpstr>
      <vt:lpstr>11 SUR 2015</vt:lpstr>
      <vt:lpstr>PATIN Y MONTACARGA</vt:lpstr>
      <vt:lpstr>Gastos Elias y Pepe</vt:lpstr>
      <vt:lpstr>Hoja1</vt:lpstr>
      <vt:lpstr>Hoja2</vt:lpstr>
      <vt:lpstr>GASTOS VIAJES A TEHUACAN 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ROUSS</cp:lastModifiedBy>
  <cp:lastPrinted>2015-12-11T23:25:29Z</cp:lastPrinted>
  <dcterms:created xsi:type="dcterms:W3CDTF">2014-09-19T07:57:12Z</dcterms:created>
  <dcterms:modified xsi:type="dcterms:W3CDTF">2015-12-11T23:25:33Z</dcterms:modified>
</cp:coreProperties>
</file>