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5195" windowHeight="7935" tabRatio="602" activeTab="1"/>
  </bookViews>
  <sheets>
    <sheet name="Programa" sheetId="1" r:id="rId1"/>
    <sheet name="pagos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4" i="2"/>
  <c r="C23"/>
  <c r="C21"/>
  <c r="C17"/>
  <c r="C14"/>
  <c r="C13"/>
  <c r="C11"/>
  <c r="C7"/>
  <c r="C5"/>
  <c r="C4"/>
  <c r="C3"/>
  <c r="C1"/>
  <c r="U50" i="1"/>
  <c r="V50"/>
  <c r="H50"/>
  <c r="U49"/>
  <c r="V49"/>
  <c r="H49"/>
  <c r="U48"/>
  <c r="V48"/>
  <c r="H48"/>
  <c r="U47"/>
  <c r="V47"/>
  <c r="H47"/>
  <c r="F46"/>
  <c r="F43"/>
  <c r="F44"/>
  <c r="Q46"/>
  <c r="R46"/>
  <c r="U46"/>
  <c r="V46"/>
  <c r="H46"/>
  <c r="Q44"/>
  <c r="R44"/>
  <c r="U44"/>
  <c r="V44"/>
  <c r="H44"/>
  <c r="Q43"/>
  <c r="R43"/>
  <c r="U43"/>
  <c r="V43"/>
  <c r="H43"/>
  <c r="U42"/>
  <c r="V42"/>
  <c r="H42"/>
  <c r="H40"/>
  <c r="U39"/>
  <c r="V39"/>
  <c r="H39"/>
  <c r="U38"/>
  <c r="V38"/>
  <c r="H38"/>
  <c r="U37"/>
  <c r="V37"/>
  <c r="U36"/>
  <c r="V36"/>
  <c r="H36"/>
  <c r="U35"/>
  <c r="V35"/>
  <c r="H35"/>
  <c r="U34"/>
  <c r="V34"/>
  <c r="H34"/>
  <c r="U33"/>
  <c r="V33"/>
  <c r="H33"/>
  <c r="U31"/>
  <c r="V31"/>
  <c r="H31"/>
  <c r="U30"/>
  <c r="V30"/>
  <c r="H30"/>
  <c r="U29"/>
  <c r="V29"/>
  <c r="H29"/>
  <c r="U28"/>
  <c r="V28"/>
  <c r="H28"/>
  <c r="U27"/>
  <c r="V27"/>
  <c r="H27"/>
  <c r="U26"/>
  <c r="V26"/>
  <c r="H26"/>
  <c r="U25"/>
  <c r="V25"/>
  <c r="H25"/>
  <c r="U23"/>
  <c r="V23"/>
  <c r="H23"/>
  <c r="U22"/>
  <c r="V22"/>
  <c r="H22"/>
  <c r="U21"/>
  <c r="V21"/>
  <c r="H21"/>
  <c r="U20"/>
  <c r="V20"/>
  <c r="H20"/>
  <c r="U19"/>
  <c r="V19"/>
  <c r="H19"/>
  <c r="U18"/>
  <c r="V18"/>
  <c r="H18"/>
  <c r="U17"/>
  <c r="V17"/>
  <c r="H17"/>
  <c r="U16"/>
  <c r="V16"/>
  <c r="H16"/>
  <c r="U15"/>
  <c r="V15"/>
  <c r="H15"/>
  <c r="U14"/>
  <c r="V14"/>
  <c r="H14"/>
  <c r="H13"/>
  <c r="U12"/>
  <c r="V12"/>
  <c r="H12"/>
  <c r="U11"/>
  <c r="V11"/>
  <c r="H11"/>
  <c r="U10"/>
  <c r="F10"/>
  <c r="V10"/>
  <c r="H10"/>
  <c r="F9"/>
  <c r="U9"/>
  <c r="V9"/>
  <c r="H9"/>
  <c r="F8"/>
  <c r="U8"/>
  <c r="V8"/>
  <c r="H8"/>
  <c r="U7"/>
  <c r="V7"/>
  <c r="H7"/>
  <c r="U6"/>
  <c r="V6"/>
  <c r="H6"/>
  <c r="U5"/>
  <c r="F5"/>
  <c r="V5"/>
  <c r="H5"/>
</calcChain>
</file>

<file path=xl/sharedStrings.xml><?xml version="1.0" encoding="utf-8"?>
<sst xmlns="http://schemas.openxmlformats.org/spreadsheetml/2006/main" count="497" uniqueCount="255">
  <si>
    <t>PROGRAMA DE COMPRAS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</si>
  <si>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</si>
  <si>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</si>
  <si>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</si>
  <si>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</si>
  <si>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</si>
  <si>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</si>
  <si>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</si>
  <si>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</si>
  <si>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</si>
  <si>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</si>
  <si>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</si>
  <si>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</si>
  <si>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</si>
  <si>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</si>
  <si>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</si>
  <si>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</si>
  <si>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</si>
  <si>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</si>
  <si>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com</t>
  </si>
  <si>
    <t>costo real</t>
  </si>
  <si>
    <t>$ carga total</t>
  </si>
  <si>
    <t>para pago</t>
  </si>
  <si>
    <t>Pernil con piel</t>
  </si>
  <si>
    <t>Seaboard</t>
  </si>
  <si>
    <t>Yarto</t>
  </si>
  <si>
    <t>22 combos</t>
  </si>
  <si>
    <t>lu</t>
  </si>
  <si>
    <t>hoja+15 lu 26 abr</t>
  </si>
  <si>
    <t>Espaldila de cordero</t>
  </si>
  <si>
    <t>Tatiara</t>
  </si>
  <si>
    <t>Adams</t>
  </si>
  <si>
    <t>250 cajas</t>
  </si>
  <si>
    <t>fact 106589</t>
  </si>
  <si>
    <t>Canal de cerdo</t>
  </si>
  <si>
    <t>Atosa</t>
  </si>
  <si>
    <t>Altosa</t>
  </si>
  <si>
    <t>132 canales</t>
  </si>
  <si>
    <t>Premium/farmland</t>
  </si>
  <si>
    <t>Farmland</t>
  </si>
  <si>
    <t>24 combos</t>
  </si>
  <si>
    <t>nl10-138</t>
  </si>
  <si>
    <t>Betos</t>
  </si>
  <si>
    <t>mi</t>
  </si>
  <si>
    <t>hoja+12 ju 29 abr</t>
  </si>
  <si>
    <t>Smithfield</t>
  </si>
  <si>
    <t>20 combos</t>
  </si>
  <si>
    <t>snl10-5</t>
  </si>
  <si>
    <t>hoja+10 ju 29 abr</t>
  </si>
  <si>
    <t>Corbata</t>
  </si>
  <si>
    <t>Curlys</t>
  </si>
  <si>
    <t>Super Carnes</t>
  </si>
  <si>
    <t>720 cajas</t>
  </si>
  <si>
    <t xml:space="preserve">fact </t>
  </si>
  <si>
    <t>GF</t>
  </si>
  <si>
    <t>Granjero Feliz</t>
  </si>
  <si>
    <t>120 canales</t>
  </si>
  <si>
    <t>fact 53411</t>
  </si>
  <si>
    <t>ju</t>
  </si>
  <si>
    <t>vi</t>
  </si>
  <si>
    <t>hoja+15 vi 30 abr</t>
  </si>
  <si>
    <t>hoja+15 lu 3 may</t>
  </si>
  <si>
    <t>Cuero s/grasa Belly</t>
  </si>
  <si>
    <t>nltf10-05</t>
  </si>
  <si>
    <t>nl10-139</t>
  </si>
  <si>
    <t>hoja+12 ju 6 may</t>
  </si>
  <si>
    <t>snl10-6</t>
  </si>
  <si>
    <t>hoja+15 vi 7 may</t>
  </si>
  <si>
    <t>hoja+15 lu 10 may</t>
  </si>
  <si>
    <t>nl10-140</t>
  </si>
  <si>
    <t>hoja+12 ju 13 may</t>
  </si>
  <si>
    <t>snl10-7</t>
  </si>
  <si>
    <t>hoja+15 vi 14 may</t>
  </si>
  <si>
    <t>hoja+15 lu 17 may</t>
  </si>
  <si>
    <t>nl10-141</t>
  </si>
  <si>
    <t>hoja+12 ju 20 may</t>
  </si>
  <si>
    <t>snl10-8</t>
  </si>
  <si>
    <t>nltf10-06</t>
  </si>
  <si>
    <t>hoja+15 vi 21 may</t>
  </si>
  <si>
    <t>hoja+15 lu 24 may</t>
  </si>
  <si>
    <t>Sesos de copa</t>
  </si>
  <si>
    <t>1665 cajas</t>
  </si>
  <si>
    <t>nltf10-07</t>
  </si>
  <si>
    <t>Sesos de marqueta</t>
  </si>
  <si>
    <t>274 cajas</t>
  </si>
  <si>
    <t xml:space="preserve">  "  "</t>
  </si>
  <si>
    <t>330 cajas</t>
  </si>
  <si>
    <t>nl10-142</t>
  </si>
  <si>
    <t>hoja+12 ju 27 may</t>
  </si>
  <si>
    <t>snl10-9</t>
  </si>
  <si>
    <t>sa</t>
  </si>
  <si>
    <t>L</t>
  </si>
  <si>
    <t>Yarto 17/04/10</t>
  </si>
  <si>
    <t>fact 23502</t>
  </si>
  <si>
    <t>intercam $39,825.28</t>
  </si>
  <si>
    <t>Pago por Intercam</t>
  </si>
  <si>
    <t>Javier Castillo 4032011</t>
  </si>
  <si>
    <t>M</t>
  </si>
  <si>
    <t>Mi</t>
  </si>
  <si>
    <t>Premium 20/04/10  nl10-136</t>
  </si>
  <si>
    <t>fact 93567941</t>
  </si>
  <si>
    <t>intercam $37,301.40</t>
  </si>
  <si>
    <t>38  /  3100</t>
  </si>
  <si>
    <t>Smithfield 20/04/10  snl10-3</t>
  </si>
  <si>
    <t>fact 91175632</t>
  </si>
  <si>
    <t>intercam $36,111.60</t>
  </si>
  <si>
    <t>bancomer 397</t>
  </si>
  <si>
    <t>Yarto 21/4/10</t>
  </si>
  <si>
    <t>fact 23526</t>
  </si>
  <si>
    <t>intercam $46,474.00</t>
  </si>
  <si>
    <t>J</t>
  </si>
  <si>
    <t xml:space="preserve">V </t>
  </si>
  <si>
    <t>Yarto 23/04/10</t>
  </si>
  <si>
    <t>fact 23547</t>
  </si>
  <si>
    <t>intercam $46,676.35</t>
  </si>
  <si>
    <t>fact 23557</t>
  </si>
  <si>
    <t>intercam $42,142.95</t>
  </si>
  <si>
    <t>S</t>
  </si>
  <si>
    <t>D</t>
  </si>
  <si>
    <t>Yarto 26/04/10</t>
  </si>
  <si>
    <t>fact 23569</t>
  </si>
  <si>
    <t>intercam $46,705.80</t>
  </si>
  <si>
    <t>fact 52634</t>
  </si>
  <si>
    <t>30 canales</t>
  </si>
  <si>
    <t>38  /  3125</t>
  </si>
  <si>
    <t>Premium 27/04/10 nl10-137</t>
  </si>
  <si>
    <t>fact 93571860</t>
  </si>
  <si>
    <t>intercam $38,374.12</t>
  </si>
  <si>
    <t>38  / 3121</t>
  </si>
  <si>
    <t>Smithfield 28/04/10  snl10-4</t>
  </si>
  <si>
    <t>fact 91180942</t>
  </si>
  <si>
    <t>intercam $36,439.20</t>
  </si>
  <si>
    <t xml:space="preserve">HSBC  </t>
  </si>
  <si>
    <t xml:space="preserve"> </t>
  </si>
  <si>
    <t>Adams  23/4/10</t>
  </si>
  <si>
    <t>fact 106297</t>
  </si>
  <si>
    <t>espaldilla de cordero</t>
  </si>
  <si>
    <t>bancomer 403</t>
  </si>
  <si>
    <t>Yarto 30/04/10</t>
  </si>
  <si>
    <t>fact 23628</t>
  </si>
  <si>
    <t>intercam $42,396.60</t>
  </si>
  <si>
    <t>Mayo</t>
  </si>
  <si>
    <t>Yarto 3/05/10</t>
  </si>
  <si>
    <t>intercam $41661.30</t>
  </si>
  <si>
    <t>Premium 5/05/10 nl10-138</t>
  </si>
  <si>
    <t>fact 93576729</t>
  </si>
  <si>
    <t>intercam $39,859.76</t>
  </si>
  <si>
    <t>38   /</t>
  </si>
  <si>
    <t>Smithfield 5/05/10  snl10-05</t>
  </si>
  <si>
    <t>fact 91186109</t>
  </si>
  <si>
    <t>intercam $36,955.48</t>
  </si>
  <si>
    <t>bancomer 406</t>
  </si>
  <si>
    <t>Granjero Feliz  29/04/10</t>
  </si>
  <si>
    <t>fact 53176</t>
  </si>
  <si>
    <t>120 canales de cerdo</t>
  </si>
  <si>
    <t>bancomer 409</t>
  </si>
  <si>
    <t>Yarto 7/05/10</t>
  </si>
  <si>
    <t>Yarto 10/05/10</t>
  </si>
  <si>
    <t>Yarto 10/5/10  Corbata Seaboard</t>
  </si>
  <si>
    <t>Atosa 3/05/10</t>
  </si>
  <si>
    <t>132 canales de cerdo</t>
  </si>
  <si>
    <t>Adams 03/05/10</t>
  </si>
  <si>
    <t>Banamex suc393 cta6662160</t>
  </si>
  <si>
    <t>David 4134842</t>
  </si>
  <si>
    <t>Sukarne  21/04/10</t>
  </si>
  <si>
    <t>fact 4993</t>
  </si>
  <si>
    <t>contra Swift</t>
  </si>
  <si>
    <t>bbva 0163850846</t>
  </si>
  <si>
    <t>Santander 65502395451</t>
  </si>
  <si>
    <t>Alejandra Mercado  2887000</t>
  </si>
  <si>
    <t>Premium 12/05/10  nl10-139</t>
  </si>
  <si>
    <t>Smithfield 12/05/10 snl10-06</t>
  </si>
  <si>
    <t>Farmland 12/05/10 nltf10-05</t>
  </si>
  <si>
    <t>cuero belly</t>
  </si>
  <si>
    <t>Impeg 29/04/10</t>
  </si>
  <si>
    <t>lengua de cerdo</t>
  </si>
  <si>
    <t>santander 65501463296</t>
  </si>
  <si>
    <t>Toño Farias 213 9292</t>
  </si>
  <si>
    <t>Granjero Feliz 06/05/10</t>
  </si>
  <si>
    <t>canal de cerdo</t>
  </si>
  <si>
    <t>HSBC 04041196809</t>
  </si>
  <si>
    <t>Erendira 0442223869819</t>
  </si>
  <si>
    <t>Yarto  14/05/10</t>
  </si>
  <si>
    <t>Yarto 17/05/10</t>
  </si>
  <si>
    <t>Atosa 10/05/10</t>
  </si>
  <si>
    <t>Super Carnes Selectas 5/05/10</t>
  </si>
  <si>
    <t>fac 71442</t>
  </si>
  <si>
    <t>corbata Curlys</t>
  </si>
  <si>
    <t>HSBC 4022110159</t>
  </si>
  <si>
    <t>Premium 19/05/10  nl10-140</t>
  </si>
  <si>
    <t>Smithfield 19/05/10 snl10-07</t>
  </si>
  <si>
    <t>Granjero Feliz 13/05/10</t>
  </si>
  <si>
    <t>Yarto 21/05/10</t>
  </si>
  <si>
    <t>Yarto 24/05/10</t>
  </si>
  <si>
    <t>Premium 26/05/10  nl10-141</t>
  </si>
  <si>
    <t>Smithfield 26/05/10 snl10-08</t>
  </si>
  <si>
    <t>Granjero Feliz 20/05/10</t>
  </si>
  <si>
    <t>Yarto 28/05/10</t>
  </si>
  <si>
    <t>Atosa 24/05/10</t>
  </si>
  <si>
    <t>Atosa Agropecuaria bbva 0162529696</t>
  </si>
  <si>
    <t>Elizabeth Galvan 0135252 29338 ID 52*17065*8</t>
  </si>
  <si>
    <t>38/    3142</t>
  </si>
  <si>
    <t>10/-05-2010</t>
  </si>
  <si>
    <t>bancomer 410</t>
  </si>
  <si>
    <t>CH-412</t>
  </si>
  <si>
    <t>fact 93581206</t>
  </si>
  <si>
    <t>intercam $ 37,986,30</t>
  </si>
  <si>
    <t>intercam 38,248,20</t>
  </si>
  <si>
    <t>CH-413</t>
  </si>
  <si>
    <t>fact 27438</t>
  </si>
  <si>
    <t>Fact 93581207</t>
  </si>
  <si>
    <t>bancomer 416</t>
  </si>
  <si>
    <t>CH-415</t>
  </si>
  <si>
    <t>Contra</t>
  </si>
  <si>
    <t>SWIFT</t>
  </si>
  <si>
    <t xml:space="preserve">SUKARNE </t>
  </si>
  <si>
    <t>707 CAJAS</t>
  </si>
  <si>
    <t>SUKARNE 15-MAYO</t>
  </si>
  <si>
    <t>Fact  5556</t>
  </si>
  <si>
    <t>intercam 48,271,25</t>
  </si>
  <si>
    <t>1055 cajas</t>
  </si>
  <si>
    <t>pedido 53054</t>
  </si>
  <si>
    <t>pedido 53194</t>
  </si>
  <si>
    <t>intercam 41,243,64</t>
  </si>
  <si>
    <t>pedido 53192</t>
  </si>
  <si>
    <t>intercam 45,716,01</t>
  </si>
  <si>
    <t>HSBC 9552767</t>
  </si>
  <si>
    <t>fact 93584946</t>
  </si>
  <si>
    <t>intercam 39,281,34</t>
  </si>
  <si>
    <t>fact  91194064</t>
  </si>
  <si>
    <t>intecam 37,562,70</t>
  </si>
  <si>
    <t>680 cajas</t>
  </si>
  <si>
    <t>23 combos</t>
  </si>
  <si>
    <t>21 combos</t>
  </si>
  <si>
    <t>130 canales</t>
  </si>
  <si>
    <t>fact 302/</t>
  </si>
  <si>
    <t>fact 53715</t>
  </si>
  <si>
    <t>intercam 43083,52</t>
  </si>
  <si>
    <t>intercam 43522,93</t>
  </si>
  <si>
    <t>Atosa 14/05/2010</t>
  </si>
  <si>
    <t>fact 2963</t>
  </si>
  <si>
    <t>canal de cerdo 143</t>
  </si>
  <si>
    <t>147 canales</t>
  </si>
  <si>
    <t>bancomer 418</t>
  </si>
  <si>
    <t>38     CH-3148</t>
  </si>
  <si>
    <t>38     CH-3150</t>
  </si>
  <si>
    <t>bancomer -417</t>
  </si>
  <si>
    <t>bbva 419</t>
  </si>
  <si>
    <t>canal de cerdo 147</t>
  </si>
  <si>
    <t>Atosa 17/05/2010</t>
  </si>
  <si>
    <t>fact 2967</t>
  </si>
  <si>
    <t>38/    3165</t>
  </si>
  <si>
    <t>38/   3155</t>
  </si>
  <si>
    <t>bancomer 414</t>
  </si>
  <si>
    <t>38/   -3153</t>
  </si>
</sst>
</file>

<file path=xl/styles.xml><?xml version="1.0" encoding="utf-8"?>
<styleSheet xmlns="http://schemas.openxmlformats.org/spreadsheetml/2006/main">
  <numFmts count="6">
    <numFmt numFmtId="164" formatCode="_-&quot;$&quot;* #,##0.00_-;\-&quot;$&quot;* #,##0.00_-;_-&quot;$&quot;* &quot;-&quot;??_-;_-@_-"/>
    <numFmt numFmtId="165" formatCode="&quot;$&quot;#,##0.00"/>
    <numFmt numFmtId="166" formatCode="&quot;$&quot;#,##0.000"/>
    <numFmt numFmtId="167" formatCode="#,##0_ ;\-#,##0\ "/>
    <numFmt numFmtId="168" formatCode="_-&quot;$&quot;* #,##0.000_-;\-&quot;$&quot;* #,##0.000_-;_-&quot;$&quot;* &quot;-&quot;??_-;_-@_-"/>
    <numFmt numFmtId="169" formatCode="0;[Red]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1" applyFont="0" applyFill="0" applyAlignment="0" applyProtection="0"/>
  </cellStyleXfs>
  <cellXfs count="104">
    <xf numFmtId="0" fontId="0" fillId="0" borderId="0" xfId="0"/>
    <xf numFmtId="0" fontId="0" fillId="0" borderId="0" xfId="0" applyFill="1"/>
    <xf numFmtId="17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2" xfId="0" applyBorder="1"/>
    <xf numFmtId="0" fontId="0" fillId="0" borderId="2" xfId="0" applyFill="1" applyBorder="1"/>
    <xf numFmtId="4" fontId="0" fillId="0" borderId="2" xfId="0" applyNumberFormat="1" applyFill="1" applyBorder="1"/>
    <xf numFmtId="3" fontId="0" fillId="0" borderId="2" xfId="0" applyNumberFormat="1" applyFill="1" applyBorder="1"/>
    <xf numFmtId="15" fontId="0" fillId="0" borderId="2" xfId="0" applyNumberFormat="1" applyFill="1" applyBorder="1"/>
    <xf numFmtId="165" fontId="0" fillId="0" borderId="2" xfId="0" applyNumberFormat="1" applyFill="1" applyBorder="1"/>
    <xf numFmtId="166" fontId="0" fillId="0" borderId="2" xfId="0" applyNumberFormat="1" applyFill="1" applyBorder="1"/>
    <xf numFmtId="0" fontId="0" fillId="2" borderId="3" xfId="0" applyFill="1" applyBorder="1"/>
    <xf numFmtId="0" fontId="0" fillId="0" borderId="4" xfId="0" applyFill="1" applyBorder="1"/>
    <xf numFmtId="0" fontId="0" fillId="0" borderId="0" xfId="0" applyFill="1" applyBorder="1"/>
    <xf numFmtId="4" fontId="0" fillId="0" borderId="0" xfId="0" applyNumberFormat="1" applyFill="1" applyBorder="1"/>
    <xf numFmtId="15" fontId="0" fillId="0" borderId="0" xfId="0" applyNumberFormat="1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6" fontId="1" fillId="2" borderId="0" xfId="0" applyNumberFormat="1" applyFont="1" applyFill="1" applyBorder="1"/>
    <xf numFmtId="14" fontId="0" fillId="0" borderId="5" xfId="0" applyNumberFormat="1" applyFill="1" applyBorder="1"/>
    <xf numFmtId="166" fontId="1" fillId="0" borderId="0" xfId="0" applyNumberFormat="1" applyFont="1" applyFill="1" applyBorder="1"/>
    <xf numFmtId="4" fontId="2" fillId="0" borderId="0" xfId="0" applyNumberFormat="1" applyFont="1" applyFill="1" applyBorder="1"/>
    <xf numFmtId="0" fontId="0" fillId="3" borderId="0" xfId="0" applyFill="1" applyBorder="1"/>
    <xf numFmtId="0" fontId="0" fillId="2" borderId="5" xfId="0" applyFill="1" applyBorder="1" applyAlignment="1">
      <alignment horizontal="center" textRotation="255"/>
    </xf>
    <xf numFmtId="0" fontId="0" fillId="0" borderId="7" xfId="0" applyFill="1" applyBorder="1"/>
    <xf numFmtId="0" fontId="0" fillId="0" borderId="8" xfId="0" applyFill="1" applyBorder="1"/>
    <xf numFmtId="4" fontId="0" fillId="0" borderId="8" xfId="0" applyNumberFormat="1" applyFill="1" applyBorder="1"/>
    <xf numFmtId="15" fontId="0" fillId="0" borderId="8" xfId="0" applyNumberFormat="1" applyFill="1" applyBorder="1"/>
    <xf numFmtId="165" fontId="0" fillId="0" borderId="8" xfId="0" applyNumberFormat="1" applyFill="1" applyBorder="1"/>
    <xf numFmtId="166" fontId="0" fillId="0" borderId="8" xfId="0" applyNumberFormat="1" applyFill="1" applyBorder="1"/>
    <xf numFmtId="166" fontId="1" fillId="0" borderId="8" xfId="0" applyNumberFormat="1" applyFont="1" applyFill="1" applyBorder="1"/>
    <xf numFmtId="14" fontId="0" fillId="0" borderId="9" xfId="0" applyNumberFormat="1" applyFill="1" applyBorder="1"/>
    <xf numFmtId="165" fontId="0" fillId="2" borderId="0" xfId="0" applyNumberFormat="1" applyFill="1" applyBorder="1"/>
    <xf numFmtId="14" fontId="0" fillId="0" borderId="0" xfId="0" applyNumberFormat="1" applyFill="1" applyBorder="1"/>
    <xf numFmtId="0" fontId="0" fillId="0" borderId="10" xfId="0" applyFill="1" applyBorder="1"/>
    <xf numFmtId="0" fontId="0" fillId="5" borderId="5" xfId="0" applyFill="1" applyBorder="1" applyAlignment="1">
      <alignment textRotation="255"/>
    </xf>
    <xf numFmtId="4" fontId="0" fillId="0" borderId="11" xfId="0" applyNumberFormat="1" applyFill="1" applyBorder="1"/>
    <xf numFmtId="0" fontId="0" fillId="0" borderId="11" xfId="0" applyFill="1" applyBorder="1"/>
    <xf numFmtId="165" fontId="0" fillId="0" borderId="11" xfId="0" applyNumberFormat="1" applyFill="1" applyBorder="1"/>
    <xf numFmtId="4" fontId="0" fillId="0" borderId="10" xfId="0" applyNumberFormat="1" applyFill="1" applyBorder="1"/>
    <xf numFmtId="165" fontId="0" fillId="0" borderId="0" xfId="0" applyNumberFormat="1"/>
    <xf numFmtId="4" fontId="0" fillId="0" borderId="0" xfId="0" applyNumberFormat="1"/>
    <xf numFmtId="164" fontId="0" fillId="0" borderId="1" xfId="1" applyFont="1"/>
    <xf numFmtId="164" fontId="2" fillId="0" borderId="1" xfId="1" applyFont="1"/>
    <xf numFmtId="167" fontId="2" fillId="0" borderId="1" xfId="1" applyNumberFormat="1" applyFont="1"/>
    <xf numFmtId="168" fontId="0" fillId="2" borderId="1" xfId="1" applyNumberFormat="1" applyFont="1" applyFill="1"/>
    <xf numFmtId="164" fontId="2" fillId="8" borderId="1" xfId="1" applyFont="1" applyFill="1"/>
    <xf numFmtId="167" fontId="2" fillId="8" borderId="1" xfId="1" applyNumberFormat="1" applyFont="1" applyFill="1"/>
    <xf numFmtId="168" fontId="0" fillId="8" borderId="1" xfId="1" applyNumberFormat="1" applyFont="1" applyFill="1"/>
    <xf numFmtId="14" fontId="0" fillId="8" borderId="1" xfId="1" applyNumberFormat="1" applyFont="1" applyFill="1"/>
    <xf numFmtId="164" fontId="0" fillId="8" borderId="1" xfId="1" applyFont="1" applyFill="1"/>
    <xf numFmtId="164" fontId="0" fillId="0" borderId="1" xfId="1" applyFont="1" applyFill="1"/>
    <xf numFmtId="0" fontId="1" fillId="9" borderId="0" xfId="0" applyFont="1" applyFill="1"/>
    <xf numFmtId="167" fontId="0" fillId="0" borderId="1" xfId="1" applyNumberFormat="1" applyFont="1"/>
    <xf numFmtId="167" fontId="0" fillId="8" borderId="1" xfId="1" applyNumberFormat="1" applyFont="1" applyFill="1"/>
    <xf numFmtId="14" fontId="0" fillId="0" borderId="1" xfId="1" applyNumberFormat="1" applyFont="1"/>
    <xf numFmtId="0" fontId="1" fillId="0" borderId="0" xfId="0" applyFont="1" applyFill="1"/>
    <xf numFmtId="0" fontId="0" fillId="10" borderId="0" xfId="0" applyFill="1" applyBorder="1"/>
    <xf numFmtId="0" fontId="0" fillId="11" borderId="0" xfId="0" applyFill="1" applyBorder="1"/>
    <xf numFmtId="164" fontId="1" fillId="0" borderId="1" xfId="1" applyFont="1"/>
    <xf numFmtId="164" fontId="4" fillId="12" borderId="1" xfId="1" applyFont="1" applyFill="1"/>
    <xf numFmtId="164" fontId="1" fillId="12" borderId="1" xfId="1" applyFont="1" applyFill="1"/>
    <xf numFmtId="164" fontId="0" fillId="12" borderId="1" xfId="1" applyFont="1" applyFill="1"/>
    <xf numFmtId="167" fontId="0" fillId="12" borderId="1" xfId="1" applyNumberFormat="1" applyFont="1" applyFill="1"/>
    <xf numFmtId="14" fontId="0" fillId="12" borderId="1" xfId="1" applyNumberFormat="1" applyFont="1" applyFill="1" applyAlignment="1">
      <alignment horizontal="center"/>
    </xf>
    <xf numFmtId="164" fontId="2" fillId="12" borderId="1" xfId="1" applyFont="1" applyFill="1"/>
    <xf numFmtId="167" fontId="2" fillId="12" borderId="1" xfId="1" applyNumberFormat="1" applyFont="1" applyFill="1"/>
    <xf numFmtId="14" fontId="0" fillId="12" borderId="1" xfId="1" applyNumberFormat="1" applyFont="1" applyFill="1"/>
    <xf numFmtId="14" fontId="0" fillId="12" borderId="1" xfId="1" applyNumberFormat="1" applyFont="1" applyFill="1" applyAlignment="1">
      <alignment horizontal="right"/>
    </xf>
    <xf numFmtId="167" fontId="0" fillId="12" borderId="1" xfId="1" applyNumberFormat="1" applyFont="1" applyFill="1" applyAlignment="1">
      <alignment horizontal="center"/>
    </xf>
    <xf numFmtId="14" fontId="1" fillId="12" borderId="1" xfId="1" applyNumberFormat="1" applyFont="1" applyFill="1" applyAlignment="1">
      <alignment horizontal="center"/>
    </xf>
    <xf numFmtId="14" fontId="0" fillId="0" borderId="1" xfId="1" applyNumberFormat="1" applyFont="1" applyFill="1" applyAlignment="1">
      <alignment horizontal="right"/>
    </xf>
    <xf numFmtId="168" fontId="0" fillId="12" borderId="1" xfId="1" applyNumberFormat="1" applyFont="1" applyFill="1"/>
    <xf numFmtId="164" fontId="1" fillId="12" borderId="1" xfId="1" applyFont="1" applyFill="1" applyAlignment="1">
      <alignment horizontal="center"/>
    </xf>
    <xf numFmtId="164" fontId="0" fillId="12" borderId="1" xfId="1" applyFont="1" applyFill="1" applyAlignment="1">
      <alignment horizontal="center"/>
    </xf>
    <xf numFmtId="164" fontId="1" fillId="0" borderId="0" xfId="1" applyFont="1" applyFill="1" applyBorder="1"/>
    <xf numFmtId="164" fontId="0" fillId="0" borderId="0" xfId="1" applyFont="1" applyFill="1" applyBorder="1"/>
    <xf numFmtId="164" fontId="5" fillId="12" borderId="1" xfId="1" applyFont="1" applyFill="1"/>
    <xf numFmtId="169" fontId="0" fillId="12" borderId="1" xfId="1" applyNumberFormat="1" applyFont="1" applyFill="1" applyAlignment="1">
      <alignment horizontal="center"/>
    </xf>
    <xf numFmtId="4" fontId="1" fillId="0" borderId="0" xfId="0" applyNumberFormat="1" applyFont="1" applyFill="1" applyBorder="1"/>
    <xf numFmtId="0" fontId="0" fillId="13" borderId="4" xfId="0" applyFill="1" applyBorder="1"/>
    <xf numFmtId="0" fontId="0" fillId="13" borderId="0" xfId="0" applyFill="1" applyBorder="1"/>
    <xf numFmtId="0" fontId="0" fillId="11" borderId="4" xfId="0" applyFill="1" applyBorder="1"/>
    <xf numFmtId="0" fontId="0" fillId="11" borderId="0" xfId="0" applyFont="1" applyFill="1" applyBorder="1"/>
    <xf numFmtId="0" fontId="0" fillId="14" borderId="4" xfId="0" applyFill="1" applyBorder="1"/>
    <xf numFmtId="0" fontId="0" fillId="14" borderId="0" xfId="0" applyFill="1" applyBorder="1"/>
    <xf numFmtId="4" fontId="2" fillId="14" borderId="0" xfId="0" applyNumberFormat="1" applyFont="1" applyFill="1" applyBorder="1"/>
    <xf numFmtId="4" fontId="0" fillId="14" borderId="0" xfId="0" applyNumberFormat="1" applyFill="1" applyBorder="1"/>
    <xf numFmtId="167" fontId="1" fillId="12" borderId="1" xfId="1" applyNumberFormat="1" applyFont="1" applyFill="1"/>
    <xf numFmtId="14" fontId="0" fillId="0" borderId="1" xfId="1" applyNumberFormat="1" applyFont="1" applyFill="1" applyAlignment="1">
      <alignment horizontal="center"/>
    </xf>
    <xf numFmtId="164" fontId="5" fillId="0" borderId="1" xfId="1" applyFont="1" applyAlignment="1">
      <alignment horizontal="left"/>
    </xf>
    <xf numFmtId="164" fontId="2" fillId="0" borderId="1" xfId="1" applyFont="1" applyFill="1"/>
    <xf numFmtId="167" fontId="1" fillId="0" borderId="1" xfId="1" applyNumberFormat="1" applyFont="1" applyFill="1"/>
    <xf numFmtId="164" fontId="1" fillId="0" borderId="1" xfId="1" applyFont="1" applyFill="1"/>
    <xf numFmtId="167" fontId="1" fillId="0" borderId="1" xfId="1" applyNumberFormat="1" applyFont="1"/>
    <xf numFmtId="0" fontId="0" fillId="2" borderId="6" xfId="0" applyFill="1" applyBorder="1" applyAlignment="1">
      <alignment horizontal="center" textRotation="255"/>
    </xf>
    <xf numFmtId="0" fontId="0" fillId="4" borderId="0" xfId="0" applyFill="1" applyAlignment="1">
      <alignment horizontal="center" textRotation="255"/>
    </xf>
    <xf numFmtId="0" fontId="0" fillId="6" borderId="0" xfId="0" applyFill="1" applyAlignment="1">
      <alignment horizontal="center" textRotation="255"/>
    </xf>
    <xf numFmtId="0" fontId="0" fillId="7" borderId="0" xfId="0" applyFill="1" applyAlignment="1">
      <alignment horizontal="center" textRotation="255"/>
    </xf>
    <xf numFmtId="164" fontId="1" fillId="10" borderId="1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61"/>
  <sheetViews>
    <sheetView topLeftCell="A7" zoomScale="75" workbookViewId="0">
      <selection activeCell="C26" sqref="C26"/>
    </sheetView>
  </sheetViews>
  <sheetFormatPr baseColWidth="10" defaultRowHeight="12.75"/>
  <cols>
    <col min="1" max="1" width="4.140625" customWidth="1"/>
    <col min="2" max="2" width="16.85546875" style="45" customWidth="1"/>
    <col min="3" max="3" width="15" customWidth="1"/>
    <col min="4" max="4" width="14.42578125" style="45" customWidth="1"/>
    <col min="6" max="6" width="13.140625" style="45" bestFit="1" customWidth="1"/>
    <col min="9" max="9" width="12.28515625" customWidth="1"/>
    <col min="13" max="13" width="4" style="44" customWidth="1"/>
    <col min="14" max="14" width="7" style="44" customWidth="1"/>
    <col min="15" max="16" width="11.42578125" style="44"/>
    <col min="17" max="17" width="12" customWidth="1"/>
    <col min="20" max="20" width="5.85546875" customWidth="1"/>
    <col min="22" max="22" width="13" customWidth="1"/>
    <col min="23" max="23" width="14.140625" customWidth="1"/>
  </cols>
  <sheetData>
    <row r="2" spans="1:23">
      <c r="B2" s="1" t="s">
        <v>0</v>
      </c>
      <c r="C2" s="1"/>
      <c r="D2" s="2"/>
      <c r="E2" s="2">
        <v>40299</v>
      </c>
      <c r="F2" s="3"/>
      <c r="G2" s="3"/>
      <c r="H2" s="3"/>
      <c r="I2" s="4"/>
      <c r="J2" s="1"/>
      <c r="K2" s="5"/>
      <c r="L2" s="5"/>
      <c r="M2" s="1"/>
      <c r="N2" s="1"/>
      <c r="O2" s="6"/>
      <c r="P2" s="7"/>
      <c r="Q2" s="6"/>
      <c r="R2" s="6"/>
      <c r="S2" s="6"/>
      <c r="T2" s="6"/>
      <c r="U2" s="6"/>
      <c r="V2" s="6"/>
      <c r="W2" s="6"/>
    </row>
    <row r="3" spans="1:23">
      <c r="B3" s="1"/>
      <c r="C3" s="1"/>
      <c r="D3" s="1"/>
      <c r="E3" s="1"/>
      <c r="F3" s="3"/>
      <c r="G3" s="3"/>
      <c r="H3" s="3"/>
      <c r="I3" s="4"/>
      <c r="J3" s="1"/>
      <c r="K3" s="5"/>
      <c r="L3" s="5"/>
      <c r="M3" s="1"/>
      <c r="N3" s="1"/>
      <c r="O3" s="6"/>
      <c r="P3" s="7"/>
      <c r="Q3" s="6"/>
      <c r="R3" s="6"/>
      <c r="S3" s="6"/>
      <c r="T3" s="6"/>
      <c r="U3" s="6"/>
      <c r="V3" s="6"/>
      <c r="W3" s="6"/>
    </row>
    <row r="4" spans="1:23" ht="13.5" thickBot="1">
      <c r="A4" s="8"/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10" t="s">
        <v>6</v>
      </c>
      <c r="H4" s="10" t="s">
        <v>7</v>
      </c>
      <c r="I4" s="11" t="s">
        <v>8</v>
      </c>
      <c r="J4" s="9" t="s">
        <v>9</v>
      </c>
      <c r="K4" s="12" t="s">
        <v>10</v>
      </c>
      <c r="L4" s="12" t="s">
        <v>11</v>
      </c>
      <c r="M4" s="9" t="s">
        <v>12</v>
      </c>
      <c r="N4" s="9" t="s">
        <v>13</v>
      </c>
      <c r="O4" s="13" t="s">
        <v>14</v>
      </c>
      <c r="P4" s="14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</row>
    <row r="5" spans="1:23">
      <c r="A5" s="15"/>
      <c r="B5" s="16" t="s">
        <v>23</v>
      </c>
      <c r="C5" s="17" t="s">
        <v>24</v>
      </c>
      <c r="D5" s="17" t="s">
        <v>25</v>
      </c>
      <c r="E5" s="17" t="s">
        <v>26</v>
      </c>
      <c r="F5" s="18">
        <f>43854*0.4536</f>
        <v>19892.1744</v>
      </c>
      <c r="G5" s="18">
        <v>19810.77</v>
      </c>
      <c r="H5" s="18">
        <f>G5-F5</f>
        <v>-81.404399999999441</v>
      </c>
      <c r="I5" s="1">
        <v>53084</v>
      </c>
      <c r="J5" s="17"/>
      <c r="K5" s="19">
        <v>40298</v>
      </c>
      <c r="L5" s="19">
        <v>40301</v>
      </c>
      <c r="M5" s="17" t="s">
        <v>27</v>
      </c>
      <c r="N5" s="17" t="s">
        <v>28</v>
      </c>
      <c r="O5" s="20"/>
      <c r="P5" s="21">
        <v>0.95</v>
      </c>
      <c r="Q5" s="21"/>
      <c r="R5" s="20"/>
      <c r="S5" s="22">
        <v>12.5</v>
      </c>
      <c r="T5" s="20"/>
      <c r="U5" s="20">
        <f>P5/0.4536*S5</f>
        <v>26.179453262786595</v>
      </c>
      <c r="V5" s="20">
        <f t="shared" ref="V5:V12" si="0">U5*F5</f>
        <v>520766.24999999994</v>
      </c>
      <c r="W5" s="23">
        <v>40301</v>
      </c>
    </row>
    <row r="6" spans="1:23">
      <c r="A6" s="99"/>
      <c r="B6" s="16" t="s">
        <v>29</v>
      </c>
      <c r="C6" s="17" t="s">
        <v>30</v>
      </c>
      <c r="D6" s="17" t="s">
        <v>31</v>
      </c>
      <c r="E6" s="17" t="s">
        <v>32</v>
      </c>
      <c r="F6" s="18">
        <v>5401.92</v>
      </c>
      <c r="G6" s="18">
        <v>5401.92</v>
      </c>
      <c r="H6" s="18">
        <f t="shared" ref="H6:H23" si="1">G6-F6</f>
        <v>0</v>
      </c>
      <c r="I6" s="17" t="s">
        <v>33</v>
      </c>
      <c r="J6" s="17"/>
      <c r="K6" s="19"/>
      <c r="L6" s="19">
        <v>40301</v>
      </c>
      <c r="M6" s="17" t="s">
        <v>27</v>
      </c>
      <c r="N6" s="17"/>
      <c r="O6" s="20">
        <v>62</v>
      </c>
      <c r="P6" s="21"/>
      <c r="Q6" s="20"/>
      <c r="R6" s="20"/>
      <c r="S6" s="24"/>
      <c r="T6" s="20"/>
      <c r="U6" s="20">
        <f t="shared" ref="U6:U11" si="2">IF(O6&gt;0,O6,((P6*2.2046*S6)+(Q6+R6)/F6)+T6)</f>
        <v>62</v>
      </c>
      <c r="V6" s="20">
        <f t="shared" si="0"/>
        <v>334919.03999999998</v>
      </c>
      <c r="W6" s="23">
        <v>40308</v>
      </c>
    </row>
    <row r="7" spans="1:23">
      <c r="A7" s="99"/>
      <c r="B7" s="16" t="s">
        <v>34</v>
      </c>
      <c r="C7" s="17" t="s">
        <v>35</v>
      </c>
      <c r="D7" s="17" t="s">
        <v>36</v>
      </c>
      <c r="E7" s="17" t="s">
        <v>37</v>
      </c>
      <c r="F7" s="18">
        <v>11920</v>
      </c>
      <c r="G7" s="18">
        <v>11920</v>
      </c>
      <c r="H7" s="18">
        <f t="shared" si="1"/>
        <v>0</v>
      </c>
      <c r="I7" s="17"/>
      <c r="J7" s="17"/>
      <c r="K7" s="19"/>
      <c r="L7" s="19">
        <v>40301</v>
      </c>
      <c r="M7" s="17" t="s">
        <v>27</v>
      </c>
      <c r="N7" s="17"/>
      <c r="O7" s="20">
        <v>26</v>
      </c>
      <c r="P7" s="21"/>
      <c r="Q7" s="20"/>
      <c r="R7" s="20"/>
      <c r="S7" s="24"/>
      <c r="T7" s="20"/>
      <c r="U7" s="20">
        <f t="shared" si="2"/>
        <v>26</v>
      </c>
      <c r="V7" s="20">
        <f t="shared" si="0"/>
        <v>309920</v>
      </c>
      <c r="W7" s="23">
        <v>40308</v>
      </c>
    </row>
    <row r="8" spans="1:23">
      <c r="A8" s="99"/>
      <c r="B8" s="16" t="s">
        <v>23</v>
      </c>
      <c r="C8" s="17" t="s">
        <v>38</v>
      </c>
      <c r="D8" s="17" t="s">
        <v>39</v>
      </c>
      <c r="E8" s="17" t="s">
        <v>40</v>
      </c>
      <c r="F8" s="25">
        <f>42404*0.4536</f>
        <v>19234.454399999999</v>
      </c>
      <c r="G8" s="18">
        <v>19141.16</v>
      </c>
      <c r="H8" s="18">
        <f t="shared" si="1"/>
        <v>-93.294399999998859</v>
      </c>
      <c r="I8" s="17" t="s">
        <v>41</v>
      </c>
      <c r="J8" s="26" t="s">
        <v>42</v>
      </c>
      <c r="K8" s="19">
        <v>40301</v>
      </c>
      <c r="L8" s="19">
        <v>40303</v>
      </c>
      <c r="M8" s="17" t="s">
        <v>43</v>
      </c>
      <c r="N8" s="17" t="s">
        <v>44</v>
      </c>
      <c r="O8" s="20"/>
      <c r="P8" s="21">
        <v>0.94</v>
      </c>
      <c r="Q8" s="20">
        <v>18560</v>
      </c>
      <c r="R8" s="20">
        <v>7063.5</v>
      </c>
      <c r="S8" s="24">
        <v>12.712</v>
      </c>
      <c r="T8" s="20">
        <v>0.1</v>
      </c>
      <c r="U8" s="20">
        <f t="shared" si="2"/>
        <v>27.775549406490338</v>
      </c>
      <c r="V8" s="20">
        <f t="shared" si="0"/>
        <v>534247.53849408543</v>
      </c>
      <c r="W8" s="23">
        <v>40303</v>
      </c>
    </row>
    <row r="9" spans="1:23">
      <c r="A9" s="99"/>
      <c r="B9" s="16" t="s">
        <v>23</v>
      </c>
      <c r="C9" s="17" t="s">
        <v>45</v>
      </c>
      <c r="D9" s="17" t="s">
        <v>45</v>
      </c>
      <c r="E9" s="17" t="s">
        <v>46</v>
      </c>
      <c r="F9" s="25">
        <f>40169*0.4536</f>
        <v>18220.6584</v>
      </c>
      <c r="G9" s="18">
        <v>18163.82</v>
      </c>
      <c r="H9" s="18">
        <f t="shared" si="1"/>
        <v>-56.838400000000547</v>
      </c>
      <c r="I9" t="s">
        <v>47</v>
      </c>
      <c r="J9" s="26" t="s">
        <v>42</v>
      </c>
      <c r="K9" s="19">
        <v>40301</v>
      </c>
      <c r="L9" s="19">
        <v>40303</v>
      </c>
      <c r="M9" s="17" t="s">
        <v>43</v>
      </c>
      <c r="N9" s="17" t="s">
        <v>48</v>
      </c>
      <c r="O9" s="20"/>
      <c r="P9" s="21">
        <v>0.92</v>
      </c>
      <c r="Q9" s="20">
        <v>18560</v>
      </c>
      <c r="R9" s="20">
        <v>7063.5</v>
      </c>
      <c r="S9" s="24">
        <v>12.712</v>
      </c>
      <c r="T9" s="20">
        <v>0.1</v>
      </c>
      <c r="U9" s="20">
        <f t="shared" si="2"/>
        <v>27.289173553908743</v>
      </c>
      <c r="V9" s="20">
        <f t="shared" si="0"/>
        <v>497226.70934408519</v>
      </c>
      <c r="W9" s="23">
        <v>37016</v>
      </c>
    </row>
    <row r="10" spans="1:23">
      <c r="A10" s="27"/>
      <c r="B10" s="16" t="s">
        <v>49</v>
      </c>
      <c r="C10" s="17" t="s">
        <v>50</v>
      </c>
      <c r="D10" s="17" t="s">
        <v>51</v>
      </c>
      <c r="E10" s="17" t="s">
        <v>52</v>
      </c>
      <c r="F10" s="25">
        <f>720*13.61</f>
        <v>9799.1999999999989</v>
      </c>
      <c r="G10" s="18">
        <v>9799.2000000000007</v>
      </c>
      <c r="H10" s="18">
        <f t="shared" si="1"/>
        <v>0</v>
      </c>
      <c r="I10" t="s">
        <v>53</v>
      </c>
      <c r="J10" s="17"/>
      <c r="K10" s="19">
        <v>40301</v>
      </c>
      <c r="L10" s="19">
        <v>40303</v>
      </c>
      <c r="M10" s="17" t="s">
        <v>43</v>
      </c>
      <c r="N10" s="17"/>
      <c r="O10" s="20">
        <v>34</v>
      </c>
      <c r="P10" s="21"/>
      <c r="Q10" s="20"/>
      <c r="R10" s="20"/>
      <c r="S10" s="24"/>
      <c r="T10" s="20"/>
      <c r="U10" s="20">
        <f t="shared" si="2"/>
        <v>34</v>
      </c>
      <c r="V10" s="20">
        <f t="shared" si="0"/>
        <v>333172.8</v>
      </c>
      <c r="W10" s="23">
        <v>40317</v>
      </c>
    </row>
    <row r="11" spans="1:23">
      <c r="A11" s="27"/>
      <c r="B11" s="16" t="s">
        <v>34</v>
      </c>
      <c r="C11" s="17" t="s">
        <v>54</v>
      </c>
      <c r="D11" s="17" t="s">
        <v>55</v>
      </c>
      <c r="E11" s="17" t="s">
        <v>56</v>
      </c>
      <c r="F11" s="25">
        <v>10821.6</v>
      </c>
      <c r="G11" s="18">
        <v>10821.6</v>
      </c>
      <c r="H11" s="18">
        <f t="shared" si="1"/>
        <v>0</v>
      </c>
      <c r="I11" s="17" t="s">
        <v>57</v>
      </c>
      <c r="J11" s="17"/>
      <c r="K11" s="19"/>
      <c r="L11" s="19">
        <v>40304</v>
      </c>
      <c r="M11" s="17" t="s">
        <v>58</v>
      </c>
      <c r="N11" s="17"/>
      <c r="O11" s="20">
        <v>26.2</v>
      </c>
      <c r="P11" s="21"/>
      <c r="Q11" s="20"/>
      <c r="R11" s="20"/>
      <c r="S11" s="24"/>
      <c r="T11" s="20"/>
      <c r="U11" s="20">
        <f t="shared" si="2"/>
        <v>26.2</v>
      </c>
      <c r="V11" s="20">
        <f t="shared" si="0"/>
        <v>283525.92</v>
      </c>
      <c r="W11" s="23">
        <v>40311</v>
      </c>
    </row>
    <row r="12" spans="1:23">
      <c r="A12" s="27"/>
      <c r="B12" s="16" t="s">
        <v>23</v>
      </c>
      <c r="C12" s="17" t="s">
        <v>24</v>
      </c>
      <c r="D12" s="17" t="s">
        <v>25</v>
      </c>
      <c r="E12" s="17"/>
      <c r="F12" s="25"/>
      <c r="G12" s="18"/>
      <c r="H12" s="18">
        <f t="shared" si="1"/>
        <v>0</v>
      </c>
      <c r="I12" s="17">
        <v>53135</v>
      </c>
      <c r="J12" s="17"/>
      <c r="K12" s="19">
        <v>40303</v>
      </c>
      <c r="L12" s="19">
        <v>40306</v>
      </c>
      <c r="M12" s="17" t="s">
        <v>90</v>
      </c>
      <c r="N12" s="17" t="s">
        <v>60</v>
      </c>
      <c r="O12" s="20"/>
      <c r="P12" s="21">
        <v>0.97</v>
      </c>
      <c r="Q12" s="20"/>
      <c r="R12" s="20"/>
      <c r="S12" s="22">
        <v>12.5</v>
      </c>
      <c r="T12" s="20"/>
      <c r="U12" s="20">
        <f>P12/0.4536*S12</f>
        <v>26.730599647266313</v>
      </c>
      <c r="V12" s="20">
        <f t="shared" si="0"/>
        <v>0</v>
      </c>
      <c r="W12" s="23">
        <v>40305</v>
      </c>
    </row>
    <row r="13" spans="1:23" ht="13.5" thickBot="1">
      <c r="A13" s="27"/>
      <c r="B13" s="28"/>
      <c r="C13" s="29"/>
      <c r="D13" s="29"/>
      <c r="E13" s="29"/>
      <c r="F13" s="30"/>
      <c r="G13" s="30"/>
      <c r="H13" s="30">
        <f t="shared" si="1"/>
        <v>0</v>
      </c>
      <c r="I13" s="29"/>
      <c r="J13" s="29"/>
      <c r="K13" s="31"/>
      <c r="L13" s="31"/>
      <c r="M13" s="29"/>
      <c r="N13" s="29"/>
      <c r="O13" s="32"/>
      <c r="P13" s="33"/>
      <c r="Q13" s="32"/>
      <c r="R13" s="32"/>
      <c r="S13" s="34"/>
      <c r="T13" s="32"/>
      <c r="U13" s="32"/>
      <c r="V13" s="32"/>
      <c r="W13" s="35"/>
    </row>
    <row r="14" spans="1:23" ht="12" customHeight="1" thickTop="1">
      <c r="A14" s="100"/>
      <c r="B14" s="16" t="s">
        <v>23</v>
      </c>
      <c r="C14" s="17" t="s">
        <v>24</v>
      </c>
      <c r="D14" s="17" t="s">
        <v>25</v>
      </c>
      <c r="E14" s="61"/>
      <c r="F14" s="25"/>
      <c r="G14" s="18"/>
      <c r="H14" s="18">
        <f t="shared" si="1"/>
        <v>0</v>
      </c>
      <c r="I14" s="17"/>
      <c r="J14" s="17"/>
      <c r="K14" s="19">
        <v>40305</v>
      </c>
      <c r="L14" s="19">
        <v>40308</v>
      </c>
      <c r="M14" s="17" t="s">
        <v>27</v>
      </c>
      <c r="N14" s="17" t="s">
        <v>61</v>
      </c>
      <c r="O14" s="20"/>
      <c r="P14" s="21">
        <v>0.97</v>
      </c>
      <c r="Q14" s="20"/>
      <c r="R14" s="20"/>
      <c r="S14" s="22">
        <v>12.57</v>
      </c>
      <c r="T14" s="20"/>
      <c r="U14" s="20">
        <f>P14/0.4536*S14</f>
        <v>26.880291005291003</v>
      </c>
      <c r="V14" s="20">
        <f t="shared" ref="V14:V23" si="3">U14*F14</f>
        <v>0</v>
      </c>
      <c r="W14" s="23">
        <v>40308</v>
      </c>
    </row>
    <row r="15" spans="1:23" ht="12" customHeight="1">
      <c r="A15" s="100"/>
      <c r="B15" s="16" t="s">
        <v>34</v>
      </c>
      <c r="C15" s="17" t="s">
        <v>35</v>
      </c>
      <c r="D15" s="17" t="s">
        <v>36</v>
      </c>
      <c r="E15" s="17" t="s">
        <v>234</v>
      </c>
      <c r="F15" s="25"/>
      <c r="G15" s="18">
        <v>11790</v>
      </c>
      <c r="H15" s="18">
        <f t="shared" si="1"/>
        <v>11790</v>
      </c>
      <c r="I15" s="17"/>
      <c r="J15" s="17"/>
      <c r="K15" s="19"/>
      <c r="L15" s="19">
        <v>40308</v>
      </c>
      <c r="M15" s="17" t="s">
        <v>27</v>
      </c>
      <c r="N15" s="17"/>
      <c r="O15" s="20">
        <v>26.5</v>
      </c>
      <c r="P15" s="21"/>
      <c r="Q15" s="20"/>
      <c r="R15" s="20"/>
      <c r="S15" s="24"/>
      <c r="T15" s="20"/>
      <c r="U15" s="20">
        <f>P15/0.4536*S15</f>
        <v>0</v>
      </c>
      <c r="V15" s="20">
        <f>U15*F15</f>
        <v>0</v>
      </c>
      <c r="W15" s="23">
        <v>40315</v>
      </c>
    </row>
    <row r="16" spans="1:23">
      <c r="A16" s="100"/>
      <c r="B16" s="86" t="s">
        <v>49</v>
      </c>
      <c r="C16" s="62" t="s">
        <v>24</v>
      </c>
      <c r="D16" s="62" t="s">
        <v>25</v>
      </c>
      <c r="E16" s="62" t="s">
        <v>220</v>
      </c>
      <c r="F16" s="25">
        <v>17874.150000000001</v>
      </c>
      <c r="G16" s="18">
        <v>17874</v>
      </c>
      <c r="H16" s="18">
        <f t="shared" si="1"/>
        <v>-0.15000000000145519</v>
      </c>
      <c r="I16" s="17">
        <v>53054</v>
      </c>
      <c r="J16" s="17"/>
      <c r="K16" s="19"/>
      <c r="L16" s="19">
        <v>40311</v>
      </c>
      <c r="M16" s="17" t="s">
        <v>27</v>
      </c>
      <c r="N16" s="17"/>
      <c r="O16" s="20"/>
      <c r="P16" s="21">
        <v>1.2250000000000001</v>
      </c>
      <c r="Q16" s="20"/>
      <c r="R16" s="20"/>
      <c r="S16" s="22">
        <v>12.8</v>
      </c>
      <c r="T16" s="20"/>
      <c r="U16" s="20">
        <f>P16/0.4536*S16</f>
        <v>34.567901234567906</v>
      </c>
      <c r="V16" s="20">
        <f t="shared" si="3"/>
        <v>617871.85185185203</v>
      </c>
      <c r="W16" s="23">
        <v>40308</v>
      </c>
    </row>
    <row r="17" spans="1:24" ht="12" customHeight="1">
      <c r="A17" s="100"/>
      <c r="B17" s="86" t="s">
        <v>62</v>
      </c>
      <c r="C17" s="62" t="s">
        <v>39</v>
      </c>
      <c r="D17" s="62" t="s">
        <v>39</v>
      </c>
      <c r="E17" s="62" t="s">
        <v>231</v>
      </c>
      <c r="F17" s="25">
        <v>18500</v>
      </c>
      <c r="G17" s="18">
        <v>18506.88</v>
      </c>
      <c r="H17" s="18">
        <f t="shared" si="1"/>
        <v>6.8800000000010186</v>
      </c>
      <c r="I17" s="17" t="s">
        <v>63</v>
      </c>
      <c r="J17" s="26" t="s">
        <v>42</v>
      </c>
      <c r="K17" s="19">
        <v>40308</v>
      </c>
      <c r="L17" s="19">
        <v>40309</v>
      </c>
      <c r="M17" s="17" t="s">
        <v>43</v>
      </c>
      <c r="N17" s="17"/>
      <c r="O17" s="20"/>
      <c r="P17" s="21">
        <v>0.49</v>
      </c>
      <c r="Q17" s="20">
        <v>18560</v>
      </c>
      <c r="R17" s="36">
        <v>7063.5</v>
      </c>
      <c r="S17" s="22">
        <v>12.82</v>
      </c>
      <c r="T17" s="20">
        <v>0.1</v>
      </c>
      <c r="U17" s="20">
        <f>IF(O17&gt;0,O17,((P17*2.2046*S17)+(Q17+R17)/F17)+T17)</f>
        <v>15.333910334054055</v>
      </c>
      <c r="V17" s="20">
        <f t="shared" si="3"/>
        <v>283677.34118000005</v>
      </c>
      <c r="W17" s="23">
        <v>40310</v>
      </c>
    </row>
    <row r="18" spans="1:24" ht="12" customHeight="1">
      <c r="A18" s="100"/>
      <c r="B18" s="16"/>
      <c r="C18" s="17"/>
      <c r="D18" s="17"/>
      <c r="E18" s="17"/>
      <c r="F18" s="25"/>
      <c r="G18" s="18"/>
      <c r="H18" s="18">
        <f t="shared" si="1"/>
        <v>0</v>
      </c>
      <c r="I18" s="17"/>
      <c r="J18" s="17"/>
      <c r="K18" s="19"/>
      <c r="L18" s="19"/>
      <c r="M18" s="17"/>
      <c r="N18" s="17"/>
      <c r="O18" s="20"/>
      <c r="P18" s="21"/>
      <c r="Q18" s="20"/>
      <c r="R18" s="20"/>
      <c r="S18" s="24"/>
      <c r="T18" s="20"/>
      <c r="U18" s="20" t="e">
        <f>IF(O18&gt;0,O18,((P18*2.2046*S18)+(Q18+R18)/F18)+T18)</f>
        <v>#DIV/0!</v>
      </c>
      <c r="V18" s="20" t="e">
        <f>U18*F18</f>
        <v>#DIV/0!</v>
      </c>
      <c r="W18" s="23"/>
    </row>
    <row r="19" spans="1:24" ht="12" customHeight="1">
      <c r="A19" s="100"/>
      <c r="B19" s="86" t="s">
        <v>23</v>
      </c>
      <c r="C19" s="62" t="s">
        <v>38</v>
      </c>
      <c r="D19" s="62" t="s">
        <v>39</v>
      </c>
      <c r="E19" s="62" t="s">
        <v>232</v>
      </c>
      <c r="F19" s="25">
        <v>18500</v>
      </c>
      <c r="G19" s="18">
        <v>19141.509999999998</v>
      </c>
      <c r="H19" s="18">
        <f t="shared" si="1"/>
        <v>641.5099999999984</v>
      </c>
      <c r="I19" s="17" t="s">
        <v>64</v>
      </c>
      <c r="J19" s="26" t="s">
        <v>42</v>
      </c>
      <c r="K19" s="19">
        <v>40308</v>
      </c>
      <c r="L19" s="19">
        <v>40309</v>
      </c>
      <c r="M19" s="17" t="s">
        <v>43</v>
      </c>
      <c r="N19" s="17" t="s">
        <v>65</v>
      </c>
      <c r="O19" s="20"/>
      <c r="P19" s="21">
        <v>0.9</v>
      </c>
      <c r="Q19" s="20">
        <v>18560</v>
      </c>
      <c r="R19" s="36">
        <v>7200</v>
      </c>
      <c r="S19" s="22">
        <v>12.5</v>
      </c>
      <c r="T19" s="20">
        <v>0.1</v>
      </c>
      <c r="U19" s="20">
        <f>IF(O19&gt;0,O19,((P19*2.2046*S19)+(Q19+R19)/F19)+T19)</f>
        <v>26.294182432432436</v>
      </c>
      <c r="V19" s="20">
        <f t="shared" si="3"/>
        <v>486442.37500000006</v>
      </c>
      <c r="W19" s="23">
        <v>40310</v>
      </c>
    </row>
    <row r="20" spans="1:24" ht="12" customHeight="1">
      <c r="A20" s="100"/>
      <c r="B20" s="86" t="s">
        <v>23</v>
      </c>
      <c r="C20" s="62" t="s">
        <v>45</v>
      </c>
      <c r="D20" s="62" t="s">
        <v>45</v>
      </c>
      <c r="E20" s="62" t="s">
        <v>233</v>
      </c>
      <c r="F20" s="25">
        <v>18500</v>
      </c>
      <c r="G20" s="18">
        <v>19273.47</v>
      </c>
      <c r="H20" s="18">
        <f t="shared" si="1"/>
        <v>773.47000000000116</v>
      </c>
      <c r="I20" t="s">
        <v>66</v>
      </c>
      <c r="J20" s="26" t="s">
        <v>42</v>
      </c>
      <c r="K20" s="19">
        <v>40308</v>
      </c>
      <c r="L20" s="19">
        <v>40309</v>
      </c>
      <c r="M20" s="17" t="s">
        <v>43</v>
      </c>
      <c r="N20" s="17" t="s">
        <v>65</v>
      </c>
      <c r="O20" s="20"/>
      <c r="P20" s="21">
        <v>0.9</v>
      </c>
      <c r="Q20" s="20">
        <v>18560</v>
      </c>
      <c r="R20" s="36">
        <v>7009.5</v>
      </c>
      <c r="S20" s="22">
        <v>12.5</v>
      </c>
      <c r="T20" s="20">
        <v>0.1</v>
      </c>
      <c r="U20" s="20">
        <f>IF(O20&gt;0,O20,((P20*2.2046*S20)+(Q20+R20)/F20)+T20)</f>
        <v>26.28388513513514</v>
      </c>
      <c r="V20" s="20">
        <f t="shared" si="3"/>
        <v>486251.87500000012</v>
      </c>
      <c r="W20" s="23">
        <v>40310</v>
      </c>
    </row>
    <row r="21" spans="1:24">
      <c r="A21" s="100"/>
      <c r="B21" s="88" t="s">
        <v>34</v>
      </c>
      <c r="C21" s="89" t="s">
        <v>54</v>
      </c>
      <c r="D21" s="89" t="s">
        <v>55</v>
      </c>
      <c r="E21" s="89" t="s">
        <v>56</v>
      </c>
      <c r="F21" s="90">
        <v>11758.8</v>
      </c>
      <c r="G21" s="91">
        <v>11730</v>
      </c>
      <c r="H21" s="91">
        <f t="shared" si="1"/>
        <v>-28.799999999999272</v>
      </c>
      <c r="J21" s="17"/>
      <c r="K21" s="19"/>
      <c r="L21" s="19">
        <v>40311</v>
      </c>
      <c r="M21" s="17" t="s">
        <v>58</v>
      </c>
      <c r="N21" s="17"/>
      <c r="O21" s="20">
        <v>26.2</v>
      </c>
      <c r="P21" s="21"/>
      <c r="Q21" s="20"/>
      <c r="R21" s="20"/>
      <c r="S21" s="24"/>
      <c r="T21" s="20"/>
      <c r="U21" s="20">
        <f>IF(O21&gt;0,O21,((P21*2.2046*S21)+(Q21+R21)/F21)+T21)</f>
        <v>26.2</v>
      </c>
      <c r="V21" s="20">
        <f t="shared" si="3"/>
        <v>308080.56</v>
      </c>
      <c r="W21" s="23">
        <v>40318</v>
      </c>
    </row>
    <row r="22" spans="1:24">
      <c r="A22" s="100"/>
      <c r="B22" s="86" t="s">
        <v>23</v>
      </c>
      <c r="C22" s="62" t="s">
        <v>24</v>
      </c>
      <c r="D22" s="62" t="s">
        <v>25</v>
      </c>
      <c r="E22" s="62" t="s">
        <v>26</v>
      </c>
      <c r="F22" s="25">
        <v>20103.04</v>
      </c>
      <c r="G22" s="18">
        <v>20115.7</v>
      </c>
      <c r="H22" s="18">
        <f t="shared" si="1"/>
        <v>12.659999999999854</v>
      </c>
      <c r="I22">
        <v>53194</v>
      </c>
      <c r="J22" s="17"/>
      <c r="K22" s="19">
        <v>40310</v>
      </c>
      <c r="L22" s="19">
        <v>40312</v>
      </c>
      <c r="M22" s="17" t="s">
        <v>59</v>
      </c>
      <c r="N22" s="17" t="s">
        <v>67</v>
      </c>
      <c r="O22" s="20"/>
      <c r="P22" s="24">
        <v>0.93</v>
      </c>
      <c r="Q22" s="20"/>
      <c r="R22" s="20"/>
      <c r="S22" s="22">
        <v>12.8</v>
      </c>
      <c r="T22" s="20"/>
      <c r="U22" s="20">
        <f>P22/0.4536*S22</f>
        <v>26.243386243386244</v>
      </c>
      <c r="V22" s="20">
        <f t="shared" si="3"/>
        <v>527571.84338624345</v>
      </c>
      <c r="W22" s="23">
        <v>40312</v>
      </c>
      <c r="X22" s="37"/>
    </row>
    <row r="23" spans="1:24">
      <c r="A23" s="100"/>
      <c r="B23" s="86" t="s">
        <v>213</v>
      </c>
      <c r="C23" s="62" t="s">
        <v>214</v>
      </c>
      <c r="D23" s="62" t="s">
        <v>215</v>
      </c>
      <c r="E23" s="62" t="s">
        <v>216</v>
      </c>
      <c r="F23" s="18">
        <v>19022.099999999999</v>
      </c>
      <c r="G23" s="18">
        <v>19022.099999999999</v>
      </c>
      <c r="H23" s="18">
        <f t="shared" si="1"/>
        <v>0</v>
      </c>
      <c r="I23" s="1"/>
      <c r="J23" s="17"/>
      <c r="K23" s="19"/>
      <c r="L23" s="19">
        <v>40313</v>
      </c>
      <c r="M23" s="17"/>
      <c r="N23" s="17"/>
      <c r="O23" s="20">
        <v>48.5</v>
      </c>
      <c r="P23" s="21"/>
      <c r="Q23" s="20"/>
      <c r="R23" s="20"/>
      <c r="S23" s="24"/>
      <c r="T23" s="20"/>
      <c r="U23" s="20">
        <f>P23/0.4536*S23</f>
        <v>0</v>
      </c>
      <c r="V23" s="20">
        <f t="shared" si="3"/>
        <v>0</v>
      </c>
      <c r="W23" s="23"/>
      <c r="X23" s="37"/>
    </row>
    <row r="24" spans="1:24" ht="13.5" thickBot="1">
      <c r="A24" s="100"/>
      <c r="B24" s="38"/>
      <c r="C24" s="9"/>
      <c r="D24" s="9"/>
      <c r="E24" s="9"/>
      <c r="F24" s="10"/>
      <c r="G24" s="10"/>
      <c r="H24" s="10"/>
      <c r="I24" s="11"/>
      <c r="J24" s="9"/>
      <c r="K24" s="12"/>
      <c r="L24" s="12"/>
      <c r="M24" s="12"/>
      <c r="N24" s="9"/>
      <c r="O24" s="13"/>
      <c r="P24" s="14"/>
      <c r="Q24" s="13"/>
      <c r="R24" s="13"/>
      <c r="S24" s="13"/>
      <c r="T24" s="13"/>
      <c r="U24" s="13"/>
      <c r="V24" s="13"/>
      <c r="W24" s="35"/>
    </row>
    <row r="25" spans="1:24">
      <c r="A25" s="39"/>
      <c r="B25" s="86" t="s">
        <v>23</v>
      </c>
      <c r="C25" s="62" t="s">
        <v>24</v>
      </c>
      <c r="D25" s="62" t="s">
        <v>25</v>
      </c>
      <c r="E25" s="62" t="s">
        <v>40</v>
      </c>
      <c r="F25" s="25">
        <v>22272.18</v>
      </c>
      <c r="G25" s="18">
        <v>22297.5</v>
      </c>
      <c r="H25" s="18">
        <f t="shared" ref="H25:H31" si="4">G25-F25</f>
        <v>25.319999999999709</v>
      </c>
      <c r="I25" s="17">
        <v>53192</v>
      </c>
      <c r="J25" s="17"/>
      <c r="K25" s="19">
        <v>40312</v>
      </c>
      <c r="L25" s="19">
        <v>40313</v>
      </c>
      <c r="M25" s="17" t="s">
        <v>27</v>
      </c>
      <c r="N25" s="17" t="s">
        <v>68</v>
      </c>
      <c r="O25" s="20"/>
      <c r="P25" s="24">
        <v>0.93</v>
      </c>
      <c r="Q25" s="20"/>
      <c r="R25" s="20"/>
      <c r="S25" s="22">
        <v>12.8</v>
      </c>
      <c r="T25" s="20"/>
      <c r="U25" s="20">
        <f>P25/0.4536*S25</f>
        <v>26.243386243386244</v>
      </c>
      <c r="V25" s="20">
        <f t="shared" ref="V25:V31" si="5">U25*F25</f>
        <v>584497.4222222222</v>
      </c>
      <c r="W25" s="23">
        <v>40315</v>
      </c>
    </row>
    <row r="26" spans="1:24">
      <c r="A26" s="39"/>
      <c r="B26" s="16" t="s">
        <v>34</v>
      </c>
      <c r="C26" s="17" t="s">
        <v>35</v>
      </c>
      <c r="D26" s="17" t="s">
        <v>36</v>
      </c>
      <c r="E26" s="62" t="s">
        <v>242</v>
      </c>
      <c r="F26" s="25"/>
      <c r="G26" s="18">
        <v>12240</v>
      </c>
      <c r="H26" s="18">
        <f t="shared" si="4"/>
        <v>12240</v>
      </c>
      <c r="I26" s="17">
        <v>2967</v>
      </c>
      <c r="J26" s="17"/>
      <c r="K26" s="19"/>
      <c r="L26" s="19">
        <v>40315</v>
      </c>
      <c r="M26" s="17" t="s">
        <v>27</v>
      </c>
      <c r="N26" s="17"/>
      <c r="O26" s="20">
        <v>26.5</v>
      </c>
      <c r="P26" s="21"/>
      <c r="Q26" s="20"/>
      <c r="R26" s="20"/>
      <c r="S26" s="24"/>
      <c r="T26" s="20"/>
      <c r="U26" s="20">
        <f>P26/0.4536*S26</f>
        <v>0</v>
      </c>
      <c r="V26" s="20">
        <f t="shared" si="5"/>
        <v>0</v>
      </c>
      <c r="W26" s="23">
        <v>40322</v>
      </c>
    </row>
    <row r="27" spans="1:24">
      <c r="A27" s="39"/>
      <c r="B27" s="86" t="s">
        <v>23</v>
      </c>
      <c r="C27" s="62" t="s">
        <v>38</v>
      </c>
      <c r="D27" s="62" t="s">
        <v>39</v>
      </c>
      <c r="E27" s="87" t="s">
        <v>40</v>
      </c>
      <c r="F27" s="25">
        <v>18989.349999999999</v>
      </c>
      <c r="G27" s="83">
        <v>19155.580000000002</v>
      </c>
      <c r="H27" s="18">
        <f t="shared" si="4"/>
        <v>166.2300000000032</v>
      </c>
      <c r="I27" s="17" t="s">
        <v>69</v>
      </c>
      <c r="J27" s="26" t="s">
        <v>42</v>
      </c>
      <c r="K27" s="19">
        <v>40315</v>
      </c>
      <c r="L27" s="19">
        <v>40316</v>
      </c>
      <c r="M27" s="17" t="s">
        <v>43</v>
      </c>
      <c r="N27" s="17" t="s">
        <v>70</v>
      </c>
      <c r="O27" s="20"/>
      <c r="P27" s="21">
        <v>0.93</v>
      </c>
      <c r="Q27" s="20">
        <v>18560</v>
      </c>
      <c r="R27" s="36">
        <v>7200</v>
      </c>
      <c r="S27" s="22">
        <v>12.5</v>
      </c>
      <c r="T27" s="20">
        <v>0.1</v>
      </c>
      <c r="U27" s="20">
        <f>IF(O27&gt;0,O27,((P27*2.2046*S27)+(Q27+R27)/F27)+T27)</f>
        <v>27.085024855576947</v>
      </c>
      <c r="V27" s="20">
        <f>U27*F27</f>
        <v>514327.01674125006</v>
      </c>
      <c r="W27" s="23">
        <v>40317</v>
      </c>
    </row>
    <row r="28" spans="1:24">
      <c r="A28" s="39"/>
      <c r="B28" s="86" t="s">
        <v>23</v>
      </c>
      <c r="C28" s="62" t="s">
        <v>45</v>
      </c>
      <c r="D28" s="62" t="s">
        <v>45</v>
      </c>
      <c r="E28" s="87" t="s">
        <v>46</v>
      </c>
      <c r="F28" s="25">
        <v>18273.82</v>
      </c>
      <c r="G28" s="18">
        <v>18317.47</v>
      </c>
      <c r="H28" s="18">
        <f t="shared" si="4"/>
        <v>43.650000000001455</v>
      </c>
      <c r="I28" t="s">
        <v>71</v>
      </c>
      <c r="J28" s="26" t="s">
        <v>42</v>
      </c>
      <c r="K28" s="19">
        <v>40315</v>
      </c>
      <c r="L28" s="19">
        <v>40316</v>
      </c>
      <c r="M28" s="17" t="s">
        <v>43</v>
      </c>
      <c r="N28" s="17" t="s">
        <v>70</v>
      </c>
      <c r="O28" s="20"/>
      <c r="P28" s="21">
        <v>0.93</v>
      </c>
      <c r="Q28" s="20">
        <v>18560</v>
      </c>
      <c r="R28" s="36">
        <v>7200</v>
      </c>
      <c r="S28" s="22">
        <v>12.5</v>
      </c>
      <c r="T28" s="20">
        <v>0.1</v>
      </c>
      <c r="U28" s="20">
        <f>IF(O28&gt;0,O28,((P28*2.2046*S28)+(Q28+R28)/F28)+T28)</f>
        <v>27.138141944295175</v>
      </c>
      <c r="V28" s="20">
        <f t="shared" si="5"/>
        <v>495917.52102450002</v>
      </c>
      <c r="W28" s="23">
        <v>40317</v>
      </c>
    </row>
    <row r="29" spans="1:24">
      <c r="A29" s="39"/>
      <c r="B29" s="16" t="s">
        <v>34</v>
      </c>
      <c r="C29" s="17" t="s">
        <v>54</v>
      </c>
      <c r="D29" s="17" t="s">
        <v>55</v>
      </c>
      <c r="E29" s="17" t="s">
        <v>56</v>
      </c>
      <c r="F29" s="25"/>
      <c r="G29" s="18"/>
      <c r="H29" s="18">
        <f t="shared" si="4"/>
        <v>0</v>
      </c>
      <c r="J29" s="17"/>
      <c r="K29" s="19"/>
      <c r="L29" s="19">
        <v>40318</v>
      </c>
      <c r="M29" s="17" t="s">
        <v>58</v>
      </c>
      <c r="N29" s="17"/>
      <c r="O29" s="20"/>
      <c r="P29" s="21"/>
      <c r="Q29" s="20"/>
      <c r="R29" s="20"/>
      <c r="S29" s="24"/>
      <c r="T29" s="20"/>
      <c r="U29" s="20" t="e">
        <f>IF(O29&gt;0,O29,((P29*2.2046*S29)+(Q29+R29)/F29)+T29)</f>
        <v>#DIV/0!</v>
      </c>
      <c r="V29" s="20" t="e">
        <f t="shared" si="5"/>
        <v>#DIV/0!</v>
      </c>
      <c r="W29" s="23">
        <v>40325</v>
      </c>
    </row>
    <row r="30" spans="1:24">
      <c r="A30" s="39"/>
      <c r="B30" s="84" t="s">
        <v>23</v>
      </c>
      <c r="C30" s="85" t="s">
        <v>24</v>
      </c>
      <c r="D30" s="85" t="s">
        <v>25</v>
      </c>
      <c r="E30" s="17"/>
      <c r="F30" s="25"/>
      <c r="G30" s="18"/>
      <c r="H30" s="18">
        <f t="shared" si="4"/>
        <v>0</v>
      </c>
      <c r="I30" s="1"/>
      <c r="J30" s="17"/>
      <c r="K30" s="19">
        <v>40317</v>
      </c>
      <c r="L30" s="19">
        <v>40319</v>
      </c>
      <c r="M30" s="17" t="s">
        <v>59</v>
      </c>
      <c r="N30" s="17" t="s">
        <v>72</v>
      </c>
      <c r="O30" s="20"/>
      <c r="P30" s="24">
        <v>0.96</v>
      </c>
      <c r="Q30" s="20"/>
      <c r="R30" s="20"/>
      <c r="S30" s="22">
        <v>12.5</v>
      </c>
      <c r="T30" s="20"/>
      <c r="U30" s="20">
        <f>P30/0.4536*S30</f>
        <v>26.455026455026452</v>
      </c>
      <c r="V30" s="20">
        <f t="shared" si="5"/>
        <v>0</v>
      </c>
      <c r="W30" s="23">
        <v>40319</v>
      </c>
    </row>
    <row r="31" spans="1:24">
      <c r="A31" s="39"/>
      <c r="B31" s="16"/>
      <c r="C31" s="17"/>
      <c r="D31" s="17"/>
      <c r="E31" s="17"/>
      <c r="F31" s="18"/>
      <c r="G31" s="18"/>
      <c r="H31" s="18">
        <f t="shared" si="4"/>
        <v>0</v>
      </c>
      <c r="I31" s="1"/>
      <c r="J31" s="17"/>
      <c r="K31" s="19"/>
      <c r="L31" s="19"/>
      <c r="M31" s="17"/>
      <c r="N31" s="17"/>
      <c r="O31" s="20"/>
      <c r="P31" s="21"/>
      <c r="Q31" s="20"/>
      <c r="R31" s="20"/>
      <c r="S31" s="24"/>
      <c r="T31" s="20"/>
      <c r="U31" s="20" t="e">
        <f>IF(O31&gt;0,O31,((P31*2.2046*S31)+(Q31+R31)/F31)+T31)</f>
        <v>#DIV/0!</v>
      </c>
      <c r="V31" s="20" t="e">
        <f t="shared" si="5"/>
        <v>#DIV/0!</v>
      </c>
      <c r="W31" s="23"/>
    </row>
    <row r="32" spans="1:24" ht="13.5" thickBot="1">
      <c r="A32" s="39"/>
      <c r="B32" s="38"/>
      <c r="C32" s="9"/>
      <c r="D32" s="9"/>
      <c r="E32" s="9"/>
      <c r="F32" s="10"/>
      <c r="G32" s="10"/>
      <c r="H32" s="10"/>
      <c r="I32" s="10"/>
      <c r="J32" s="9"/>
      <c r="K32" s="12"/>
      <c r="L32" s="12"/>
      <c r="M32" s="9"/>
      <c r="N32" s="9"/>
      <c r="O32" s="13"/>
      <c r="P32" s="14"/>
      <c r="Q32" s="13"/>
      <c r="R32" s="13"/>
      <c r="S32" s="13"/>
      <c r="T32" s="13"/>
      <c r="U32" s="13"/>
      <c r="V32" s="13"/>
      <c r="W32" s="35"/>
    </row>
    <row r="33" spans="1:23">
      <c r="A33" s="101"/>
      <c r="B33" s="16" t="s">
        <v>23</v>
      </c>
      <c r="C33" s="17" t="s">
        <v>24</v>
      </c>
      <c r="D33" s="17" t="s">
        <v>25</v>
      </c>
      <c r="E33" s="17"/>
      <c r="F33" s="25"/>
      <c r="G33" s="40"/>
      <c r="H33" s="40">
        <f t="shared" ref="H33:H40" si="6">G33-F33</f>
        <v>0</v>
      </c>
      <c r="I33" s="17"/>
      <c r="J33" s="17"/>
      <c r="K33" s="19">
        <v>40319</v>
      </c>
      <c r="L33" s="19">
        <v>40322</v>
      </c>
      <c r="M33" s="41" t="s">
        <v>27</v>
      </c>
      <c r="N33" s="17" t="s">
        <v>73</v>
      </c>
      <c r="O33" s="20"/>
      <c r="P33" s="21">
        <v>0.95</v>
      </c>
      <c r="Q33" s="20"/>
      <c r="R33" s="20"/>
      <c r="S33" s="22">
        <v>12.5</v>
      </c>
      <c r="T33" s="20"/>
      <c r="U33" s="20">
        <f>P33/0.4536*S33</f>
        <v>26.179453262786595</v>
      </c>
      <c r="V33" s="42">
        <f t="shared" ref="V33:V50" si="7">U33*F33</f>
        <v>0</v>
      </c>
      <c r="W33" s="23">
        <v>40322</v>
      </c>
    </row>
    <row r="34" spans="1:23">
      <c r="A34" s="101"/>
      <c r="B34" s="16" t="s">
        <v>34</v>
      </c>
      <c r="C34" s="17" t="s">
        <v>35</v>
      </c>
      <c r="D34" s="17" t="s">
        <v>36</v>
      </c>
      <c r="E34" s="17"/>
      <c r="F34" s="25"/>
      <c r="G34" s="18"/>
      <c r="H34" s="18">
        <f t="shared" si="6"/>
        <v>0</v>
      </c>
      <c r="I34" s="17"/>
      <c r="J34" s="17"/>
      <c r="K34" s="19"/>
      <c r="L34" s="19">
        <v>40322</v>
      </c>
      <c r="M34" s="17" t="s">
        <v>27</v>
      </c>
      <c r="N34" s="17"/>
      <c r="O34" s="20"/>
      <c r="P34" s="21"/>
      <c r="Q34" s="20"/>
      <c r="R34" s="20"/>
      <c r="S34" s="24"/>
      <c r="T34" s="20"/>
      <c r="U34" s="20" t="e">
        <f>IF(O34&gt;0,O34,((P34*2.2046*S34)+(Q34+R34)/F34)+T34)</f>
        <v>#DIV/0!</v>
      </c>
      <c r="V34" s="20" t="e">
        <f>U34*F34</f>
        <v>#DIV/0!</v>
      </c>
      <c r="W34" s="23">
        <v>40329</v>
      </c>
    </row>
    <row r="35" spans="1:23">
      <c r="A35" s="101"/>
      <c r="B35" s="16" t="s">
        <v>23</v>
      </c>
      <c r="C35" s="17" t="s">
        <v>38</v>
      </c>
      <c r="D35" s="17" t="s">
        <v>39</v>
      </c>
      <c r="E35" s="17"/>
      <c r="F35" s="25">
        <v>18500</v>
      </c>
      <c r="G35" s="18"/>
      <c r="H35" s="18">
        <f t="shared" si="6"/>
        <v>-18500</v>
      </c>
      <c r="I35" s="17" t="s">
        <v>74</v>
      </c>
      <c r="J35" s="26" t="s">
        <v>42</v>
      </c>
      <c r="K35" s="19">
        <v>40322</v>
      </c>
      <c r="L35" s="19">
        <v>40324</v>
      </c>
      <c r="M35" s="17" t="s">
        <v>43</v>
      </c>
      <c r="N35" s="17" t="s">
        <v>75</v>
      </c>
      <c r="O35" s="20"/>
      <c r="P35" s="21"/>
      <c r="Q35" s="20">
        <v>18560</v>
      </c>
      <c r="R35" s="36">
        <v>7200</v>
      </c>
      <c r="S35" s="22">
        <v>12.5</v>
      </c>
      <c r="T35" s="20">
        <v>0.1</v>
      </c>
      <c r="U35" s="20">
        <f>IF(O35&gt;0,O35,((P35*2.2046*S35)+(Q35+R35)/F35)+T35)</f>
        <v>1.4924324324324325</v>
      </c>
      <c r="V35" s="20">
        <f>U35*F35</f>
        <v>27610</v>
      </c>
      <c r="W35" s="23">
        <v>40324</v>
      </c>
    </row>
    <row r="36" spans="1:23">
      <c r="A36" s="101"/>
      <c r="B36" s="16" t="s">
        <v>23</v>
      </c>
      <c r="C36" s="17" t="s">
        <v>45</v>
      </c>
      <c r="D36" s="17" t="s">
        <v>45</v>
      </c>
      <c r="E36" s="17"/>
      <c r="F36" s="25">
        <v>18500</v>
      </c>
      <c r="G36" s="18"/>
      <c r="H36" s="18">
        <f t="shared" si="6"/>
        <v>-18500</v>
      </c>
      <c r="I36" t="s">
        <v>76</v>
      </c>
      <c r="J36" s="26" t="s">
        <v>42</v>
      </c>
      <c r="K36" s="19">
        <v>40322</v>
      </c>
      <c r="L36" s="19">
        <v>40324</v>
      </c>
      <c r="M36" s="17" t="s">
        <v>43</v>
      </c>
      <c r="N36" s="17" t="s">
        <v>75</v>
      </c>
      <c r="O36" s="20"/>
      <c r="P36" s="21"/>
      <c r="Q36" s="20">
        <v>18560</v>
      </c>
      <c r="R36" s="36">
        <v>7200</v>
      </c>
      <c r="S36" s="22">
        <v>12.5</v>
      </c>
      <c r="T36" s="20">
        <v>0.1</v>
      </c>
      <c r="U36" s="20">
        <f>IF(O36&gt;0,O36,((P36*2.2046*S36)+(Q36+R36)/F36)+T36)</f>
        <v>1.4924324324324325</v>
      </c>
      <c r="V36" s="20">
        <f t="shared" si="7"/>
        <v>27610</v>
      </c>
      <c r="W36" s="23">
        <v>40324</v>
      </c>
    </row>
    <row r="37" spans="1:23">
      <c r="A37" s="101"/>
      <c r="B37" s="16" t="s">
        <v>34</v>
      </c>
      <c r="C37" s="17" t="s">
        <v>54</v>
      </c>
      <c r="D37" s="17" t="s">
        <v>55</v>
      </c>
      <c r="E37" s="17" t="s">
        <v>56</v>
      </c>
      <c r="F37" s="25"/>
      <c r="G37" s="18"/>
      <c r="H37" s="18"/>
      <c r="J37" s="17"/>
      <c r="K37" s="19"/>
      <c r="L37" s="19">
        <v>40325</v>
      </c>
      <c r="M37" s="17" t="s">
        <v>58</v>
      </c>
      <c r="N37" s="17"/>
      <c r="O37" s="20"/>
      <c r="P37" s="21"/>
      <c r="Q37" s="20"/>
      <c r="R37" s="36"/>
      <c r="S37" s="22"/>
      <c r="T37" s="20"/>
      <c r="U37" s="20" t="e">
        <f>IF(O37&gt;0,O37,((P37*2.2046*S37)+(Q37+R37)/F37)+T37)</f>
        <v>#DIV/0!</v>
      </c>
      <c r="V37" s="20" t="e">
        <f>U37*F37</f>
        <v>#DIV/0!</v>
      </c>
      <c r="W37" s="23"/>
    </row>
    <row r="38" spans="1:23">
      <c r="A38" s="101"/>
      <c r="B38" s="16" t="s">
        <v>62</v>
      </c>
      <c r="C38" s="17" t="s">
        <v>39</v>
      </c>
      <c r="D38" s="17" t="s">
        <v>39</v>
      </c>
      <c r="E38" s="17"/>
      <c r="F38" s="25">
        <v>18500</v>
      </c>
      <c r="G38" s="18"/>
      <c r="H38" s="18">
        <f t="shared" si="6"/>
        <v>-18500</v>
      </c>
      <c r="I38" s="17" t="s">
        <v>77</v>
      </c>
      <c r="J38" s="26" t="s">
        <v>42</v>
      </c>
      <c r="K38" s="19">
        <v>40324</v>
      </c>
      <c r="L38" s="19">
        <v>40326</v>
      </c>
      <c r="M38" s="17" t="s">
        <v>59</v>
      </c>
      <c r="N38" s="17"/>
      <c r="O38" s="20"/>
      <c r="P38" s="21">
        <v>0.49</v>
      </c>
      <c r="Q38" s="20">
        <v>18560</v>
      </c>
      <c r="R38" s="36">
        <v>7200</v>
      </c>
      <c r="S38" s="22">
        <v>12.5</v>
      </c>
      <c r="T38" s="20">
        <v>0.1</v>
      </c>
      <c r="U38" s="20">
        <f>IF(O38&gt;0,O38,((P38*2.2046*S38)+(Q38+R38)/F38)+T38)</f>
        <v>14.995607432432433</v>
      </c>
      <c r="V38" s="20">
        <f>U38*F38</f>
        <v>277418.73749999999</v>
      </c>
      <c r="W38" s="23"/>
    </row>
    <row r="39" spans="1:23">
      <c r="A39" s="101"/>
      <c r="B39" s="16" t="s">
        <v>23</v>
      </c>
      <c r="C39" s="17" t="s">
        <v>24</v>
      </c>
      <c r="D39" s="17" t="s">
        <v>25</v>
      </c>
      <c r="E39" s="17"/>
      <c r="F39" s="25"/>
      <c r="G39" s="18"/>
      <c r="H39" s="18">
        <f t="shared" si="6"/>
        <v>0</v>
      </c>
      <c r="I39" s="1"/>
      <c r="J39" s="17"/>
      <c r="K39" s="19">
        <v>40324</v>
      </c>
      <c r="L39" s="19">
        <v>40326</v>
      </c>
      <c r="M39" s="17" t="s">
        <v>59</v>
      </c>
      <c r="N39" s="17" t="s">
        <v>78</v>
      </c>
      <c r="O39" s="20"/>
      <c r="P39" s="21"/>
      <c r="Q39" s="20"/>
      <c r="R39" s="20"/>
      <c r="S39" s="22">
        <v>12.5</v>
      </c>
      <c r="T39" s="20"/>
      <c r="U39" s="20">
        <f>P39/0.4536*S39</f>
        <v>0</v>
      </c>
      <c r="V39" s="20">
        <f t="shared" si="7"/>
        <v>0</v>
      </c>
      <c r="W39" s="23"/>
    </row>
    <row r="40" spans="1:23">
      <c r="A40" s="101"/>
      <c r="B40" s="16"/>
      <c r="C40" s="17"/>
      <c r="D40" s="17"/>
      <c r="E40" s="17"/>
      <c r="F40" s="25"/>
      <c r="G40" s="18"/>
      <c r="H40" s="18">
        <f t="shared" si="6"/>
        <v>0</v>
      </c>
      <c r="I40" s="1"/>
      <c r="J40" s="17"/>
      <c r="K40" s="19"/>
      <c r="L40" s="19"/>
      <c r="M40" s="17"/>
      <c r="N40" s="17"/>
      <c r="O40" s="20"/>
      <c r="P40" s="21"/>
      <c r="Q40" s="20"/>
      <c r="R40" s="20"/>
      <c r="S40" s="24"/>
      <c r="T40" s="20"/>
      <c r="U40" s="20"/>
      <c r="V40" s="20"/>
      <c r="W40" s="23"/>
    </row>
    <row r="41" spans="1:23" ht="13.5" thickBot="1">
      <c r="A41" s="101"/>
      <c r="B41" s="43"/>
      <c r="C41" s="10"/>
      <c r="D41" s="10"/>
      <c r="E41" s="10"/>
      <c r="F41" s="10"/>
      <c r="G41" s="10"/>
      <c r="H41" s="10"/>
      <c r="I41" s="11"/>
      <c r="J41" s="9"/>
      <c r="K41" s="12"/>
      <c r="L41" s="12"/>
      <c r="M41" s="9"/>
      <c r="N41" s="9"/>
      <c r="O41" s="13"/>
      <c r="P41" s="14"/>
      <c r="Q41" s="13"/>
      <c r="R41" s="13"/>
      <c r="S41" s="13"/>
      <c r="T41" s="13"/>
      <c r="U41" s="13"/>
      <c r="V41" s="13"/>
      <c r="W41" s="35"/>
    </row>
    <row r="42" spans="1:23">
      <c r="A42" s="102"/>
      <c r="B42" s="16" t="s">
        <v>23</v>
      </c>
      <c r="C42" s="17" t="s">
        <v>24</v>
      </c>
      <c r="D42" s="17" t="s">
        <v>25</v>
      </c>
      <c r="E42" s="17"/>
      <c r="F42" s="25"/>
      <c r="G42" s="18"/>
      <c r="H42" s="18">
        <f t="shared" ref="H42:H50" si="8">G42-F42</f>
        <v>0</v>
      </c>
      <c r="I42" s="17"/>
      <c r="J42" s="17"/>
      <c r="K42" s="19">
        <v>40326</v>
      </c>
      <c r="L42" s="19">
        <v>40329</v>
      </c>
      <c r="M42" s="17" t="s">
        <v>27</v>
      </c>
      <c r="N42" s="17" t="s">
        <v>79</v>
      </c>
      <c r="O42" s="20"/>
      <c r="P42" s="21"/>
      <c r="Q42" s="20"/>
      <c r="R42" s="20"/>
      <c r="S42" s="22">
        <v>12.5</v>
      </c>
      <c r="T42" s="20"/>
      <c r="U42" s="20">
        <f>P42/0.4536*S42</f>
        <v>0</v>
      </c>
      <c r="V42" s="20">
        <f t="shared" si="7"/>
        <v>0</v>
      </c>
      <c r="W42" s="23"/>
    </row>
    <row r="43" spans="1:23">
      <c r="A43" s="102"/>
      <c r="B43" s="16" t="s">
        <v>80</v>
      </c>
      <c r="C43" s="17" t="s">
        <v>39</v>
      </c>
      <c r="D43" s="17" t="s">
        <v>39</v>
      </c>
      <c r="E43" s="17" t="s">
        <v>81</v>
      </c>
      <c r="F43" s="25">
        <f>19980*0.4536</f>
        <v>9062.9279999999999</v>
      </c>
      <c r="G43" s="18"/>
      <c r="H43" s="18">
        <f t="shared" si="8"/>
        <v>-9062.9279999999999</v>
      </c>
      <c r="I43" s="17" t="s">
        <v>82</v>
      </c>
      <c r="J43" s="26" t="s">
        <v>42</v>
      </c>
      <c r="K43" s="19">
        <v>40326</v>
      </c>
      <c r="L43" s="19">
        <v>40329</v>
      </c>
      <c r="M43" s="17" t="s">
        <v>27</v>
      </c>
      <c r="N43" s="17"/>
      <c r="O43" s="20"/>
      <c r="P43" s="21">
        <v>1.01</v>
      </c>
      <c r="Q43" s="20">
        <f>18560*(F43/(F43+F44+F46))</f>
        <v>9733.039370078739</v>
      </c>
      <c r="R43" s="36">
        <f>6729.2*(F43/(F43+F44+F46))</f>
        <v>3528.8560629921258</v>
      </c>
      <c r="S43" s="22">
        <v>12.5</v>
      </c>
      <c r="T43" s="20">
        <v>0.1</v>
      </c>
      <c r="U43" s="20">
        <f>IF(O43&gt;0,O43,((P43*2.2046*S43)+(Q43+R43)/F43)+T43)</f>
        <v>29.396387456313334</v>
      </c>
      <c r="V43" s="20">
        <f t="shared" si="7"/>
        <v>266417.34297667089</v>
      </c>
      <c r="W43" s="23"/>
    </row>
    <row r="44" spans="1:23">
      <c r="A44" s="102"/>
      <c r="B44" s="16" t="s">
        <v>83</v>
      </c>
      <c r="C44" s="17" t="s">
        <v>39</v>
      </c>
      <c r="D44" s="17" t="s">
        <v>39</v>
      </c>
      <c r="E44" s="17" t="s">
        <v>84</v>
      </c>
      <c r="F44" s="25">
        <f>8220*0.4536</f>
        <v>3728.5920000000001</v>
      </c>
      <c r="G44" s="18"/>
      <c r="H44" s="18">
        <f t="shared" si="8"/>
        <v>-3728.5920000000001</v>
      </c>
      <c r="I44" s="17" t="s">
        <v>85</v>
      </c>
      <c r="J44" s="17"/>
      <c r="K44" s="19"/>
      <c r="L44" s="17" t="s">
        <v>85</v>
      </c>
      <c r="M44" s="17"/>
      <c r="O44" s="20"/>
      <c r="P44" s="21">
        <v>1.3</v>
      </c>
      <c r="Q44" s="20">
        <f>18560*(F44/(F44+F46+F43))</f>
        <v>4004.2834645669295</v>
      </c>
      <c r="R44" s="36">
        <f>6729.2*(F44/(F44+F46+F43))</f>
        <v>1451.8116535433071</v>
      </c>
      <c r="S44" s="22">
        <v>12.5</v>
      </c>
      <c r="T44" s="20">
        <v>0.1</v>
      </c>
      <c r="U44" s="20">
        <f>IF(O44&gt;0,O44,((P44*2.2046*S44)+(Q44+R44)/F44)+T44)</f>
        <v>37.388062456313342</v>
      </c>
      <c r="V44" s="20">
        <f t="shared" si="7"/>
        <v>139404.83057011029</v>
      </c>
      <c r="W44" s="23"/>
    </row>
    <row r="45" spans="1:23">
      <c r="A45" s="102"/>
      <c r="B45" s="16"/>
      <c r="C45" s="17"/>
      <c r="D45" s="17"/>
      <c r="E45" s="17"/>
      <c r="F45" s="25"/>
      <c r="G45" s="18"/>
      <c r="H45" s="18"/>
      <c r="I45" s="17"/>
      <c r="J45" s="17"/>
      <c r="K45" s="19"/>
      <c r="L45" s="17"/>
      <c r="M45" s="17"/>
      <c r="O45" s="20"/>
      <c r="P45" s="21"/>
      <c r="Q45" s="20"/>
      <c r="R45" s="36"/>
      <c r="S45" s="22"/>
      <c r="T45" s="20"/>
      <c r="U45" s="20"/>
      <c r="V45" s="20"/>
      <c r="W45" s="23"/>
    </row>
    <row r="46" spans="1:23">
      <c r="A46" s="102"/>
      <c r="B46" s="16" t="s">
        <v>49</v>
      </c>
      <c r="C46" s="17" t="s">
        <v>39</v>
      </c>
      <c r="D46" s="17" t="s">
        <v>39</v>
      </c>
      <c r="E46" s="17" t="s">
        <v>86</v>
      </c>
      <c r="F46" s="25">
        <f>9900*0.4536</f>
        <v>4490.6400000000003</v>
      </c>
      <c r="G46" s="18"/>
      <c r="H46" s="18">
        <f t="shared" si="8"/>
        <v>-4490.6400000000003</v>
      </c>
      <c r="I46" s="17" t="s">
        <v>85</v>
      </c>
      <c r="J46" s="17"/>
      <c r="K46" s="19"/>
      <c r="L46" s="17" t="s">
        <v>85</v>
      </c>
      <c r="M46" s="17"/>
      <c r="O46" s="20"/>
      <c r="P46" s="21">
        <v>1.1399999999999999</v>
      </c>
      <c r="Q46" s="20">
        <f>18560*(F46/(F46+F43+F44))</f>
        <v>4822.677165354331</v>
      </c>
      <c r="R46" s="36">
        <f>6729.2*(F46/(F46+F43+F44))</f>
        <v>1748.5322834645672</v>
      </c>
      <c r="S46" s="22">
        <v>12.5</v>
      </c>
      <c r="T46" s="20">
        <v>0.1</v>
      </c>
      <c r="U46" s="20">
        <f>IF(O46&gt;0,O46,((P46*2.2046*S46)+(Q46+R46)/F46)+T46)</f>
        <v>32.97886245631333</v>
      </c>
      <c r="V46" s="20">
        <f t="shared" si="7"/>
        <v>148096.19890081891</v>
      </c>
      <c r="W46" s="23"/>
    </row>
    <row r="47" spans="1:23">
      <c r="A47" s="102"/>
      <c r="B47" s="16" t="s">
        <v>23</v>
      </c>
      <c r="C47" s="17" t="s">
        <v>38</v>
      </c>
      <c r="D47" s="17" t="s">
        <v>39</v>
      </c>
      <c r="E47" s="17"/>
      <c r="F47" s="25">
        <v>18500</v>
      </c>
      <c r="G47" s="18"/>
      <c r="H47" s="18">
        <f t="shared" si="8"/>
        <v>-18500</v>
      </c>
      <c r="I47" s="17" t="s">
        <v>87</v>
      </c>
      <c r="J47" s="26" t="s">
        <v>42</v>
      </c>
      <c r="K47" s="19">
        <v>40329</v>
      </c>
      <c r="L47" s="19">
        <v>40331</v>
      </c>
      <c r="M47" s="17" t="s">
        <v>43</v>
      </c>
      <c r="N47" s="17" t="s">
        <v>88</v>
      </c>
      <c r="O47" s="20"/>
      <c r="P47" s="21"/>
      <c r="Q47" s="20">
        <v>18560</v>
      </c>
      <c r="R47" s="36">
        <v>7200</v>
      </c>
      <c r="S47" s="22">
        <v>12.5</v>
      </c>
      <c r="T47" s="20">
        <v>0.1</v>
      </c>
      <c r="U47" s="20">
        <f>IF(O47&gt;0,O47,((P47*2.2046*S47)+(Q47+R47)/F47)+T47)</f>
        <v>1.4924324324324325</v>
      </c>
      <c r="V47" s="20">
        <f>U47*F47</f>
        <v>27610</v>
      </c>
      <c r="W47" s="23"/>
    </row>
    <row r="48" spans="1:23">
      <c r="A48" s="102"/>
      <c r="B48" s="16" t="s">
        <v>23</v>
      </c>
      <c r="C48" s="17" t="s">
        <v>45</v>
      </c>
      <c r="D48" s="17" t="s">
        <v>45</v>
      </c>
      <c r="E48" s="17"/>
      <c r="F48" s="25">
        <v>18500</v>
      </c>
      <c r="G48" s="18"/>
      <c r="H48" s="18">
        <f t="shared" si="8"/>
        <v>-18500</v>
      </c>
      <c r="I48" t="s">
        <v>89</v>
      </c>
      <c r="J48" s="26" t="s">
        <v>42</v>
      </c>
      <c r="K48" s="19">
        <v>40329</v>
      </c>
      <c r="L48" s="19">
        <v>40331</v>
      </c>
      <c r="M48" s="17" t="s">
        <v>43</v>
      </c>
      <c r="N48" s="17" t="s">
        <v>88</v>
      </c>
      <c r="O48" s="20"/>
      <c r="P48" s="21"/>
      <c r="Q48" s="20">
        <v>18560</v>
      </c>
      <c r="R48" s="36">
        <v>7200</v>
      </c>
      <c r="S48" s="22">
        <v>12.5</v>
      </c>
      <c r="T48" s="20">
        <v>0.1</v>
      </c>
      <c r="U48" s="20">
        <f>IF(O48&gt;0,O48,((P48*2.2046*S48)+(Q48+R48)/F48)+T48)</f>
        <v>1.4924324324324325</v>
      </c>
      <c r="V48" s="20">
        <f t="shared" si="7"/>
        <v>27610</v>
      </c>
      <c r="W48" s="23"/>
    </row>
    <row r="49" spans="1:23">
      <c r="A49" s="102"/>
      <c r="B49" s="16"/>
      <c r="C49" s="17"/>
      <c r="D49" s="17"/>
      <c r="E49" s="17"/>
      <c r="F49" s="25"/>
      <c r="G49" s="18"/>
      <c r="H49" s="18">
        <f t="shared" si="8"/>
        <v>0</v>
      </c>
      <c r="I49" s="17"/>
      <c r="J49" s="17"/>
      <c r="K49" s="19"/>
      <c r="L49" s="19"/>
      <c r="M49" s="17"/>
      <c r="N49" s="17"/>
      <c r="O49" s="20"/>
      <c r="P49" s="21"/>
      <c r="Q49" s="20"/>
      <c r="R49" s="20"/>
      <c r="S49" s="22">
        <v>12.5</v>
      </c>
      <c r="T49" s="20"/>
      <c r="U49" s="20">
        <f>P49/0.4536*S49</f>
        <v>0</v>
      </c>
      <c r="V49" s="20">
        <f t="shared" si="7"/>
        <v>0</v>
      </c>
      <c r="W49" s="23"/>
    </row>
    <row r="50" spans="1:23">
      <c r="A50" s="102"/>
      <c r="B50" s="16"/>
      <c r="C50" s="17"/>
      <c r="D50" s="17"/>
      <c r="E50" s="17"/>
      <c r="F50" s="18"/>
      <c r="G50" s="18"/>
      <c r="H50" s="18">
        <f t="shared" si="8"/>
        <v>0</v>
      </c>
      <c r="I50" s="1"/>
      <c r="J50" s="17"/>
      <c r="K50" s="19"/>
      <c r="L50" s="19"/>
      <c r="M50" s="17"/>
      <c r="N50" s="17"/>
      <c r="O50" s="20"/>
      <c r="P50" s="21"/>
      <c r="Q50" s="20"/>
      <c r="R50" s="20"/>
      <c r="S50" s="24"/>
      <c r="T50" s="20"/>
      <c r="U50" s="20" t="e">
        <f>IF(O50&gt;0,O50,((P50*2.2046*S50)+(Q50+R50)/F50)+T50)</f>
        <v>#DIV/0!</v>
      </c>
      <c r="V50" s="20" t="e">
        <f t="shared" si="7"/>
        <v>#DIV/0!</v>
      </c>
      <c r="W50" s="23"/>
    </row>
    <row r="51" spans="1:23" ht="13.5" thickBot="1">
      <c r="A51" s="102"/>
      <c r="B51" s="38"/>
      <c r="C51" s="9"/>
      <c r="D51" s="9"/>
      <c r="E51" s="9"/>
      <c r="F51" s="10"/>
      <c r="G51" s="10"/>
      <c r="H51" s="10"/>
      <c r="I51" s="11"/>
      <c r="J51" s="9"/>
      <c r="K51" s="12"/>
      <c r="L51" s="12"/>
      <c r="M51" s="9"/>
      <c r="N51" s="9"/>
      <c r="O51" s="13"/>
      <c r="P51" s="14"/>
      <c r="Q51" s="13"/>
      <c r="R51" s="13"/>
      <c r="S51" s="13"/>
      <c r="T51" s="13"/>
      <c r="U51" s="13"/>
      <c r="V51" s="13"/>
      <c r="W51" s="35"/>
    </row>
    <row r="52" spans="1:23">
      <c r="I52" s="1"/>
      <c r="J52" s="1"/>
      <c r="K52" s="1"/>
      <c r="L52" s="1"/>
      <c r="M52" s="6"/>
      <c r="N52" s="6"/>
      <c r="O52" s="6"/>
      <c r="P52" s="6"/>
      <c r="Q52" s="1"/>
      <c r="R52" s="1"/>
      <c r="S52" s="1"/>
      <c r="T52" s="1"/>
    </row>
    <row r="53" spans="1:23">
      <c r="E53" s="45"/>
      <c r="I53" s="1"/>
      <c r="J53" s="1"/>
      <c r="K53" s="1"/>
      <c r="L53" s="1"/>
      <c r="M53" s="6"/>
      <c r="N53" s="6"/>
      <c r="O53" s="6"/>
      <c r="P53" s="6"/>
      <c r="Q53" s="1"/>
      <c r="R53" s="1"/>
      <c r="S53" s="1"/>
      <c r="T53" s="1"/>
    </row>
    <row r="54" spans="1:23">
      <c r="I54" s="1"/>
      <c r="J54" s="1"/>
      <c r="K54" s="1"/>
      <c r="L54" s="1"/>
      <c r="M54" s="6"/>
      <c r="N54" s="6"/>
      <c r="O54" s="6"/>
      <c r="P54" s="6"/>
      <c r="Q54" s="1"/>
      <c r="R54" s="1"/>
      <c r="S54" s="1"/>
      <c r="T54" s="1"/>
    </row>
    <row r="55" spans="1:23">
      <c r="F55" s="46"/>
      <c r="I55" s="1"/>
      <c r="J55" s="1"/>
      <c r="K55" s="1"/>
      <c r="L55" s="1"/>
      <c r="M55" s="6"/>
      <c r="N55" s="6"/>
      <c r="O55" s="6"/>
      <c r="P55" s="6"/>
      <c r="Q55" s="1"/>
      <c r="R55" s="1"/>
      <c r="S55" s="1"/>
      <c r="T55" s="1"/>
    </row>
    <row r="56" spans="1:23">
      <c r="I56" s="1"/>
      <c r="J56" s="1"/>
      <c r="K56" s="1"/>
      <c r="L56" s="1"/>
      <c r="M56" s="6"/>
      <c r="O56" s="6"/>
      <c r="P56" s="6"/>
      <c r="Q56" s="1"/>
      <c r="R56" s="1"/>
      <c r="S56" s="1"/>
      <c r="T56" s="1"/>
    </row>
    <row r="57" spans="1:23">
      <c r="F57" s="46"/>
      <c r="I57" s="1"/>
      <c r="J57" s="1"/>
      <c r="K57" s="1"/>
      <c r="L57" s="1"/>
      <c r="M57" s="6"/>
    </row>
    <row r="58" spans="1:23">
      <c r="F58" s="46"/>
      <c r="I58" s="1"/>
      <c r="J58" s="1"/>
      <c r="K58" s="1"/>
      <c r="L58" s="1"/>
      <c r="M58" s="6"/>
    </row>
    <row r="59" spans="1:23">
      <c r="I59" s="1"/>
      <c r="J59" s="1"/>
      <c r="K59" s="1"/>
      <c r="L59" s="1"/>
      <c r="M59" s="6"/>
    </row>
    <row r="60" spans="1:23">
      <c r="I60" s="1"/>
      <c r="J60" s="1"/>
      <c r="K60" s="1"/>
      <c r="L60" s="1"/>
      <c r="M60" s="6"/>
    </row>
    <row r="61" spans="1:23">
      <c r="I61" s="1"/>
      <c r="J61" s="1"/>
      <c r="K61" s="1"/>
      <c r="L61" s="1"/>
      <c r="M61" s="6"/>
    </row>
  </sheetData>
  <mergeCells count="4">
    <mergeCell ref="A6:A9"/>
    <mergeCell ref="A14:A24"/>
    <mergeCell ref="A33:A41"/>
    <mergeCell ref="A42:A51"/>
  </mergeCells>
  <phoneticPr fontId="3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3"/>
  <sheetViews>
    <sheetView tabSelected="1" topLeftCell="A37" workbookViewId="0">
      <selection activeCell="D53" sqref="D53"/>
    </sheetView>
  </sheetViews>
  <sheetFormatPr baseColWidth="10" defaultRowHeight="12.75"/>
  <cols>
    <col min="1" max="1" width="5.5703125" bestFit="1" customWidth="1"/>
    <col min="2" max="2" width="3" bestFit="1" customWidth="1"/>
    <col min="3" max="3" width="13.85546875" bestFit="1" customWidth="1"/>
    <col min="4" max="4" width="28.5703125" customWidth="1"/>
    <col min="5" max="5" width="13.140625" customWidth="1"/>
    <col min="6" max="6" width="20" bestFit="1" customWidth="1"/>
    <col min="7" max="7" width="13.5703125" customWidth="1"/>
    <col min="8" max="8" width="14.140625" customWidth="1"/>
    <col min="9" max="9" width="13.42578125" customWidth="1"/>
    <col min="10" max="10" width="27.140625" bestFit="1" customWidth="1"/>
    <col min="11" max="11" width="26" bestFit="1" customWidth="1"/>
  </cols>
  <sheetData>
    <row r="1" spans="1:11">
      <c r="A1" t="s">
        <v>91</v>
      </c>
      <c r="B1">
        <v>19</v>
      </c>
      <c r="C1" s="69">
        <f>39825.28*G1</f>
        <v>500603.7696</v>
      </c>
      <c r="D1" s="69" t="s">
        <v>92</v>
      </c>
      <c r="E1" s="70" t="s">
        <v>93</v>
      </c>
      <c r="F1" s="69" t="s">
        <v>94</v>
      </c>
      <c r="G1" s="76">
        <v>12.57</v>
      </c>
      <c r="H1" s="71">
        <v>40308</v>
      </c>
      <c r="I1" s="64" t="s">
        <v>201</v>
      </c>
      <c r="J1" s="46" t="s">
        <v>95</v>
      </c>
      <c r="K1" s="46" t="s">
        <v>96</v>
      </c>
    </row>
    <row r="2" spans="1:11">
      <c r="A2" t="s">
        <v>97</v>
      </c>
      <c r="B2">
        <v>20</v>
      </c>
      <c r="C2" s="47"/>
      <c r="D2" s="47"/>
      <c r="E2" s="48"/>
      <c r="F2" s="47"/>
      <c r="G2" s="46"/>
      <c r="H2" s="46"/>
      <c r="I2" s="46"/>
      <c r="J2" s="46"/>
      <c r="K2" s="46"/>
    </row>
    <row r="3" spans="1:11">
      <c r="A3" t="s">
        <v>98</v>
      </c>
      <c r="B3">
        <v>21</v>
      </c>
      <c r="C3" s="50">
        <f>37301.4*G3</f>
        <v>455077.08</v>
      </c>
      <c r="D3" s="50" t="s">
        <v>99</v>
      </c>
      <c r="E3" s="51" t="s">
        <v>100</v>
      </c>
      <c r="F3" s="50" t="s">
        <v>101</v>
      </c>
      <c r="G3" s="52">
        <v>12.2</v>
      </c>
      <c r="H3" s="53">
        <v>40289</v>
      </c>
      <c r="I3" s="54" t="s">
        <v>102</v>
      </c>
      <c r="J3" s="46"/>
      <c r="K3" s="46"/>
    </row>
    <row r="4" spans="1:11">
      <c r="B4">
        <v>21</v>
      </c>
      <c r="C4" s="50">
        <f>36111.6*G4</f>
        <v>442186.54199999996</v>
      </c>
      <c r="D4" s="50" t="s">
        <v>103</v>
      </c>
      <c r="E4" s="51" t="s">
        <v>104</v>
      </c>
      <c r="F4" s="50" t="s">
        <v>105</v>
      </c>
      <c r="G4" s="52">
        <v>12.244999999999999</v>
      </c>
      <c r="H4" s="53">
        <v>40290</v>
      </c>
      <c r="I4" s="54" t="s">
        <v>106</v>
      </c>
      <c r="J4" s="46"/>
      <c r="K4" s="46"/>
    </row>
    <row r="5" spans="1:11">
      <c r="A5" s="1"/>
      <c r="B5" s="1">
        <v>21</v>
      </c>
      <c r="C5" s="69">
        <f>46474*G5</f>
        <v>584178.18000000005</v>
      </c>
      <c r="D5" s="69" t="s">
        <v>107</v>
      </c>
      <c r="E5" s="70" t="s">
        <v>108</v>
      </c>
      <c r="F5" s="69" t="s">
        <v>109</v>
      </c>
      <c r="G5" s="76">
        <v>12.57</v>
      </c>
      <c r="H5" s="72" t="s">
        <v>202</v>
      </c>
      <c r="I5" s="66" t="s">
        <v>203</v>
      </c>
      <c r="J5" s="55" t="s">
        <v>95</v>
      </c>
      <c r="K5" s="46" t="s">
        <v>96</v>
      </c>
    </row>
    <row r="6" spans="1:11">
      <c r="A6" t="s">
        <v>110</v>
      </c>
      <c r="B6">
        <v>22</v>
      </c>
      <c r="C6" s="47"/>
      <c r="D6" s="47"/>
      <c r="E6" s="48"/>
      <c r="F6" s="47"/>
      <c r="G6" s="46"/>
      <c r="H6" s="75"/>
      <c r="I6" s="46"/>
      <c r="J6" s="46"/>
      <c r="K6" s="46"/>
    </row>
    <row r="7" spans="1:11">
      <c r="A7" t="s">
        <v>111</v>
      </c>
      <c r="B7">
        <v>23</v>
      </c>
      <c r="C7" s="69">
        <f>46676.35*G7</f>
        <v>598390.80700000003</v>
      </c>
      <c r="D7" s="69" t="s">
        <v>112</v>
      </c>
      <c r="E7" s="70" t="s">
        <v>113</v>
      </c>
      <c r="F7" s="69" t="s">
        <v>114</v>
      </c>
      <c r="G7" s="76">
        <v>12.82</v>
      </c>
      <c r="H7" s="72">
        <v>40315</v>
      </c>
      <c r="I7" s="65" t="s">
        <v>211</v>
      </c>
      <c r="J7" s="46" t="s">
        <v>95</v>
      </c>
      <c r="K7" s="46" t="s">
        <v>96</v>
      </c>
    </row>
    <row r="8" spans="1:11">
      <c r="B8">
        <v>23</v>
      </c>
      <c r="C8" s="69">
        <v>532771.17000000004</v>
      </c>
      <c r="D8" s="69" t="s">
        <v>112</v>
      </c>
      <c r="E8" s="70" t="s">
        <v>115</v>
      </c>
      <c r="F8" s="69" t="s">
        <v>116</v>
      </c>
      <c r="G8" s="76">
        <v>12.641999999999999</v>
      </c>
      <c r="H8" s="72">
        <v>40316</v>
      </c>
      <c r="I8" s="81" t="s">
        <v>226</v>
      </c>
      <c r="J8" s="46" t="s">
        <v>95</v>
      </c>
      <c r="K8" s="46" t="s">
        <v>96</v>
      </c>
    </row>
    <row r="9" spans="1:11">
      <c r="A9" s="56" t="s">
        <v>117</v>
      </c>
      <c r="B9">
        <v>24</v>
      </c>
      <c r="C9" s="47"/>
      <c r="D9" s="47"/>
      <c r="E9" s="48"/>
      <c r="F9" s="47"/>
      <c r="G9" s="46"/>
      <c r="H9" s="46"/>
      <c r="I9" s="46"/>
      <c r="J9" s="46"/>
      <c r="K9" s="46"/>
    </row>
    <row r="10" spans="1:11">
      <c r="A10" s="56" t="s">
        <v>118</v>
      </c>
      <c r="B10">
        <v>25</v>
      </c>
      <c r="C10" s="47"/>
      <c r="D10" s="47"/>
      <c r="E10" s="48"/>
      <c r="F10" s="47"/>
      <c r="G10" s="46"/>
      <c r="H10" s="46"/>
      <c r="I10" s="46"/>
      <c r="J10" s="46"/>
      <c r="K10" s="46"/>
    </row>
    <row r="11" spans="1:11">
      <c r="A11" t="s">
        <v>91</v>
      </c>
      <c r="B11">
        <v>26</v>
      </c>
      <c r="C11" s="46">
        <f>46705.8*G11</f>
        <v>607175.4</v>
      </c>
      <c r="D11" s="46" t="s">
        <v>119</v>
      </c>
      <c r="E11" s="57" t="s">
        <v>120</v>
      </c>
      <c r="F11" s="46" t="s">
        <v>121</v>
      </c>
      <c r="G11" s="49">
        <v>13</v>
      </c>
      <c r="H11" s="46"/>
      <c r="I11" s="46"/>
      <c r="J11" s="46" t="s">
        <v>95</v>
      </c>
      <c r="K11" s="46" t="s">
        <v>96</v>
      </c>
    </row>
    <row r="12" spans="1:11">
      <c r="A12" t="s">
        <v>97</v>
      </c>
      <c r="B12">
        <v>27</v>
      </c>
      <c r="C12" s="50">
        <v>78327.929999999993</v>
      </c>
      <c r="D12" s="50" t="s">
        <v>55</v>
      </c>
      <c r="E12" s="51" t="s">
        <v>122</v>
      </c>
      <c r="F12" s="50" t="s">
        <v>123</v>
      </c>
      <c r="G12" s="53">
        <v>40297</v>
      </c>
      <c r="H12" s="54" t="s">
        <v>124</v>
      </c>
      <c r="I12" s="46"/>
      <c r="J12" s="46"/>
      <c r="K12" s="46"/>
    </row>
    <row r="13" spans="1:11">
      <c r="A13" t="s">
        <v>98</v>
      </c>
      <c r="B13">
        <v>28</v>
      </c>
      <c r="C13" s="50">
        <f>38374.12*G13</f>
        <v>475608.84328000003</v>
      </c>
      <c r="D13" s="50" t="s">
        <v>125</v>
      </c>
      <c r="E13" s="51" t="s">
        <v>126</v>
      </c>
      <c r="F13" s="50" t="s">
        <v>127</v>
      </c>
      <c r="G13" s="52">
        <v>12.394</v>
      </c>
      <c r="H13" s="53">
        <v>40296</v>
      </c>
      <c r="I13" s="54" t="s">
        <v>128</v>
      </c>
      <c r="J13" s="46"/>
      <c r="K13" s="46"/>
    </row>
    <row r="14" spans="1:11">
      <c r="B14">
        <v>28</v>
      </c>
      <c r="C14" s="50">
        <f>36439.2*G14</f>
        <v>447655.57199999999</v>
      </c>
      <c r="D14" s="50" t="s">
        <v>129</v>
      </c>
      <c r="E14" s="51" t="s">
        <v>130</v>
      </c>
      <c r="F14" s="50" t="s">
        <v>131</v>
      </c>
      <c r="G14" s="52">
        <v>12.285</v>
      </c>
      <c r="H14" s="53">
        <v>40297</v>
      </c>
      <c r="I14" s="54" t="s">
        <v>132</v>
      </c>
      <c r="J14" s="46"/>
      <c r="K14" s="46"/>
    </row>
    <row r="15" spans="1:11">
      <c r="A15" t="s">
        <v>110</v>
      </c>
      <c r="B15">
        <v>29</v>
      </c>
      <c r="C15" s="47"/>
      <c r="D15" s="47"/>
      <c r="E15" s="48"/>
      <c r="F15" s="47"/>
      <c r="G15" s="46" t="s">
        <v>133</v>
      </c>
      <c r="H15" s="46"/>
      <c r="I15" s="46"/>
      <c r="J15" s="46"/>
      <c r="K15" s="46"/>
    </row>
    <row r="16" spans="1:11">
      <c r="A16" t="s">
        <v>111</v>
      </c>
      <c r="B16">
        <v>30</v>
      </c>
      <c r="C16" s="50">
        <v>65501.760000000002</v>
      </c>
      <c r="D16" s="50" t="s">
        <v>134</v>
      </c>
      <c r="E16" s="51" t="s">
        <v>135</v>
      </c>
      <c r="F16" s="50" t="s">
        <v>136</v>
      </c>
      <c r="G16" s="53">
        <v>40302</v>
      </c>
      <c r="H16" s="54" t="s">
        <v>137</v>
      </c>
      <c r="I16" s="46"/>
      <c r="J16" s="46"/>
      <c r="K16" s="46"/>
    </row>
    <row r="17" spans="1:11">
      <c r="B17">
        <v>30</v>
      </c>
      <c r="C17" s="47">
        <f>42396.6*G17</f>
        <v>551155.79999999993</v>
      </c>
      <c r="D17" s="47" t="s">
        <v>138</v>
      </c>
      <c r="E17" s="48" t="s">
        <v>139</v>
      </c>
      <c r="F17" s="47" t="s">
        <v>140</v>
      </c>
      <c r="G17" s="49">
        <v>13</v>
      </c>
      <c r="H17" s="46"/>
      <c r="I17" s="46"/>
      <c r="J17" s="46" t="s">
        <v>95</v>
      </c>
      <c r="K17" s="46" t="s">
        <v>96</v>
      </c>
    </row>
    <row r="18" spans="1:11">
      <c r="A18" t="s">
        <v>141</v>
      </c>
      <c r="C18" s="47"/>
      <c r="D18" s="47"/>
      <c r="E18" s="48"/>
      <c r="F18" s="47"/>
      <c r="G18" s="46"/>
      <c r="H18" s="46"/>
      <c r="I18" s="46"/>
      <c r="J18" s="46"/>
      <c r="K18" s="46"/>
    </row>
    <row r="19" spans="1:11">
      <c r="A19" s="56" t="s">
        <v>117</v>
      </c>
      <c r="B19">
        <v>1</v>
      </c>
      <c r="C19" s="46"/>
      <c r="D19" s="46"/>
      <c r="E19" s="57"/>
      <c r="F19" s="46"/>
      <c r="G19" s="46"/>
      <c r="H19" s="46"/>
      <c r="I19" s="46"/>
      <c r="J19" s="46"/>
      <c r="K19" s="46"/>
    </row>
    <row r="20" spans="1:11">
      <c r="A20" s="56" t="s">
        <v>118</v>
      </c>
      <c r="B20">
        <v>2</v>
      </c>
      <c r="C20" s="46"/>
      <c r="D20" s="46"/>
      <c r="E20" s="57"/>
      <c r="F20" s="46"/>
      <c r="G20" s="46"/>
      <c r="H20" s="46"/>
      <c r="I20" s="46"/>
      <c r="J20" s="46"/>
      <c r="K20" s="46"/>
    </row>
    <row r="21" spans="1:11">
      <c r="A21" t="s">
        <v>91</v>
      </c>
      <c r="B21">
        <v>3</v>
      </c>
      <c r="C21" s="66">
        <f>41661.3*G21</f>
        <v>546596.25600000005</v>
      </c>
      <c r="D21" s="66" t="s">
        <v>142</v>
      </c>
      <c r="E21" s="67">
        <v>53084</v>
      </c>
      <c r="F21" s="66" t="s">
        <v>143</v>
      </c>
      <c r="G21" s="76">
        <v>13.12</v>
      </c>
      <c r="H21" s="71">
        <v>40318</v>
      </c>
      <c r="I21" s="66" t="s">
        <v>243</v>
      </c>
      <c r="J21" s="46" t="s">
        <v>95</v>
      </c>
      <c r="K21" s="46" t="s">
        <v>96</v>
      </c>
    </row>
    <row r="22" spans="1:11">
      <c r="A22" t="s">
        <v>97</v>
      </c>
      <c r="B22">
        <v>4</v>
      </c>
      <c r="C22" s="46"/>
      <c r="D22" s="46"/>
      <c r="E22" s="57"/>
      <c r="F22" s="46"/>
      <c r="G22" s="46"/>
      <c r="H22" s="59"/>
      <c r="I22" s="46"/>
      <c r="J22" s="46"/>
      <c r="K22" s="46"/>
    </row>
    <row r="23" spans="1:11">
      <c r="A23" t="s">
        <v>98</v>
      </c>
      <c r="B23">
        <v>5</v>
      </c>
      <c r="C23" s="54">
        <f>39859.76*G23</f>
        <v>506697.26912000001</v>
      </c>
      <c r="D23" s="54" t="s">
        <v>144</v>
      </c>
      <c r="E23" s="58" t="s">
        <v>145</v>
      </c>
      <c r="F23" s="54" t="s">
        <v>146</v>
      </c>
      <c r="G23" s="49">
        <v>12.712</v>
      </c>
      <c r="H23" s="59">
        <v>40303</v>
      </c>
      <c r="I23" s="46" t="s">
        <v>147</v>
      </c>
      <c r="J23" s="46"/>
      <c r="K23" s="46"/>
    </row>
    <row r="24" spans="1:11">
      <c r="B24">
        <v>5</v>
      </c>
      <c r="C24" s="54">
        <f>36955.48*G24</f>
        <v>469778.06176000001</v>
      </c>
      <c r="D24" s="54" t="s">
        <v>148</v>
      </c>
      <c r="E24" s="58" t="s">
        <v>149</v>
      </c>
      <c r="F24" s="54" t="s">
        <v>150</v>
      </c>
      <c r="G24" s="52">
        <v>12.712</v>
      </c>
      <c r="H24" s="53">
        <v>40303</v>
      </c>
      <c r="I24" s="54" t="s">
        <v>151</v>
      </c>
      <c r="J24" s="46"/>
      <c r="K24" s="46"/>
    </row>
    <row r="25" spans="1:11">
      <c r="A25" t="s">
        <v>110</v>
      </c>
      <c r="B25">
        <v>6</v>
      </c>
      <c r="C25" s="54">
        <v>281090.11</v>
      </c>
      <c r="D25" s="54" t="s">
        <v>152</v>
      </c>
      <c r="E25" s="58" t="s">
        <v>153</v>
      </c>
      <c r="F25" s="54" t="s">
        <v>154</v>
      </c>
      <c r="G25" s="53">
        <v>40304</v>
      </c>
      <c r="H25" s="54" t="s">
        <v>155</v>
      </c>
      <c r="I25" s="46"/>
      <c r="J25" s="46"/>
      <c r="K25" s="46"/>
    </row>
    <row r="26" spans="1:11">
      <c r="A26" t="s">
        <v>111</v>
      </c>
      <c r="B26">
        <v>7</v>
      </c>
      <c r="C26" s="46"/>
      <c r="D26" s="46" t="s">
        <v>156</v>
      </c>
      <c r="E26" s="57"/>
      <c r="F26" s="63" t="s">
        <v>237</v>
      </c>
      <c r="G26" s="49">
        <v>13</v>
      </c>
      <c r="H26" s="46"/>
      <c r="I26" s="46"/>
      <c r="J26" s="46" t="s">
        <v>95</v>
      </c>
      <c r="K26" s="46" t="s">
        <v>96</v>
      </c>
    </row>
    <row r="27" spans="1:11">
      <c r="A27" s="56" t="s">
        <v>117</v>
      </c>
      <c r="B27">
        <v>8</v>
      </c>
      <c r="C27" s="46"/>
      <c r="D27" s="46"/>
      <c r="E27" s="57"/>
      <c r="F27" s="46"/>
      <c r="G27" s="46"/>
      <c r="H27" s="46"/>
      <c r="I27" s="46"/>
      <c r="J27" s="46"/>
      <c r="K27" s="46"/>
    </row>
    <row r="28" spans="1:11">
      <c r="A28" s="56" t="s">
        <v>118</v>
      </c>
      <c r="B28">
        <v>9</v>
      </c>
      <c r="C28" s="46"/>
      <c r="D28" s="46"/>
      <c r="E28" s="57"/>
      <c r="F28" s="46"/>
      <c r="G28" s="46"/>
      <c r="H28" s="46"/>
      <c r="I28" s="46"/>
      <c r="J28" s="46"/>
      <c r="K28" s="46"/>
    </row>
    <row r="29" spans="1:11">
      <c r="A29" s="60" t="s">
        <v>91</v>
      </c>
      <c r="B29">
        <v>10</v>
      </c>
      <c r="C29" s="46">
        <v>489969.48</v>
      </c>
      <c r="D29" s="46" t="s">
        <v>157</v>
      </c>
      <c r="E29" s="57">
        <v>53146</v>
      </c>
      <c r="F29" s="63" t="s">
        <v>238</v>
      </c>
      <c r="G29" s="49">
        <v>13</v>
      </c>
      <c r="H29" s="46"/>
      <c r="I29" s="46"/>
      <c r="J29" s="46" t="s">
        <v>95</v>
      </c>
      <c r="K29" s="46" t="s">
        <v>96</v>
      </c>
    </row>
    <row r="30" spans="1:11">
      <c r="A30" s="60"/>
      <c r="B30">
        <v>10</v>
      </c>
      <c r="C30" s="46">
        <v>627526.25</v>
      </c>
      <c r="D30" s="46" t="s">
        <v>158</v>
      </c>
      <c r="E30" s="57" t="s">
        <v>221</v>
      </c>
      <c r="F30" s="46" t="s">
        <v>219</v>
      </c>
      <c r="G30" s="49">
        <v>13</v>
      </c>
      <c r="H30" s="46"/>
      <c r="I30" s="46"/>
      <c r="J30" s="46" t="s">
        <v>95</v>
      </c>
      <c r="K30" s="46" t="s">
        <v>96</v>
      </c>
    </row>
    <row r="31" spans="1:11">
      <c r="A31" t="s">
        <v>91</v>
      </c>
      <c r="B31">
        <v>10</v>
      </c>
      <c r="C31" s="66">
        <v>309920</v>
      </c>
      <c r="D31" s="66" t="s">
        <v>159</v>
      </c>
      <c r="E31" s="73">
        <v>2950</v>
      </c>
      <c r="F31" s="66" t="s">
        <v>160</v>
      </c>
      <c r="G31" s="77" t="s">
        <v>204</v>
      </c>
      <c r="H31" s="74">
        <v>40309</v>
      </c>
      <c r="I31" s="46" t="s">
        <v>199</v>
      </c>
      <c r="J31" s="46"/>
      <c r="K31" s="46" t="s">
        <v>200</v>
      </c>
    </row>
    <row r="32" spans="1:11">
      <c r="B32">
        <v>10</v>
      </c>
      <c r="C32" s="66">
        <v>334919.03999999998</v>
      </c>
      <c r="D32" s="66" t="s">
        <v>161</v>
      </c>
      <c r="E32" s="67" t="s">
        <v>33</v>
      </c>
      <c r="F32" s="66" t="s">
        <v>136</v>
      </c>
      <c r="G32" s="78" t="s">
        <v>208</v>
      </c>
      <c r="H32" s="74">
        <v>40312</v>
      </c>
      <c r="I32" s="46"/>
      <c r="J32" s="46" t="s">
        <v>162</v>
      </c>
      <c r="K32" s="46" t="s">
        <v>163</v>
      </c>
    </row>
    <row r="33" spans="1:11">
      <c r="B33">
        <v>10</v>
      </c>
      <c r="C33" s="46"/>
      <c r="D33" s="46"/>
      <c r="E33" s="57"/>
      <c r="F33" s="46"/>
      <c r="G33" s="46"/>
      <c r="H33" s="46"/>
      <c r="I33" s="46"/>
      <c r="J33" s="46"/>
      <c r="K33" s="46"/>
    </row>
    <row r="34" spans="1:11">
      <c r="A34" t="s">
        <v>97</v>
      </c>
      <c r="B34">
        <v>11</v>
      </c>
      <c r="C34" s="66">
        <v>609403.36</v>
      </c>
      <c r="D34" s="66" t="s">
        <v>164</v>
      </c>
      <c r="E34" s="67" t="s">
        <v>165</v>
      </c>
      <c r="F34" s="66" t="s">
        <v>166</v>
      </c>
      <c r="G34" s="65" t="s">
        <v>254</v>
      </c>
      <c r="H34" s="68">
        <v>40315</v>
      </c>
      <c r="I34" s="94" t="s">
        <v>167</v>
      </c>
      <c r="J34" s="46" t="s">
        <v>168</v>
      </c>
      <c r="K34" s="46" t="s">
        <v>169</v>
      </c>
    </row>
    <row r="35" spans="1:11">
      <c r="A35" t="s">
        <v>98</v>
      </c>
      <c r="B35">
        <v>12</v>
      </c>
      <c r="C35" s="66">
        <v>474448.89</v>
      </c>
      <c r="D35" s="66" t="s">
        <v>170</v>
      </c>
      <c r="E35" s="67" t="s">
        <v>205</v>
      </c>
      <c r="F35" s="66" t="s">
        <v>206</v>
      </c>
      <c r="G35" s="76">
        <v>12.49</v>
      </c>
      <c r="H35" s="68">
        <v>40310</v>
      </c>
      <c r="I35" s="65" t="s">
        <v>244</v>
      </c>
      <c r="J35" s="46" t="s">
        <v>95</v>
      </c>
      <c r="K35" s="46" t="s">
        <v>96</v>
      </c>
    </row>
    <row r="36" spans="1:11">
      <c r="B36">
        <v>12</v>
      </c>
      <c r="C36" s="66">
        <v>474277.68</v>
      </c>
      <c r="D36" s="66" t="s">
        <v>171</v>
      </c>
      <c r="E36" s="82">
        <v>91189633</v>
      </c>
      <c r="F36" s="65" t="s">
        <v>207</v>
      </c>
      <c r="G36" s="76">
        <v>12.4</v>
      </c>
      <c r="H36" s="68">
        <v>40311</v>
      </c>
      <c r="I36" s="65" t="s">
        <v>245</v>
      </c>
      <c r="J36" s="46" t="s">
        <v>95</v>
      </c>
      <c r="K36" s="46" t="s">
        <v>96</v>
      </c>
    </row>
    <row r="37" spans="1:11">
      <c r="B37">
        <v>12</v>
      </c>
      <c r="C37" s="66">
        <v>256297.44</v>
      </c>
      <c r="D37" s="66" t="s">
        <v>172</v>
      </c>
      <c r="E37" s="67" t="s">
        <v>173</v>
      </c>
      <c r="F37" s="65" t="s">
        <v>210</v>
      </c>
      <c r="G37" s="76">
        <v>12.82</v>
      </c>
      <c r="H37" s="68">
        <v>40315</v>
      </c>
      <c r="I37" s="65" t="s">
        <v>246</v>
      </c>
      <c r="J37" s="46" t="s">
        <v>95</v>
      </c>
      <c r="K37" s="46" t="s">
        <v>96</v>
      </c>
    </row>
    <row r="38" spans="1:11">
      <c r="A38" t="s">
        <v>110</v>
      </c>
      <c r="B38">
        <v>13</v>
      </c>
      <c r="C38" s="66">
        <v>38774.89</v>
      </c>
      <c r="D38" s="66" t="s">
        <v>174</v>
      </c>
      <c r="E38" s="67" t="s">
        <v>209</v>
      </c>
      <c r="F38" s="66" t="s">
        <v>175</v>
      </c>
      <c r="G38" s="97"/>
      <c r="H38" s="68">
        <v>40312</v>
      </c>
      <c r="I38" s="65" t="s">
        <v>253</v>
      </c>
      <c r="J38" s="46" t="s">
        <v>176</v>
      </c>
      <c r="K38" s="46" t="s">
        <v>177</v>
      </c>
    </row>
    <row r="39" spans="1:11">
      <c r="B39">
        <v>13</v>
      </c>
      <c r="C39" s="66">
        <v>283525.92</v>
      </c>
      <c r="D39" s="66" t="s">
        <v>178</v>
      </c>
      <c r="E39" s="67" t="s">
        <v>57</v>
      </c>
      <c r="F39" s="66" t="s">
        <v>179</v>
      </c>
      <c r="G39" s="97"/>
      <c r="H39" s="68">
        <v>40315</v>
      </c>
      <c r="I39" s="65" t="s">
        <v>252</v>
      </c>
      <c r="J39" s="46" t="s">
        <v>180</v>
      </c>
      <c r="K39" s="46" t="s">
        <v>181</v>
      </c>
    </row>
    <row r="40" spans="1:11">
      <c r="A40" t="s">
        <v>111</v>
      </c>
      <c r="B40">
        <v>14</v>
      </c>
      <c r="C40" s="46">
        <v>536167.31999999995</v>
      </c>
      <c r="D40" s="46" t="s">
        <v>182</v>
      </c>
      <c r="E40" s="57" t="s">
        <v>222</v>
      </c>
      <c r="F40" s="46" t="s">
        <v>223</v>
      </c>
      <c r="G40" s="49">
        <v>13</v>
      </c>
      <c r="H40" s="46"/>
      <c r="I40" s="46"/>
      <c r="J40" s="46" t="s">
        <v>95</v>
      </c>
      <c r="K40" s="46" t="s">
        <v>96</v>
      </c>
    </row>
    <row r="41" spans="1:11">
      <c r="A41" s="56" t="s">
        <v>117</v>
      </c>
      <c r="B41">
        <v>15</v>
      </c>
      <c r="C41" s="46">
        <v>327275</v>
      </c>
      <c r="D41" s="103" t="s">
        <v>239</v>
      </c>
      <c r="E41" s="57" t="s">
        <v>240</v>
      </c>
      <c r="F41" s="46" t="s">
        <v>241</v>
      </c>
      <c r="G41" s="46"/>
      <c r="H41" s="46"/>
      <c r="I41" s="46" t="s">
        <v>199</v>
      </c>
      <c r="J41" s="46"/>
      <c r="K41" s="46" t="s">
        <v>200</v>
      </c>
    </row>
    <row r="42" spans="1:11">
      <c r="A42" s="56" t="s">
        <v>118</v>
      </c>
      <c r="B42">
        <v>16</v>
      </c>
      <c r="C42" s="46"/>
      <c r="D42" s="46"/>
      <c r="E42" s="57"/>
      <c r="F42" s="46"/>
      <c r="G42" s="46"/>
      <c r="H42" s="46"/>
      <c r="I42" s="46"/>
      <c r="J42" s="46"/>
      <c r="K42" s="46"/>
    </row>
    <row r="43" spans="1:11">
      <c r="A43" t="s">
        <v>91</v>
      </c>
      <c r="B43">
        <v>17</v>
      </c>
      <c r="C43" s="47">
        <v>594308.13</v>
      </c>
      <c r="D43" s="47" t="s">
        <v>183</v>
      </c>
      <c r="E43" s="57" t="s">
        <v>224</v>
      </c>
      <c r="F43" s="46" t="s">
        <v>225</v>
      </c>
      <c r="G43" s="49">
        <v>13</v>
      </c>
      <c r="H43" s="46"/>
      <c r="J43" s="46"/>
    </row>
    <row r="44" spans="1:11">
      <c r="B44">
        <v>17</v>
      </c>
      <c r="C44" s="69">
        <v>305760</v>
      </c>
      <c r="D44" s="69" t="s">
        <v>184</v>
      </c>
      <c r="E44" s="67" t="s">
        <v>235</v>
      </c>
      <c r="F44" s="66" t="s">
        <v>179</v>
      </c>
      <c r="G44" s="65" t="s">
        <v>212</v>
      </c>
      <c r="H44" s="68">
        <v>40315</v>
      </c>
      <c r="I44" s="46" t="s">
        <v>199</v>
      </c>
      <c r="J44" s="46"/>
      <c r="K44" s="46" t="s">
        <v>200</v>
      </c>
    </row>
    <row r="45" spans="1:11">
      <c r="A45" t="s">
        <v>97</v>
      </c>
      <c r="B45">
        <v>18</v>
      </c>
      <c r="C45" s="47">
        <v>333121.18</v>
      </c>
      <c r="D45" s="47" t="s">
        <v>185</v>
      </c>
      <c r="E45" s="57" t="s">
        <v>186</v>
      </c>
      <c r="F45" s="46" t="s">
        <v>187</v>
      </c>
      <c r="G45" s="46"/>
      <c r="H45" s="93"/>
      <c r="I45" s="46"/>
      <c r="J45" s="46" t="s">
        <v>188</v>
      </c>
      <c r="K45" s="46" t="s">
        <v>181</v>
      </c>
    </row>
    <row r="46" spans="1:11">
      <c r="A46" t="s">
        <v>98</v>
      </c>
      <c r="B46">
        <v>19</v>
      </c>
      <c r="C46" s="95">
        <v>510657.42</v>
      </c>
      <c r="D46" s="95" t="s">
        <v>189</v>
      </c>
      <c r="E46" s="96" t="s">
        <v>227</v>
      </c>
      <c r="F46" s="97" t="s">
        <v>228</v>
      </c>
      <c r="G46" s="49">
        <v>13</v>
      </c>
      <c r="H46" s="93"/>
      <c r="I46" s="46"/>
      <c r="J46" s="46" t="s">
        <v>95</v>
      </c>
      <c r="K46" s="46" t="s">
        <v>96</v>
      </c>
    </row>
    <row r="47" spans="1:11">
      <c r="B47">
        <v>19</v>
      </c>
      <c r="C47" s="69">
        <v>488690.73</v>
      </c>
      <c r="D47" s="69" t="s">
        <v>190</v>
      </c>
      <c r="E47" s="92" t="s">
        <v>229</v>
      </c>
      <c r="F47" s="65" t="s">
        <v>230</v>
      </c>
      <c r="G47" s="76">
        <v>13.01</v>
      </c>
      <c r="H47" s="68">
        <v>40319</v>
      </c>
      <c r="I47" s="65" t="s">
        <v>247</v>
      </c>
      <c r="J47" s="46" t="s">
        <v>95</v>
      </c>
      <c r="K47" s="46" t="s">
        <v>96</v>
      </c>
    </row>
    <row r="48" spans="1:11">
      <c r="A48" t="s">
        <v>110</v>
      </c>
      <c r="B48">
        <v>20</v>
      </c>
      <c r="C48" s="69">
        <v>308080.56</v>
      </c>
      <c r="D48" s="69" t="s">
        <v>191</v>
      </c>
      <c r="E48" s="67" t="s">
        <v>236</v>
      </c>
      <c r="F48" s="66" t="s">
        <v>179</v>
      </c>
      <c r="G48" s="55"/>
      <c r="H48" s="68">
        <v>40318</v>
      </c>
      <c r="I48" s="65" t="s">
        <v>251</v>
      </c>
      <c r="J48" s="46" t="s">
        <v>180</v>
      </c>
      <c r="K48" s="46" t="s">
        <v>181</v>
      </c>
    </row>
    <row r="49" spans="1:11">
      <c r="A49" t="s">
        <v>111</v>
      </c>
      <c r="B49">
        <v>21</v>
      </c>
      <c r="C49" s="47">
        <v>922389.39</v>
      </c>
      <c r="D49" s="79" t="s">
        <v>217</v>
      </c>
      <c r="E49" t="s">
        <v>218</v>
      </c>
      <c r="F49" s="80" t="s">
        <v>166</v>
      </c>
      <c r="I49" s="46" t="s">
        <v>167</v>
      </c>
      <c r="J49" s="46" t="s">
        <v>168</v>
      </c>
      <c r="K49" s="46" t="s">
        <v>169</v>
      </c>
    </row>
    <row r="50" spans="1:11">
      <c r="A50" s="56" t="s">
        <v>117</v>
      </c>
      <c r="B50">
        <v>22</v>
      </c>
      <c r="C50" s="46"/>
      <c r="D50" s="47" t="s">
        <v>192</v>
      </c>
      <c r="E50" s="57"/>
      <c r="F50" s="46"/>
      <c r="G50" s="49">
        <v>13</v>
      </c>
      <c r="H50" s="46"/>
      <c r="I50" s="46"/>
      <c r="J50" s="46" t="s">
        <v>95</v>
      </c>
      <c r="K50" s="46" t="s">
        <v>96</v>
      </c>
    </row>
    <row r="51" spans="1:11">
      <c r="A51" s="56" t="s">
        <v>118</v>
      </c>
      <c r="B51">
        <v>23</v>
      </c>
      <c r="C51" s="46"/>
      <c r="D51" s="46"/>
      <c r="E51" s="57"/>
      <c r="F51" s="46"/>
      <c r="G51" s="46"/>
      <c r="H51" s="46"/>
      <c r="I51" s="46"/>
      <c r="J51" s="46"/>
      <c r="K51" s="46"/>
    </row>
    <row r="52" spans="1:11">
      <c r="A52" t="s">
        <v>91</v>
      </c>
      <c r="B52">
        <v>24</v>
      </c>
      <c r="C52" s="46"/>
      <c r="D52" s="47" t="s">
        <v>193</v>
      </c>
      <c r="E52" s="57"/>
      <c r="F52" s="46"/>
      <c r="G52" s="49">
        <v>13</v>
      </c>
      <c r="H52" s="46"/>
      <c r="I52" s="46"/>
      <c r="J52" s="46" t="s">
        <v>95</v>
      </c>
      <c r="K52" s="46" t="s">
        <v>96</v>
      </c>
    </row>
    <row r="53" spans="1:11">
      <c r="B53">
        <v>24</v>
      </c>
      <c r="C53" s="46">
        <v>324360</v>
      </c>
      <c r="D53" s="103" t="s">
        <v>249</v>
      </c>
      <c r="E53" s="98" t="s">
        <v>250</v>
      </c>
      <c r="F53" s="63" t="s">
        <v>248</v>
      </c>
      <c r="G53" s="46"/>
      <c r="H53" s="46"/>
      <c r="I53" s="46" t="s">
        <v>199</v>
      </c>
      <c r="J53" s="46"/>
      <c r="K53" s="46" t="s">
        <v>200</v>
      </c>
    </row>
    <row r="54" spans="1:11">
      <c r="A54" t="s">
        <v>97</v>
      </c>
      <c r="B54">
        <v>25</v>
      </c>
      <c r="C54" s="46"/>
      <c r="D54" s="47"/>
      <c r="E54" s="57"/>
      <c r="F54" s="46"/>
      <c r="G54" s="46"/>
      <c r="H54" s="46"/>
      <c r="I54" s="46"/>
      <c r="J54" s="46"/>
      <c r="K54" s="46"/>
    </row>
    <row r="55" spans="1:11">
      <c r="A55" t="s">
        <v>98</v>
      </c>
      <c r="B55">
        <v>26</v>
      </c>
      <c r="C55" s="46"/>
      <c r="D55" s="47" t="s">
        <v>194</v>
      </c>
      <c r="E55" s="57"/>
      <c r="F55" s="46"/>
      <c r="G55" s="49">
        <v>13</v>
      </c>
      <c r="H55" s="46"/>
      <c r="I55" s="46"/>
      <c r="J55" s="46" t="s">
        <v>95</v>
      </c>
      <c r="K55" s="46" t="s">
        <v>96</v>
      </c>
    </row>
    <row r="56" spans="1:11">
      <c r="B56">
        <v>26</v>
      </c>
      <c r="C56" s="46"/>
      <c r="D56" s="47" t="s">
        <v>195</v>
      </c>
      <c r="E56" s="57"/>
      <c r="F56" s="46"/>
      <c r="G56" s="49">
        <v>13</v>
      </c>
      <c r="H56" s="46"/>
      <c r="I56" s="46"/>
      <c r="J56" s="46" t="s">
        <v>95</v>
      </c>
      <c r="K56" s="46" t="s">
        <v>96</v>
      </c>
    </row>
    <row r="57" spans="1:11">
      <c r="A57" t="s">
        <v>110</v>
      </c>
      <c r="B57">
        <v>27</v>
      </c>
      <c r="C57" s="46"/>
      <c r="D57" s="47" t="s">
        <v>196</v>
      </c>
      <c r="E57" s="57"/>
      <c r="F57" s="46" t="s">
        <v>179</v>
      </c>
      <c r="G57" s="46"/>
      <c r="H57" s="46"/>
      <c r="I57" s="46"/>
      <c r="J57" s="46" t="s">
        <v>180</v>
      </c>
      <c r="K57" s="46" t="s">
        <v>181</v>
      </c>
    </row>
    <row r="58" spans="1:11">
      <c r="A58" t="s">
        <v>111</v>
      </c>
      <c r="B58">
        <v>28</v>
      </c>
      <c r="C58" s="46"/>
      <c r="D58" s="47" t="s">
        <v>197</v>
      </c>
      <c r="E58" s="57"/>
      <c r="F58" s="46"/>
      <c r="G58" s="49">
        <v>13</v>
      </c>
      <c r="H58" s="46"/>
      <c r="I58" s="46"/>
      <c r="J58" s="46" t="s">
        <v>95</v>
      </c>
      <c r="K58" s="46" t="s">
        <v>96</v>
      </c>
    </row>
    <row r="59" spans="1:11">
      <c r="A59" s="56" t="s">
        <v>117</v>
      </c>
      <c r="B59">
        <v>29</v>
      </c>
      <c r="C59" s="46"/>
      <c r="D59" s="46"/>
      <c r="E59" s="57"/>
      <c r="F59" s="46"/>
      <c r="G59" s="46"/>
      <c r="H59" s="46"/>
      <c r="I59" s="46"/>
      <c r="J59" s="46"/>
      <c r="K59" s="46"/>
    </row>
    <row r="60" spans="1:11">
      <c r="A60" s="56" t="s">
        <v>118</v>
      </c>
      <c r="B60">
        <v>30</v>
      </c>
      <c r="C60" s="46"/>
      <c r="D60" s="46"/>
      <c r="E60" s="57"/>
      <c r="F60" s="46"/>
      <c r="G60" s="46"/>
      <c r="H60" s="46"/>
      <c r="I60" s="46"/>
      <c r="J60" s="46"/>
      <c r="K60" s="46"/>
    </row>
    <row r="61" spans="1:11">
      <c r="A61" t="s">
        <v>91</v>
      </c>
      <c r="B61">
        <v>31</v>
      </c>
      <c r="C61" s="46"/>
      <c r="D61" s="47" t="s">
        <v>198</v>
      </c>
      <c r="E61" s="57"/>
      <c r="F61" s="46" t="s">
        <v>179</v>
      </c>
      <c r="G61" s="46"/>
      <c r="H61" s="46"/>
      <c r="I61" s="46" t="s">
        <v>199</v>
      </c>
      <c r="J61" s="46"/>
      <c r="K61" s="46" t="s">
        <v>200</v>
      </c>
    </row>
    <row r="62" spans="1:11">
      <c r="C62" s="46"/>
      <c r="D62" s="46"/>
      <c r="E62" s="57"/>
      <c r="F62" s="46"/>
      <c r="G62" s="46"/>
      <c r="H62" s="46"/>
      <c r="I62" s="46"/>
      <c r="J62" s="46"/>
      <c r="K62" s="46"/>
    </row>
    <row r="63" spans="1:11">
      <c r="C63" s="46"/>
      <c r="D63" s="46"/>
      <c r="E63" s="57"/>
      <c r="F63" s="46"/>
      <c r="G63" s="46"/>
      <c r="H63" s="46"/>
      <c r="I63" s="46"/>
      <c r="J63" s="46"/>
      <c r="K63" s="46"/>
    </row>
  </sheetData>
  <phoneticPr fontId="3" type="noConversion"/>
  <pageMargins left="0.65" right="0.17" top="0.21" bottom="0.21" header="0" footer="0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</vt:lpstr>
      <vt:lpstr>pagos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2010-05-07T18:20:30Z</cp:lastPrinted>
  <dcterms:created xsi:type="dcterms:W3CDTF">2010-05-07T14:25:47Z</dcterms:created>
  <dcterms:modified xsi:type="dcterms:W3CDTF">2010-05-24T15:59:05Z</dcterms:modified>
</cp:coreProperties>
</file>