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   " sheetId="190" state="hidden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38" l="1"/>
  <c r="Q30" i="38"/>
  <c r="Q33" i="38"/>
  <c r="Q32" i="38" l="1"/>
  <c r="Q133" i="38"/>
  <c r="T141" i="38"/>
  <c r="T142" i="38"/>
  <c r="T143" i="38"/>
  <c r="S141" i="38"/>
  <c r="S142" i="38"/>
  <c r="S143" i="38"/>
  <c r="I142" i="38"/>
  <c r="I141" i="38"/>
  <c r="Q29" i="38"/>
  <c r="F133" i="38" l="1"/>
  <c r="F27" i="159" l="1"/>
  <c r="F28" i="159"/>
  <c r="F29" i="159"/>
  <c r="F30" i="159"/>
  <c r="F31" i="159"/>
  <c r="F32" i="159"/>
  <c r="F33" i="159"/>
  <c r="V9" i="179"/>
  <c r="AC9" i="179"/>
  <c r="B10" i="154" l="1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B8" i="178" l="1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D30" i="214" l="1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F30" i="214" l="1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F9" i="133"/>
  <c r="D30" i="133"/>
  <c r="A30" i="133"/>
  <c r="F29" i="133"/>
  <c r="J28" i="133"/>
  <c r="F28" i="133"/>
  <c r="J27" i="133"/>
  <c r="F27" i="133"/>
  <c r="J26" i="133"/>
  <c r="F26" i="133"/>
  <c r="J25" i="133"/>
  <c r="F25" i="133"/>
  <c r="J24" i="133"/>
  <c r="F24" i="133"/>
  <c r="J23" i="133"/>
  <c r="F23" i="133"/>
  <c r="J22" i="133"/>
  <c r="F22" i="133"/>
  <c r="J21" i="133"/>
  <c r="F21" i="133"/>
  <c r="J20" i="133"/>
  <c r="F20" i="133"/>
  <c r="J19" i="133"/>
  <c r="F19" i="133"/>
  <c r="J18" i="133"/>
  <c r="F18" i="133"/>
  <c r="J17" i="133"/>
  <c r="F17" i="133"/>
  <c r="J16" i="133"/>
  <c r="F16" i="133"/>
  <c r="J15" i="133"/>
  <c r="F15" i="133"/>
  <c r="J14" i="133"/>
  <c r="F14" i="133"/>
  <c r="J13" i="133"/>
  <c r="F13" i="133"/>
  <c r="J12" i="133"/>
  <c r="F12" i="133"/>
  <c r="J11" i="133"/>
  <c r="F11" i="133"/>
  <c r="J10" i="133"/>
  <c r="F10" i="133"/>
  <c r="J9" i="133"/>
  <c r="J29" i="133" s="1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G5" i="133" s="1"/>
  <c r="B9" i="133"/>
  <c r="B10" i="133" s="1"/>
  <c r="B11" i="133" s="1"/>
  <c r="B12" i="133" s="1"/>
  <c r="B13" i="133" s="1"/>
  <c r="B14" i="133" s="1"/>
  <c r="B15" i="133" s="1"/>
  <c r="B16" i="133" s="1"/>
  <c r="B17" i="133" s="1"/>
  <c r="B18" i="133" s="1"/>
  <c r="B19" i="133" s="1"/>
  <c r="B20" i="133" s="1"/>
  <c r="B21" i="133" s="1"/>
  <c r="B22" i="133" s="1"/>
  <c r="B23" i="133" s="1"/>
  <c r="B24" i="133" s="1"/>
  <c r="B25" i="133" s="1"/>
  <c r="B26" i="133" s="1"/>
  <c r="B27" i="133" s="1"/>
  <c r="B28" i="133" s="1"/>
  <c r="B29" i="133" s="1"/>
  <c r="F32" i="215" l="1"/>
  <c r="H5" i="215"/>
  <c r="F32" i="133"/>
  <c r="H5" i="133"/>
  <c r="R11" i="40"/>
  <c r="P11" i="40"/>
  <c r="P10" i="40"/>
  <c r="R10" i="40" s="1"/>
  <c r="R9" i="40"/>
  <c r="P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F78" i="213" l="1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30" i="212" l="1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E33" i="212" l="1"/>
  <c r="G5" i="212"/>
  <c r="H5" i="212" s="1"/>
  <c r="Z29" i="203"/>
  <c r="AA6" i="203"/>
  <c r="AB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P84" i="129" l="1"/>
  <c r="R6" i="129"/>
  <c r="S6" i="129" s="1"/>
  <c r="D65" i="209"/>
  <c r="D64" i="209" l="1"/>
  <c r="D63" i="209"/>
  <c r="D17" i="177"/>
  <c r="I10" i="177"/>
  <c r="B10" i="177"/>
  <c r="D62" i="209" l="1"/>
  <c r="D61" i="209"/>
  <c r="D60" i="209" l="1"/>
  <c r="D59" i="209" l="1"/>
  <c r="D58" i="209" l="1"/>
  <c r="D57" i="209" l="1"/>
  <c r="D56" i="209" l="1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Y30" i="1" l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Z35" i="179" l="1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Q20" i="38"/>
  <c r="Q19" i="38"/>
  <c r="Q17" i="38"/>
  <c r="Q18" i="38" l="1"/>
  <c r="S116" i="38"/>
  <c r="T116" i="38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I11" i="211" l="1"/>
  <c r="I12" i="211" s="1"/>
  <c r="I13" i="211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AJ78" i="188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E61" i="211" l="1"/>
  <c r="G6" i="211"/>
  <c r="H6" i="211" s="1"/>
  <c r="AK6" i="188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U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60" i="38"/>
  <c r="I159" i="38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P65" i="177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8" i="38"/>
  <c r="T158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I165" i="38" l="1"/>
  <c r="I164" i="38"/>
  <c r="I163" i="38"/>
  <c r="I156" i="38"/>
  <c r="I155" i="38"/>
  <c r="I154" i="38"/>
  <c r="I153" i="38"/>
  <c r="I16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7" i="38"/>
  <c r="T157" i="38" s="1"/>
  <c r="S146" i="38" l="1"/>
  <c r="T146" i="38" s="1"/>
  <c r="I146" i="38"/>
  <c r="S138" i="38"/>
  <c r="T138" i="38" s="1"/>
  <c r="S137" i="38"/>
  <c r="T137" i="38" s="1"/>
  <c r="S136" i="38"/>
  <c r="T136" i="38" s="1"/>
  <c r="I138" i="38"/>
  <c r="I137" i="38"/>
  <c r="I136" i="38"/>
  <c r="I152" i="38"/>
  <c r="S144" i="38" l="1"/>
  <c r="T144" i="38" s="1"/>
  <c r="I144" i="38"/>
  <c r="S114" i="38" l="1"/>
  <c r="T114" i="38" s="1"/>
  <c r="S135" i="38" l="1"/>
  <c r="T135" i="38" s="1"/>
  <c r="S139" i="38"/>
  <c r="T139" i="38" s="1"/>
  <c r="S140" i="38"/>
  <c r="T140" i="38" s="1"/>
  <c r="S145" i="38"/>
  <c r="T145" i="38" s="1"/>
  <c r="S147" i="38"/>
  <c r="T147" i="38" s="1"/>
  <c r="S148" i="38"/>
  <c r="T148" i="38" s="1"/>
  <c r="S149" i="38"/>
  <c r="T149" i="38" s="1"/>
  <c r="I139" i="38"/>
  <c r="I140" i="38"/>
  <c r="I14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3" i="38" l="1"/>
  <c r="I167" i="38"/>
  <c r="I150" i="38" l="1"/>
  <c r="S107" i="38" l="1"/>
  <c r="T107" i="38" s="1"/>
  <c r="I14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N30" i="133" l="1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S5" i="133"/>
  <c r="T9" i="133" l="1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71" i="38" l="1"/>
  <c r="I170" i="38"/>
  <c r="I169" i="38"/>
  <c r="S21" i="38" l="1"/>
  <c r="BP5" i="1" l="1"/>
  <c r="H4" i="1" l="1"/>
  <c r="G4" i="1"/>
  <c r="F4" i="1"/>
  <c r="E4" i="1"/>
  <c r="D4" i="1"/>
  <c r="B4" i="1"/>
  <c r="I149" i="38" l="1"/>
  <c r="I182" i="38" l="1"/>
  <c r="I18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6" i="38" l="1"/>
  <c r="I175" i="38"/>
  <c r="I174" i="38"/>
  <c r="I172" i="38"/>
  <c r="I168" i="38"/>
  <c r="I16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3" i="38" l="1"/>
  <c r="I184" i="38"/>
  <c r="I185" i="38"/>
  <c r="I186" i="38"/>
  <c r="I187" i="38"/>
  <c r="I188" i="38"/>
  <c r="I189" i="38"/>
  <c r="I190" i="38"/>
  <c r="I191" i="38"/>
  <c r="I192" i="38"/>
  <c r="I193" i="38"/>
  <c r="I5" i="1" l="1"/>
  <c r="I93" i="38" l="1"/>
  <c r="I94" i="38"/>
  <c r="I95" i="38"/>
  <c r="I194" i="38" l="1"/>
  <c r="I195" i="38"/>
  <c r="I196" i="38"/>
  <c r="I197" i="38"/>
  <c r="I198" i="38"/>
  <c r="I199" i="38"/>
  <c r="I200" i="38"/>
  <c r="I201" i="38"/>
  <c r="I202" i="38"/>
  <c r="I203" i="38"/>
  <c r="I204" i="38"/>
  <c r="I205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7" i="38" l="1"/>
  <c r="AE1" i="1" l="1"/>
  <c r="F10" i="156" l="1"/>
  <c r="I15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9" i="38" l="1"/>
  <c r="FV5" i="1" l="1"/>
  <c r="EH5" i="1"/>
  <c r="DX5" i="1"/>
  <c r="I6" i="1"/>
  <c r="I151" i="38" l="1"/>
  <c r="I161" i="38"/>
  <c r="I177" i="38"/>
  <c r="I178" i="38"/>
  <c r="I18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6" i="38"/>
  <c r="M206" i="38"/>
  <c r="K206" i="38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6" i="38"/>
  <c r="I206" i="38"/>
  <c r="H20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<sst xmlns="http://schemas.openxmlformats.org/spreadsheetml/2006/main" count="4381" uniqueCount="756">
  <si>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</si>
  <si>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</si>
  <si>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</si>
  <si>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</si>
  <si>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</si>
  <si>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</si>
  <si>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</si>
  <si>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</si>
  <si>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</si>
  <si>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</si>
  <si>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</si>
  <si>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</si>
  <si>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</si>
  <si>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</si>
  <si>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</si>
  <si>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</si>
  <si>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</si>
  <si>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</si>
  <si>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</si>
  <si>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</si>
  <si>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</si>
  <si>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</si>
  <si>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</si>
  <si>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</si>
  <si>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</si>
  <si>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</si>
  <si>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</si>
  <si>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</si>
  <si>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</si>
  <si>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</si>
  <si>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</si>
  <si>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</si>
  <si>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</si>
  <si>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</si>
  <si>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</si>
  <si>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</si>
  <si>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</si>
  <si>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</si>
  <si>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</si>
  <si>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</si>
  <si>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</si>
  <si>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</si>
  <si>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</si>
  <si>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</si>
  <si>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</si>
  <si>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</si>
  <si>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</si>
  <si>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</si>
  <si>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</si>
  <si>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</si>
  <si>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</si>
  <si>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</si>
  <si>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</si>
  <si>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</si>
  <si>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</si>
  <si>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</si>
  <si>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</si>
  <si>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</si>
  <si>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</si>
  <si>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</si>
  <si>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</si>
  <si>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</si>
  <si>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</si>
  <si>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</si>
  <si>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</si>
  <si>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</si>
  <si>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</si>
  <si>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</si>
  <si>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</si>
  <si>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</si>
  <si>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</si>
  <si>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</si>
  <si>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</si>
  <si>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</si>
  <si>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</si>
  <si>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</si>
  <si>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</si>
  <si>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</si>
  <si>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</si>
  <si>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</si>
  <si>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</si>
  <si>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</si>
  <si>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</si>
  <si>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</si>
  <si>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</si>
  <si>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</si>
  <si>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</si>
  <si>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</si>
  <si>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</si>
  <si>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</si>
  <si>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</si>
  <si>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</si>
  <si>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</si>
  <si>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</si>
  <si>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</si>
  <si>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</si>
  <si>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</si>
  <si>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</si>
  <si>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</si>
  <si>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</si>
  <si>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</si>
  <si>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</si>
  <si>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</si>
  <si>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</si>
  <si>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</si>
  <si>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</si>
  <si>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</si>
  <si>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</si>
  <si>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</si>
  <si>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</si>
  <si>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</si>
  <si>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</si>
  <si>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</si>
  <si>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</si>
  <si>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</si>
  <si>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</si>
  <si>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</si>
  <si>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</si>
  <si>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</si>
  <si>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</si>
  <si>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</si>
  <si>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</si>
  <si>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</si>
  <si>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</si>
  <si>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</si>
  <si>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</si>
  <si>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</si>
  <si>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</si>
  <si>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</si>
  <si>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</si>
  <si>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</si>
  <si>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</si>
  <si>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</si>
  <si>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</si>
  <si>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</si>
  <si>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</si>
  <si>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</si>
  <si>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</si>
  <si>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</si>
  <si>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</si>
  <si>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</si>
  <si>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</si>
  <si>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</si>
  <si>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</si>
  <si>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</si>
  <si>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</si>
  <si>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</si>
  <si>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</si>
  <si>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</si>
  <si>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</si>
  <si>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</si>
  <si>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</si>
  <si>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</si>
  <si>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</si>
  <si>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</si>
  <si>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</si>
  <si>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</si>
  <si>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</si>
  <si>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</si>
  <si>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</si>
  <si>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</si>
  <si>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</si>
  <si>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</si>
  <si>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</si>
  <si>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</si>
  <si>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</si>
  <si>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</si>
  <si>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</si>
  <si>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</si>
  <si>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</si>
  <si>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</si>
  <si>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</si>
  <si>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</si>
  <si>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</si>
  <si>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</si>
  <si>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</si>
  <si>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</si>
  <si>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</si>
  <si>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</si>
  <si>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</si>
  <si>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</si>
  <si>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</si>
  <si>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</si>
  <si>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</si>
  <si>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</si>
  <si>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</si>
  <si>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</si>
  <si>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</si>
  <si>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</si>
  <si>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</si>
  <si>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</si>
  <si>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</si>
  <si>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</si>
  <si>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</si>
  <si>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</si>
  <si>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</si>
  <si>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</si>
  <si>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</si>
  <si>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</si>
  <si>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</si>
  <si>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</si>
  <si>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</si>
  <si>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</si>
  <si>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</si>
  <si>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</si>
  <si>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</si>
  <si>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</si>
  <si>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</si>
  <si>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</si>
  <si>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</si>
  <si>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</si>
  <si>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</si>
  <si>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</si>
  <si>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</si>
  <si>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</si>
  <si>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</si>
  <si>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</si>
  <si>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</si>
  <si>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</si>
  <si>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</si>
  <si>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</si>
  <si>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</si>
  <si>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</si>
  <si>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</si>
  <si>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</si>
  <si>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</si>
  <si>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</si>
  <si>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</si>
  <si>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</si>
  <si>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</si>
  <si>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</si>
  <si>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</si>
  <si>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</si>
  <si>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</si>
  <si>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</si>
  <si>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</si>
  <si>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</si>
  <si>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</si>
  <si>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</si>
  <si>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</si>
  <si>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</si>
  <si>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</si>
  <si>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</si>
  <si>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</si>
  <si>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</si>
  <si>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</si>
  <si>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</si>
  <si>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</si>
  <si>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</si>
  <si>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</si>
  <si>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</si>
  <si>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</si>
  <si>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</si>
  <si>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</si>
  <si>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</si>
  <si>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</si>
  <si>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</si>
  <si>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</si>
  <si>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</si>
  <si>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</si>
  <si>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</si>
  <si>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</si>
  <si>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</si>
  <si>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</si>
  <si>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</si>
  <si>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</si>
  <si>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</si>
  <si>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</si>
  <si>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</si>
  <si>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</si>
  <si>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</si>
  <si>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</si>
  <si>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</si>
  <si>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</si>
  <si>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</si>
  <si>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</si>
  <si>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</si>
  <si>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</si>
  <si>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</si>
  <si>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</si>
  <si>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</si>
  <si>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</si>
  <si>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</si>
  <si>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</si>
  <si>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</si>
  <si>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</si>
  <si>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</si>
  <si>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</si>
  <si>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</si>
  <si>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</si>
  <si>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</si>
  <si>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</si>
  <si>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</si>
  <si>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</si>
  <si>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</si>
  <si>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</si>
  <si>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</si>
  <si>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</si>
  <si>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</si>
  <si>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</si>
  <si>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</si>
  <si>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</si>
  <si>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</si>
  <si>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</si>
  <si>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</si>
  <si>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</si>
  <si>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</si>
  <si>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</si>
  <si>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</si>
  <si>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</si>
  <si>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</si>
  <si>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</si>
  <si>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</si>
  <si>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</si>
  <si>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</si>
  <si>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</si>
  <si>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</si>
  <si>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</si>
  <si>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</si>
  <si>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</si>
  <si>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</si>
  <si>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</si>
  <si>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</si>
  <si>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</si>
  <si>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</si>
  <si>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</si>
  <si>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</si>
  <si>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</si>
  <si>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</si>
  <si>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</si>
  <si>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</si>
  <si>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</si>
  <si>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</si>
  <si>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</si>
  <si>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</si>
  <si>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</si>
  <si>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</si>
  <si>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</si>
  <si>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</si>
  <si>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</si>
  <si>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</si>
  <si>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</si>
  <si>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</si>
  <si>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</si>
  <si>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</si>
  <si>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</si>
  <si>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</si>
  <si>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</si>
  <si>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</si>
  <si>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</si>
  <si>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</si>
  <si>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</si>
  <si>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</si>
  <si>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</si>
  <si>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</si>
  <si>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</si>
  <si>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</si>
  <si>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</si>
  <si>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</si>
  <si>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</si>
  <si>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</si>
  <si>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</si>
  <si>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</si>
  <si>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</si>
  <si>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</si>
  <si>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</si>
  <si>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</si>
  <si>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</si>
  <si>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</si>
  <si>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</si>
  <si>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</si>
  <si>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</si>
  <si>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</si>
  <si>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</si>
  <si>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</si>
  <si>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</si>
  <si>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</si>
  <si>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</si>
  <si>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</si>
  <si>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</si>
  <si>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</si>
  <si>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</si>
  <si>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</si>
  <si>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</si>
  <si>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</si>
  <si>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</si>
  <si>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</si>
  <si>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</si>
  <si>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</si>
  <si>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</si>
  <si>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</si>
  <si>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</si>
  <si>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</si>
  <si>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</si>
  <si>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</si>
  <si>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</si>
  <si>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</si>
  <si>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</si>
  <si>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</si>
  <si>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</si>
  <si>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</si>
  <si>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</si>
  <si>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</si>
  <si>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</si>
  <si>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</si>
  <si>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</si>
  <si>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</si>
  <si>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</si>
  <si>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</si>
  <si>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</si>
  <si>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</si>
  <si>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</si>
  <si>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</si>
  <si>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</si>
  <si>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</si>
  <si>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</si>
  <si>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</si>
  <si>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</si>
  <si>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</si>
  <si>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</si>
  <si>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</si>
  <si>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</si>
  <si>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</si>
  <si>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</si>
  <si>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</si>
  <si>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</si>
  <si>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</si>
  <si>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</si>
  <si>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</si>
  <si>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</si>
  <si>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</si>
  <si>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</si>
  <si>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</si>
  <si>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</si>
  <si>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</si>
  <si>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</si>
  <si>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</si>
  <si>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</si>
  <si>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</si>
  <si>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</si>
  <si>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</si>
  <si>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</si>
  <si>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</si>
  <si>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</si>
  <si>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</si>
  <si>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</si>
  <si>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</si>
  <si>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</si>
  <si>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</si>
  <si>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</si>
  <si>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</si>
  <si>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</si>
  <si>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</si>
  <si>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</si>
  <si>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</si>
  <si>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</si>
  <si>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</si>
  <si>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</si>
  <si>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</si>
  <si>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</si>
  <si>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</si>
  <si>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</si>
  <si>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</si>
  <si>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</si>
  <si>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</si>
  <si>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</si>
  <si>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</si>
  <si>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</si>
  <si>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</si>
  <si>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</si>
  <si>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</si>
  <si>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</si>
  <si>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</si>
  <si>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</si>
  <si>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</si>
  <si>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</si>
  <si>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</si>
  <si>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</si>
  <si>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</si>
  <si>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</si>
  <si>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</si>
  <si>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</si>
  <si>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</si>
  <si>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</si>
  <si>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</si>
  <si>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</si>
  <si>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</si>
  <si>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</si>
  <si>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</si>
  <si>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</si>
  <si>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</si>
  <si>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</si>
  <si>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</si>
  <si>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</si>
  <si>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</si>
  <si>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</si>
  <si>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</si>
  <si>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</si>
  <si>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</si>
  <si>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</si>
  <si>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</si>
  <si>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</si>
  <si>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</si>
  <si>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</si>
  <si>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</si>
  <si>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</si>
  <si>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</si>
  <si>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</si>
  <si>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</si>
  <si>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</si>
  <si>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</si>
  <si>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</si>
  <si>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</si>
  <si>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</si>
  <si>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</si>
  <si>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</si>
  <si>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</si>
  <si>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</si>
  <si>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</si>
  <si>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</si>
  <si>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</si>
  <si>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</si>
  <si>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</si>
  <si>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</si>
  <si>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</si>
  <si>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</si>
  <si>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</si>
  <si>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</si>
  <si>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</si>
  <si>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</si>
  <si>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</si>
  <si>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</si>
  <si>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</si>
  <si>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</si>
  <si>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</si>
  <si>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</si>
  <si>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</si>
  <si>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</si>
  <si>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</si>
  <si>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</si>
  <si>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</si>
  <si>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</si>
  <si>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</si>
  <si>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</si>
  <si>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</si>
  <si>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</si>
  <si>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</si>
  <si>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</si>
  <si>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</si>
  <si>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</si>
  <si>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</si>
  <si>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</si>
  <si>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</si>
  <si>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</si>
  <si>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</si>
  <si>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</si>
  <si>
    <t>0079 C1</t>
  </si>
  <si>
    <t>0081 C1</t>
  </si>
  <si>
    <t>0083 C1</t>
  </si>
  <si>
    <t>0085 C1</t>
  </si>
  <si>
    <t>0086 C1</t>
  </si>
  <si>
    <t>0087 C1</t>
  </si>
  <si>
    <t>0091 C1</t>
  </si>
  <si>
    <t>0092 C1</t>
  </si>
  <si>
    <t>0093 C1</t>
  </si>
  <si>
    <t>0095 C1</t>
  </si>
  <si>
    <t>0096 C1</t>
  </si>
  <si>
    <t>0097 C1</t>
  </si>
  <si>
    <t>0098 C1</t>
  </si>
  <si>
    <t>0099 C1</t>
  </si>
  <si>
    <t>0100 C1</t>
  </si>
  <si>
    <t>0101 C1</t>
  </si>
  <si>
    <t>0102 C1</t>
  </si>
  <si>
    <t>0104 C1</t>
  </si>
  <si>
    <t>0106 C1</t>
  </si>
  <si>
    <t>0107 C1</t>
  </si>
  <si>
    <t>0108 C1</t>
  </si>
  <si>
    <t>0109 C1</t>
  </si>
  <si>
    <t>0110 C1</t>
  </si>
  <si>
    <t>0111 C1</t>
  </si>
  <si>
    <t>0112 C1</t>
  </si>
  <si>
    <t>0113 C1</t>
  </si>
  <si>
    <t>0116 C1</t>
  </si>
  <si>
    <t>0117 C1</t>
  </si>
  <si>
    <t>0118 C1</t>
  </si>
  <si>
    <t>0121 C1</t>
  </si>
  <si>
    <t>FORMATO MAL</t>
  </si>
  <si>
    <t>0120 C1</t>
  </si>
  <si>
    <t>0122 C1</t>
  </si>
  <si>
    <t>0123 C1</t>
  </si>
  <si>
    <t>0124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</si>
  <si>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</si>
  <si>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</si>
  <si>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</si>
  <si>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</si>
  <si>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</si>
  <si>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</si>
  <si>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</si>
  <si>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</si>
  <si>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0134 C1</t>
  </si>
  <si>
    <t>0135 c1</t>
  </si>
  <si>
    <t>0136 C1</t>
  </si>
  <si>
    <t>0139 C1</t>
  </si>
  <si>
    <t>0136 c1</t>
  </si>
  <si>
    <t>0140 C1</t>
  </si>
  <si>
    <t>0141 C1</t>
  </si>
  <si>
    <t>0142 C1</t>
  </si>
  <si>
    <t>0143 C1</t>
  </si>
  <si>
    <t>0147 C1</t>
  </si>
  <si>
    <t>0148 C1</t>
  </si>
  <si>
    <t>0150 C1</t>
  </si>
  <si>
    <t>0160 C1</t>
  </si>
  <si>
    <t>0151 C1</t>
  </si>
  <si>
    <t>0153 C1</t>
  </si>
  <si>
    <t>0156 C1</t>
  </si>
  <si>
    <t>0157 C1</t>
  </si>
  <si>
    <t>0158 C1</t>
  </si>
  <si>
    <t>0159 C1</t>
  </si>
  <si>
    <t>0161 C1</t>
  </si>
  <si>
    <t>0162 C1</t>
  </si>
  <si>
    <t>0165 C1</t>
  </si>
  <si>
    <t>0166 C1</t>
  </si>
  <si>
    <t>0167 C1</t>
  </si>
  <si>
    <t>0168 C1</t>
  </si>
  <si>
    <t>0169 C1</t>
  </si>
  <si>
    <t>0170 C1</t>
  </si>
  <si>
    <t>0171 C1</t>
  </si>
  <si>
    <t>0172 C1</t>
  </si>
  <si>
    <t>0172C1</t>
  </si>
  <si>
    <t>0182 C1</t>
  </si>
  <si>
    <t>0192 C1</t>
  </si>
  <si>
    <t>0173 C1</t>
  </si>
  <si>
    <t>0174 C1</t>
  </si>
  <si>
    <t>0176 C1</t>
  </si>
  <si>
    <t>0178 C1</t>
  </si>
  <si>
    <t>0179 C1</t>
  </si>
  <si>
    <t>0180 C1</t>
  </si>
  <si>
    <t>0181 C1</t>
  </si>
  <si>
    <t>0183 C1</t>
  </si>
  <si>
    <t>0184 C1</t>
  </si>
  <si>
    <t>0185 C1</t>
  </si>
  <si>
    <t>0187 C1</t>
  </si>
  <si>
    <t>0188 C1</t>
  </si>
  <si>
    <t>0189 C1</t>
  </si>
  <si>
    <t>0205 C1</t>
  </si>
  <si>
    <t>0215 C1</t>
  </si>
  <si>
    <t>0186 C1</t>
  </si>
  <si>
    <t>0194 C1</t>
  </si>
  <si>
    <t>0193 C1</t>
  </si>
  <si>
    <t>0191 C1</t>
  </si>
  <si>
    <t>0190 C1</t>
  </si>
  <si>
    <t>0195 C1</t>
  </si>
  <si>
    <t>0197 C1</t>
  </si>
  <si>
    <t>0198 C1</t>
  </si>
  <si>
    <t>0199 C1</t>
  </si>
  <si>
    <t>0219 C1</t>
  </si>
  <si>
    <t>0229 C1</t>
  </si>
  <si>
    <t>0200 C1</t>
  </si>
  <si>
    <t>0201 C1</t>
  </si>
  <si>
    <t>0202 C1</t>
  </si>
  <si>
    <t>0204 C1</t>
  </si>
  <si>
    <t>0206 C1</t>
  </si>
  <si>
    <t>0207 C1</t>
  </si>
  <si>
    <t>0208 C1</t>
  </si>
  <si>
    <t>0209 C1</t>
  </si>
  <si>
    <t>0216 C1</t>
  </si>
  <si>
    <t>0217 C1</t>
  </si>
  <si>
    <t>0220 C1</t>
  </si>
  <si>
    <t>0221 C1</t>
  </si>
  <si>
    <t>0222 C1</t>
  </si>
  <si>
    <t>0224 C1</t>
  </si>
  <si>
    <t>0223 C1</t>
  </si>
  <si>
    <t>0225 C1</t>
  </si>
  <si>
    <t>0226 C1</t>
  </si>
  <si>
    <t>0227 C1</t>
  </si>
  <si>
    <t>0228 C1</t>
  </si>
  <si>
    <t>PED.94551912</t>
  </si>
  <si>
    <t xml:space="preserve">SEABOARD FOODS </t>
  </si>
  <si>
    <t>PED. 94551914</t>
  </si>
  <si>
    <t>PED. 94616717</t>
  </si>
  <si>
    <t>RANCHO SAN LUIS PGMX</t>
  </si>
  <si>
    <t>PRADERAS HUASTECAS</t>
  </si>
  <si>
    <t>CHAMBARETE   P</t>
  </si>
  <si>
    <t>COSTILLAR  S/F</t>
  </si>
  <si>
    <t>PED. 94652360</t>
  </si>
  <si>
    <t xml:space="preserve">BABY  LAMB </t>
  </si>
  <si>
    <t>BABY LAMB</t>
  </si>
  <si>
    <t xml:space="preserve">PIERNA CORDERO </t>
  </si>
  <si>
    <t>ENTRADA DEL MES DE FEB RERO 2023</t>
  </si>
  <si>
    <t>PIERNA S/H CONGELADA</t>
  </si>
  <si>
    <t>X-8773</t>
  </si>
  <si>
    <t>NLSE23-38</t>
  </si>
  <si>
    <t>NLSE23-39</t>
  </si>
  <si>
    <t>PAPA CONGELADA CRINKLE</t>
  </si>
  <si>
    <t xml:space="preserve">CHAMBARETE   </t>
  </si>
  <si>
    <t>COSTILLAR S/F</t>
  </si>
  <si>
    <t>H-0916015724</t>
  </si>
  <si>
    <t xml:space="preserve">ADAMS INT MORELIA </t>
  </si>
  <si>
    <t>PU-113060</t>
  </si>
  <si>
    <t>Y-1311</t>
  </si>
  <si>
    <t>PIERNA CORDERO</t>
  </si>
  <si>
    <t xml:space="preserve">ESPALDILLA CARNERO </t>
  </si>
  <si>
    <t>PU-113105</t>
  </si>
  <si>
    <t xml:space="preserve">FILETE DE CERDO </t>
  </si>
  <si>
    <t>0230 C1</t>
  </si>
  <si>
    <t>0231 C1</t>
  </si>
  <si>
    <t>0232 C1</t>
  </si>
  <si>
    <t>0233 C1</t>
  </si>
  <si>
    <t>0234 C1</t>
  </si>
  <si>
    <t>0235 C1</t>
  </si>
  <si>
    <t>0237 C1</t>
  </si>
  <si>
    <t>0239 c1</t>
  </si>
  <si>
    <t>0241 C1</t>
  </si>
  <si>
    <t>0240 C1</t>
  </si>
  <si>
    <t>0242 C1</t>
  </si>
  <si>
    <t>0243 C1</t>
  </si>
  <si>
    <t>0244 C1</t>
  </si>
  <si>
    <t>0246 C1</t>
  </si>
  <si>
    <t>0247 C1</t>
  </si>
  <si>
    <t>0249 C1</t>
  </si>
  <si>
    <t>0250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</si>
  <si>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</si>
  <si>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</si>
  <si>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</si>
  <si>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</si>
  <si>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</si>
  <si>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0255 C1</t>
  </si>
  <si>
    <t>0256 C1</t>
  </si>
  <si>
    <t>0257 C1</t>
  </si>
  <si>
    <t>0259 C1</t>
  </si>
  <si>
    <t>026 C1</t>
  </si>
  <si>
    <t>0260 C1</t>
  </si>
  <si>
    <t>0261 C1</t>
  </si>
  <si>
    <t>0263 C1</t>
  </si>
  <si>
    <t>0264 C1</t>
  </si>
  <si>
    <t>FOLIO CENTRAL 11292---11293</t>
  </si>
  <si>
    <t>A-66235---A-66460</t>
  </si>
  <si>
    <t>HC-12734</t>
  </si>
  <si>
    <t>Transfer S 16-Mar-23</t>
  </si>
  <si>
    <t>Transfer B 15-Mar-23</t>
  </si>
  <si>
    <t>Transfer S 13-Mar-23</t>
  </si>
  <si>
    <t>Transfer S 2-Mar-23</t>
  </si>
  <si>
    <t>Transfer B 2-Mar-23</t>
  </si>
  <si>
    <t>PAPA CONGELADA 9-/9</t>
  </si>
  <si>
    <t>PAPA CONGELADA  GAJO</t>
  </si>
  <si>
    <t>FE-46808</t>
  </si>
  <si>
    <t>Transfer B 3-Mar-23</t>
  </si>
  <si>
    <t>Transfer B 27-Feb-23--Y  2-Mar-23</t>
  </si>
  <si>
    <t xml:space="preserve">  SERVICIOS Y ALIMENTOS PROTEINICOS SC DE RL               (     BABY LAMB )</t>
  </si>
  <si>
    <t>Transfer B 6-Mar-23</t>
  </si>
  <si>
    <t>Transfer Bnte 1-Mar-23</t>
  </si>
  <si>
    <t>Transfer Bnte 3-Mar-23</t>
  </si>
  <si>
    <t>27-Feb-23---3-Mar-23</t>
  </si>
  <si>
    <t xml:space="preserve">PED. </t>
  </si>
  <si>
    <t>ROBO</t>
  </si>
  <si>
    <t>Transfer B-14-Feb-23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</si>
</sst>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9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168" fontId="10" fillId="0" borderId="87" xfId="0" applyNumberFormat="1" applyFont="1" applyFill="1" applyBorder="1" applyAlignment="1">
      <alignment vertical="center" wrapText="1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45" fillId="5" borderId="0" xfId="0" applyNumberFormat="1" applyFont="1" applyFill="1"/>
    <xf numFmtId="0" fontId="45" fillId="5" borderId="10" xfId="0" applyFont="1" applyFill="1" applyBorder="1" applyAlignment="1">
      <alignment horizontal="right"/>
    </xf>
    <xf numFmtId="164" fontId="45" fillId="5" borderId="0" xfId="0" applyNumberFormat="1" applyFont="1" applyFill="1"/>
    <xf numFmtId="4" fontId="7" fillId="5" borderId="0" xfId="0" applyNumberFormat="1" applyFont="1" applyFill="1"/>
    <xf numFmtId="4" fontId="8" fillId="5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2" fontId="55" fillId="2" borderId="51" xfId="0" applyNumberFormat="1" applyFont="1" applyFill="1" applyBorder="1" applyAlignment="1">
      <alignment horizontal="right"/>
    </xf>
    <xf numFmtId="2" fontId="55" fillId="7" borderId="51" xfId="0" applyNumberFormat="1" applyFont="1" applyFill="1" applyBorder="1" applyAlignment="1">
      <alignment horizontal="right"/>
    </xf>
    <xf numFmtId="0" fontId="55" fillId="7" borderId="51" xfId="0" applyFont="1" applyFill="1" applyBorder="1" applyAlignment="1">
      <alignment horizontal="right"/>
    </xf>
    <xf numFmtId="164" fontId="55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41" fillId="2" borderId="33" xfId="0" applyFont="1" applyFill="1" applyBorder="1" applyAlignment="1">
      <alignment horizontal="center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7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8" fontId="7" fillId="2" borderId="0" xfId="0" applyNumberFormat="1" applyFont="1" applyFill="1"/>
    <xf numFmtId="0" fontId="17" fillId="26" borderId="0" xfId="0" applyFont="1" applyFill="1"/>
    <xf numFmtId="168" fontId="7" fillId="26" borderId="0" xfId="0" applyNumberFormat="1" applyFont="1" applyFill="1"/>
    <xf numFmtId="15" fontId="7" fillId="4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40" fillId="27" borderId="33" xfId="0" applyNumberFormat="1" applyFont="1" applyFill="1" applyBorder="1" applyAlignment="1">
      <alignment horizontal="center" vertical="center"/>
    </xf>
    <xf numFmtId="2" fontId="7" fillId="27" borderId="0" xfId="0" applyNumberFormat="1" applyFont="1" applyFill="1"/>
    <xf numFmtId="4" fontId="40" fillId="27" borderId="33" xfId="0" applyNumberFormat="1" applyFont="1" applyFill="1" applyBorder="1" applyAlignment="1">
      <alignment vertical="center"/>
    </xf>
    <xf numFmtId="4" fontId="7" fillId="27" borderId="33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4" fontId="22" fillId="27" borderId="33" xfId="0" applyNumberFormat="1" applyFont="1" applyFill="1" applyBorder="1" applyAlignment="1">
      <alignment horizontal="center"/>
    </xf>
    <xf numFmtId="168" fontId="28" fillId="27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53" fillId="27" borderId="33" xfId="0" applyFont="1" applyFill="1" applyBorder="1" applyAlignment="1">
      <alignment horizontal="center"/>
    </xf>
    <xf numFmtId="0" fontId="7" fillId="27" borderId="33" xfId="0" applyFont="1" applyFill="1" applyBorder="1" applyAlignment="1">
      <alignment horizontal="center"/>
    </xf>
    <xf numFmtId="168" fontId="7" fillId="27" borderId="33" xfId="0" applyNumberFormat="1" applyFont="1" applyFill="1" applyBorder="1"/>
    <xf numFmtId="0" fontId="40" fillId="0" borderId="91" xfId="0" applyFont="1" applyFill="1" applyBorder="1" applyAlignment="1">
      <alignment vertical="center"/>
    </xf>
    <xf numFmtId="0" fontId="41" fillId="27" borderId="33" xfId="0" applyFont="1" applyFill="1" applyBorder="1" applyAlignment="1">
      <alignment horizontal="center" vertical="center"/>
    </xf>
    <xf numFmtId="0" fontId="40" fillId="0" borderId="91" xfId="0" applyFont="1" applyFill="1" applyBorder="1" applyAlignment="1"/>
    <xf numFmtId="0" fontId="76" fillId="0" borderId="87" xfId="0" applyFont="1" applyFill="1" applyBorder="1" applyAlignment="1">
      <alignment vertical="center" wrapText="1"/>
    </xf>
    <xf numFmtId="0" fontId="77" fillId="0" borderId="90" xfId="0" applyFont="1" applyFill="1" applyBorder="1" applyAlignment="1">
      <alignment horizontal="center" vertical="center" wrapText="1"/>
    </xf>
    <xf numFmtId="0" fontId="40" fillId="0" borderId="90" xfId="0" applyFont="1" applyFill="1" applyBorder="1" applyAlignment="1">
      <alignment vertical="center"/>
    </xf>
    <xf numFmtId="4" fontId="7" fillId="0" borderId="91" xfId="0" applyNumberFormat="1" applyFont="1" applyFill="1" applyBorder="1"/>
    <xf numFmtId="168" fontId="40" fillId="0" borderId="74" xfId="0" applyNumberFormat="1" applyFont="1" applyFill="1" applyBorder="1" applyAlignment="1">
      <alignment vertical="center"/>
    </xf>
    <xf numFmtId="2" fontId="38" fillId="27" borderId="79" xfId="0" applyNumberFormat="1" applyFont="1" applyFill="1" applyBorder="1"/>
    <xf numFmtId="0" fontId="72" fillId="0" borderId="90" xfId="0" applyFont="1" applyFill="1" applyBorder="1" applyAlignment="1">
      <alignment horizontal="center" vertical="center"/>
    </xf>
    <xf numFmtId="4" fontId="7" fillId="0" borderId="91" xfId="0" applyNumberFormat="1" applyFont="1" applyFill="1" applyBorder="1" applyAlignment="1">
      <alignment vertical="center"/>
    </xf>
    <xf numFmtId="168" fontId="40" fillId="0" borderId="87" xfId="0" applyNumberFormat="1" applyFont="1" applyFill="1" applyBorder="1" applyAlignment="1">
      <alignment vertical="center" wrapText="1"/>
    </xf>
    <xf numFmtId="0" fontId="76" fillId="0" borderId="91" xfId="0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26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64" fontId="10" fillId="7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4" fontId="45" fillId="7" borderId="5" xfId="0" applyNumberFormat="1" applyFont="1" applyFill="1" applyBorder="1"/>
    <xf numFmtId="164" fontId="10" fillId="7" borderId="80" xfId="0" applyNumberFormat="1" applyFont="1" applyFill="1" applyBorder="1"/>
    <xf numFmtId="2" fontId="55" fillId="7" borderId="5" xfId="0" applyNumberFormat="1" applyFont="1" applyFill="1" applyBorder="1" applyAlignment="1">
      <alignment horizontal="right"/>
    </xf>
    <xf numFmtId="0" fontId="55" fillId="7" borderId="0" xfId="0" applyFont="1" applyFill="1" applyAlignment="1">
      <alignment horizontal="right"/>
    </xf>
    <xf numFmtId="0" fontId="72" fillId="0" borderId="33" xfId="0" applyFont="1" applyFill="1" applyBorder="1" applyAlignment="1">
      <alignment horizontal="center" vertical="center" wrapText="1"/>
    </xf>
    <xf numFmtId="44" fontId="10" fillId="0" borderId="90" xfId="1" applyFont="1" applyFill="1" applyBorder="1" applyAlignment="1">
      <alignment vertical="center"/>
    </xf>
    <xf numFmtId="1" fontId="7" fillId="0" borderId="74" xfId="0" applyNumberFormat="1" applyFont="1" applyFill="1" applyBorder="1" applyAlignment="1">
      <alignment vertical="center" wrapText="1"/>
    </xf>
    <xf numFmtId="1" fontId="10" fillId="0" borderId="68" xfId="0" applyNumberFormat="1" applyFont="1" applyFill="1" applyBorder="1" applyAlignment="1">
      <alignment vertical="center" wrapText="1"/>
    </xf>
    <xf numFmtId="1" fontId="28" fillId="27" borderId="33" xfId="0" applyNumberFormat="1" applyFont="1" applyFill="1" applyBorder="1" applyAlignment="1">
      <alignment horizontal="center"/>
    </xf>
    <xf numFmtId="164" fontId="7" fillId="0" borderId="74" xfId="0" applyNumberFormat="1" applyFont="1" applyFill="1" applyBorder="1" applyAlignment="1">
      <alignment vertical="center" wrapText="1"/>
    </xf>
    <xf numFmtId="1" fontId="41" fillId="27" borderId="87" xfId="0" applyNumberFormat="1" applyFont="1" applyFill="1" applyBorder="1" applyAlignment="1">
      <alignment horizontal="center" vertical="center"/>
    </xf>
    <xf numFmtId="1" fontId="41" fillId="27" borderId="87" xfId="0" applyNumberFormat="1" applyFont="1" applyFill="1" applyBorder="1" applyAlignment="1">
      <alignment vertical="center" wrapText="1"/>
    </xf>
    <xf numFmtId="1" fontId="28" fillId="27" borderId="68" xfId="0" applyNumberFormat="1" applyFont="1" applyFill="1" applyBorder="1" applyAlignment="1">
      <alignment vertical="center"/>
    </xf>
    <xf numFmtId="1" fontId="28" fillId="27" borderId="33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1" fontId="41" fillId="27" borderId="87" xfId="0" applyNumberFormat="1" applyFont="1" applyFill="1" applyBorder="1" applyAlignment="1">
      <alignment vertical="center"/>
    </xf>
    <xf numFmtId="1" fontId="41" fillId="24" borderId="87" xfId="0" applyNumberFormat="1" applyFont="1" applyFill="1" applyBorder="1" applyAlignment="1">
      <alignment horizontal="center" vertical="center" wrapText="1"/>
    </xf>
    <xf numFmtId="2" fontId="38" fillId="27" borderId="0" xfId="0" applyNumberFormat="1" applyFont="1" applyFill="1"/>
    <xf numFmtId="164" fontId="7" fillId="0" borderId="87" xfId="0" applyNumberFormat="1" applyFont="1" applyFill="1" applyBorder="1" applyAlignment="1">
      <alignment vertical="center" wrapText="1"/>
    </xf>
    <xf numFmtId="44" fontId="7" fillId="14" borderId="33" xfId="1" applyFont="1" applyFill="1" applyBorder="1" applyAlignment="1">
      <alignment horizontal="right"/>
    </xf>
    <xf numFmtId="44" fontId="28" fillId="14" borderId="33" xfId="1" applyFont="1" applyFill="1" applyBorder="1" applyAlignment="1">
      <alignment horizontal="center" vertical="center"/>
    </xf>
    <xf numFmtId="44" fontId="7" fillId="14" borderId="33" xfId="1" applyFont="1" applyFill="1" applyBorder="1" applyAlignment="1">
      <alignment horizontal="center"/>
    </xf>
    <xf numFmtId="0" fontId="15" fillId="24" borderId="87" xfId="0" applyFont="1" applyFill="1" applyBorder="1" applyAlignment="1">
      <alignment vertical="center" wrapText="1"/>
    </xf>
    <xf numFmtId="164" fontId="7" fillId="0" borderId="76" xfId="0" applyNumberFormat="1" applyFont="1" applyFill="1" applyBorder="1" applyAlignment="1">
      <alignment horizontal="center" vertical="center" wrapText="1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" fontId="10" fillId="0" borderId="48" xfId="0" applyNumberFormat="1" applyFont="1" applyFill="1" applyBorder="1" applyAlignment="1">
      <alignment horizontal="center" vertical="center" wrapText="1"/>
    </xf>
    <xf numFmtId="1" fontId="10" fillId="0" borderId="49" xfId="0" applyNumberFormat="1" applyFont="1" applyFill="1" applyBorder="1" applyAlignment="1">
      <alignment horizontal="center" vertical="center" wrapText="1"/>
    </xf>
    <xf numFmtId="44" fontId="7" fillId="4" borderId="114" xfId="1" applyFont="1" applyFill="1" applyBorder="1" applyAlignment="1">
      <alignment horizontal="center" vertical="center"/>
    </xf>
    <xf numFmtId="44" fontId="7" fillId="4" borderId="115" xfId="1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6" fillId="0" borderId="48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 wrapText="1"/>
    </xf>
    <xf numFmtId="168" fontId="40" fillId="0" borderId="49" xfId="0" applyNumberFormat="1" applyFont="1" applyFill="1" applyBorder="1" applyAlignment="1">
      <alignment horizontal="center" vertical="center" wrapText="1"/>
    </xf>
    <xf numFmtId="1" fontId="41" fillId="27" borderId="48" xfId="0" applyNumberFormat="1" applyFont="1" applyFill="1" applyBorder="1" applyAlignment="1">
      <alignment horizontal="center" vertical="center" wrapText="1"/>
    </xf>
    <xf numFmtId="1" fontId="41" fillId="27" borderId="49" xfId="0" applyNumberFormat="1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41" fillId="27" borderId="51" xfId="0" applyNumberFormat="1" applyFont="1" applyFill="1" applyBorder="1" applyAlignment="1">
      <alignment horizontal="center" vertical="center" wrapText="1"/>
    </xf>
    <xf numFmtId="0" fontId="96" fillId="0" borderId="70" xfId="0" applyFont="1" applyFill="1" applyBorder="1" applyAlignment="1">
      <alignment horizontal="center" vertical="center" wrapText="1"/>
    </xf>
    <xf numFmtId="0" fontId="96" fillId="0" borderId="99" xfId="0" applyFont="1" applyFill="1" applyBorder="1" applyAlignment="1">
      <alignment horizontal="center" vertical="center" wrapText="1"/>
    </xf>
    <xf numFmtId="0" fontId="96" fillId="0" borderId="71" xfId="0" applyFont="1" applyFill="1" applyBorder="1" applyAlignment="1">
      <alignment horizontal="center" vertical="center" wrapText="1"/>
    </xf>
    <xf numFmtId="168" fontId="40" fillId="0" borderId="70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1" fontId="41" fillId="27" borderId="70" xfId="0" applyNumberFormat="1" applyFont="1" applyFill="1" applyBorder="1" applyAlignment="1">
      <alignment horizontal="center" vertical="center"/>
    </xf>
    <xf numFmtId="1" fontId="41" fillId="27" borderId="99" xfId="0" applyNumberFormat="1" applyFont="1" applyFill="1" applyBorder="1" applyAlignment="1">
      <alignment horizontal="center" vertical="center"/>
    </xf>
    <xf numFmtId="1" fontId="41" fillId="27" borderId="71" xfId="0" applyNumberFormat="1" applyFont="1" applyFill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0" fontId="15" fillId="0" borderId="76" xfId="0" applyFont="1" applyFill="1" applyBorder="1" applyAlignment="1">
      <alignment horizontal="center" vertical="center" wrapText="1"/>
    </xf>
    <xf numFmtId="0" fontId="15" fillId="0" borderId="77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168" fontId="10" fillId="0" borderId="76" xfId="0" applyNumberFormat="1" applyFont="1" applyFill="1" applyBorder="1" applyAlignment="1">
      <alignment horizontal="center" vertical="center" wrapText="1"/>
    </xf>
    <xf numFmtId="168" fontId="10" fillId="0" borderId="77" xfId="0" applyNumberFormat="1" applyFont="1" applyFill="1" applyBorder="1" applyAlignment="1">
      <alignment horizontal="center" vertical="center" wrapText="1"/>
    </xf>
    <xf numFmtId="168" fontId="10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1" fontId="41" fillId="27" borderId="76" xfId="0" applyNumberFormat="1" applyFont="1" applyFill="1" applyBorder="1" applyAlignment="1">
      <alignment horizontal="center" vertical="center"/>
    </xf>
    <xf numFmtId="1" fontId="41" fillId="27" borderId="77" xfId="0" applyNumberFormat="1" applyFont="1" applyFill="1" applyBorder="1" applyAlignment="1">
      <alignment horizontal="center" vertical="center"/>
    </xf>
    <xf numFmtId="1" fontId="41" fillId="27" borderId="38" xfId="0" applyNumberFormat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26" borderId="0" xfId="0" applyFont="1" applyFill="1" applyAlignment="1">
      <alignment horizontal="center"/>
    </xf>
    <xf numFmtId="164" fontId="7" fillId="26" borderId="0" xfId="0" applyNumberFormat="1" applyFont="1" applyFill="1" applyAlignment="1">
      <alignment horizontal="center"/>
    </xf>
    <xf numFmtId="4" fontId="7" fillId="26" borderId="0" xfId="0" applyNumberFormat="1" applyFont="1" applyFill="1" applyAlignment="1">
      <alignment horizontal="right"/>
    </xf>
    <xf numFmtId="4" fontId="8" fillId="26" borderId="0" xfId="0" applyNumberFormat="1" applyFont="1" applyFill="1"/>
    <xf numFmtId="0" fontId="7" fillId="26" borderId="0" xfId="0" applyFont="1" applyFill="1" applyAlignment="1">
      <alignment horizontal="center" vertical="center" wrapText="1"/>
    </xf>
    <xf numFmtId="0" fontId="7" fillId="26" borderId="33" xfId="0" applyFont="1" applyFill="1" applyBorder="1" applyAlignment="1">
      <alignment horizontal="center"/>
    </xf>
    <xf numFmtId="0" fontId="28" fillId="26" borderId="33" xfId="0" applyFont="1" applyFill="1" applyBorder="1" applyAlignment="1">
      <alignment vertical="center"/>
    </xf>
    <xf numFmtId="44" fontId="7" fillId="26" borderId="33" xfId="1" applyFont="1" applyFill="1" applyBorder="1" applyAlignment="1">
      <alignment horizontal="right"/>
    </xf>
    <xf numFmtId="0" fontId="17" fillId="26" borderId="33" xfId="0" applyFont="1" applyFill="1" applyBorder="1" applyAlignment="1">
      <alignment horizontal="left" wrapText="1"/>
    </xf>
    <xf numFmtId="44" fontId="97" fillId="0" borderId="33" xfId="1" applyFont="1" applyFill="1" applyBorder="1" applyAlignment="1">
      <alignment horizontal="right"/>
    </xf>
    <xf numFmtId="0" fontId="98" fillId="0" borderId="33" xfId="0" applyFont="1" applyFill="1" applyBorder="1" applyAlignment="1">
      <alignment horizontal="left" wrapText="1"/>
    </xf>
    <xf numFmtId="44" fontId="7" fillId="26" borderId="33" xfId="1" applyFont="1" applyFill="1" applyBorder="1"/>
    <xf numFmtId="167" fontId="18" fillId="26" borderId="33" xfId="0" applyNumberFormat="1" applyFont="1" applyFill="1" applyBorder="1" applyAlignment="1">
      <alignment wrapText="1"/>
    </xf>
    <xf numFmtId="164" fontId="7" fillId="26" borderId="33" xfId="0" applyNumberFormat="1" applyFont="1" applyFill="1" applyBorder="1"/>
    <xf numFmtId="0" fontId="22" fillId="26" borderId="33" xfId="0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CC99FF"/>
      <color rgb="FF99FFCC"/>
      <color rgb="FF336699"/>
      <color rgb="FF990099"/>
      <color rgb="FF669900"/>
      <color rgb="FFFF3399"/>
      <color rgb="FF3399FF"/>
      <color rgb="FF00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44972</c:v>
                </c:pt>
                <c:pt idx="24">
                  <c:v>44985</c:v>
                </c:pt>
                <c:pt idx="25">
                  <c:v>44987</c:v>
                </c:pt>
                <c:pt idx="26">
                  <c:v>44987</c:v>
                </c:pt>
                <c:pt idx="27">
                  <c:v>44988</c:v>
                </c:pt>
                <c:pt idx="28">
                  <c:v>44989</c:v>
                </c:pt>
                <c:pt idx="29">
                  <c:v>44978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18647</c:v>
                </c:pt>
                <c:pt idx="26">
                  <c:v>19047.03</c:v>
                </c:pt>
                <c:pt idx="27">
                  <c:v>19014.04</c:v>
                </c:pt>
                <c:pt idx="28">
                  <c:v>18761.87</c:v>
                </c:pt>
                <c:pt idx="29">
                  <c:v>18858.419999999998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18654.68</c:v>
                </c:pt>
                <c:pt idx="26">
                  <c:v>19005.3</c:v>
                </c:pt>
                <c:pt idx="27">
                  <c:v>19010</c:v>
                </c:pt>
                <c:pt idx="28">
                  <c:v>18807.21</c:v>
                </c:pt>
                <c:pt idx="29">
                  <c:v>18500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-7.680000000000291</c:v>
                </c:pt>
                <c:pt idx="26">
                  <c:v>41.729999999999563</c:v>
                </c:pt>
                <c:pt idx="27">
                  <c:v>4.0400000000008731</c:v>
                </c:pt>
                <c:pt idx="28">
                  <c:v>-45.340000000000146</c:v>
                </c:pt>
                <c:pt idx="29">
                  <c:v>358.41999999999825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  <c:pt idx="25">
                  <c:v>10374</c:v>
                </c:pt>
                <c:pt idx="26" formatCode="&quot;$&quot;#,##0.00">
                  <c:v>12274</c:v>
                </c:pt>
                <c:pt idx="27" formatCode="&quot;$&quot;#,##0.00">
                  <c:v>11424</c:v>
                </c:pt>
                <c:pt idx="28" formatCode="&quot;$&quot;#,##0.00">
                  <c:v>11424</c:v>
                </c:pt>
                <c:pt idx="29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  <c:pt idx="25">
                  <c:v>1342346</c:v>
                </c:pt>
                <c:pt idx="26">
                  <c:v>2144344</c:v>
                </c:pt>
                <c:pt idx="27">
                  <c:v>2145224</c:v>
                </c:pt>
                <c:pt idx="28">
                  <c:v>1341867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4437</c:v>
                </c:pt>
                <c:pt idx="4">
                  <c:v>4437</c:v>
                </c:pt>
                <c:pt idx="5">
                  <c:v>4332.6000000000004</c:v>
                </c:pt>
                <c:pt idx="6">
                  <c:v>4332.6000000000004</c:v>
                </c:pt>
                <c:pt idx="7">
                  <c:v>4234</c:v>
                </c:pt>
                <c:pt idx="8">
                  <c:v>4205</c:v>
                </c:pt>
                <c:pt idx="9">
                  <c:v>4176</c:v>
                </c:pt>
                <c:pt idx="10">
                  <c:v>4234</c:v>
                </c:pt>
                <c:pt idx="11">
                  <c:v>4263</c:v>
                </c:pt>
                <c:pt idx="12">
                  <c:v>4292</c:v>
                </c:pt>
                <c:pt idx="13">
                  <c:v>4292</c:v>
                </c:pt>
                <c:pt idx="14">
                  <c:v>4292</c:v>
                </c:pt>
                <c:pt idx="15">
                  <c:v>4234</c:v>
                </c:pt>
                <c:pt idx="16">
                  <c:v>4263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  <c:pt idx="25">
                  <c:v>709224.272</c:v>
                </c:pt>
                <c:pt idx="26">
                  <c:v>737449.66620000009</c:v>
                </c:pt>
                <c:pt idx="27">
                  <c:v>729941.69564000005</c:v>
                </c:pt>
                <c:pt idx="28">
                  <c:v>703959.93170000007</c:v>
                </c:pt>
                <c:pt idx="29">
                  <c:v>708653.03080000007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759674.5085</c:v>
                </c:pt>
                <c:pt idx="4">
                  <c:v>745276.46499999997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726709.59129000001</c:v>
                </c:pt>
                <c:pt idx="8">
                  <c:v>716302.91235</c:v>
                </c:pt>
                <c:pt idx="9">
                  <c:v>713568.91720000003</c:v>
                </c:pt>
                <c:pt idx="10">
                  <c:v>709404.42999999993</c:v>
                </c:pt>
                <c:pt idx="11">
                  <c:v>729808.08124999993</c:v>
                </c:pt>
                <c:pt idx="12">
                  <c:v>736189.43699999992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706440.18224999995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756718.272</c:v>
                </c:pt>
                <c:pt idx="26">
                  <c:v>786843.66620000009</c:v>
                </c:pt>
                <c:pt idx="27">
                  <c:v>778485.69564000005</c:v>
                </c:pt>
                <c:pt idx="28">
                  <c:v>752503.93170000007</c:v>
                </c:pt>
                <c:pt idx="29">
                  <c:v>758197.03080000007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40.018578946538739</c:v>
                </c:pt>
                <c:pt idx="4">
                  <c:v>39.684882856277852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38.357538288093835</c:v>
                </c:pt>
                <c:pt idx="8">
                  <c:v>38.027518775713361</c:v>
                </c:pt>
                <c:pt idx="9">
                  <c:v>38.392215018865208</c:v>
                </c:pt>
                <c:pt idx="10">
                  <c:v>38.504290058309842</c:v>
                </c:pt>
                <c:pt idx="11">
                  <c:v>38.064173268794605</c:v>
                </c:pt>
                <c:pt idx="12">
                  <c:v>38.932448241121207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37.560954704200434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40.66452707845967</c:v>
                </c:pt>
                <c:pt idx="26">
                  <c:v>41.501275759919608</c:v>
                </c:pt>
                <c:pt idx="27">
                  <c:v>41.051377992635459</c:v>
                </c:pt>
                <c:pt idx="28">
                  <c:v>40.111460057073863</c:v>
                </c:pt>
                <c:pt idx="29">
                  <c:v>41.083623286486493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7"/>
  <sheetViews>
    <sheetView tabSelected="1" zoomScaleNormal="100" workbookViewId="0">
      <pane xSplit="1" ySplit="2" topLeftCell="I27" activePane="bottomRight" state="frozen"/>
      <selection pane="topRight" activeCell="B1" sqref="B1"/>
      <selection pane="bottomLeft" activeCell="A3" sqref="A3"/>
      <selection pane="bottomRight" activeCell="L36" sqref="L3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87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293</v>
      </c>
      <c r="C1" s="488"/>
      <c r="D1" s="489"/>
      <c r="E1" s="490"/>
      <c r="F1" s="491"/>
      <c r="G1" s="492"/>
      <c r="H1" s="491"/>
      <c r="I1" s="493"/>
      <c r="J1" s="494"/>
      <c r="K1" s="1312" t="s">
        <v>26</v>
      </c>
      <c r="L1" s="589"/>
      <c r="M1" s="1314" t="s">
        <v>27</v>
      </c>
      <c r="N1" s="781"/>
      <c r="P1" s="1021" t="s">
        <v>38</v>
      </c>
      <c r="Q1" s="1310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313"/>
      <c r="L2" s="590" t="s">
        <v>29</v>
      </c>
      <c r="M2" s="1315"/>
      <c r="N2" s="782" t="s">
        <v>29</v>
      </c>
      <c r="O2" s="375" t="s">
        <v>30</v>
      </c>
      <c r="P2" s="1022" t="s">
        <v>39</v>
      </c>
      <c r="Q2" s="1311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1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988" t="str">
        <f>PIERNA!C4</f>
        <v>Seaboard</v>
      </c>
      <c r="D4" s="989" t="str">
        <f>PIERNA!D4</f>
        <v>PED. 93220280</v>
      </c>
      <c r="E4" s="704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05" t="s">
        <v>318</v>
      </c>
      <c r="K4" s="807">
        <v>10124</v>
      </c>
      <c r="L4" s="780" t="s">
        <v>386</v>
      </c>
      <c r="M4" s="680">
        <v>37120</v>
      </c>
      <c r="N4" s="690" t="s">
        <v>388</v>
      </c>
      <c r="O4" s="684">
        <v>2134321</v>
      </c>
      <c r="P4" s="1103">
        <v>4495</v>
      </c>
      <c r="Q4" s="1053">
        <f>38153.24*18.833</f>
        <v>718539.9689199999</v>
      </c>
      <c r="R4" s="1054" t="s">
        <v>381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320</v>
      </c>
      <c r="K5" s="1057">
        <v>12434</v>
      </c>
      <c r="L5" s="780" t="s">
        <v>386</v>
      </c>
      <c r="M5" s="680">
        <v>37120</v>
      </c>
      <c r="N5" s="690" t="s">
        <v>388</v>
      </c>
      <c r="O5" s="908">
        <v>2134322</v>
      </c>
      <c r="P5" s="1103">
        <v>4524</v>
      </c>
      <c r="Q5" s="1053">
        <f>38390.75*18.833</f>
        <v>723012.99474999995</v>
      </c>
      <c r="R5" s="1054" t="s">
        <v>381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05" t="s">
        <v>321</v>
      </c>
      <c r="K6" s="807">
        <v>12434</v>
      </c>
      <c r="L6" s="1060" t="s">
        <v>388</v>
      </c>
      <c r="M6" s="680">
        <v>37120</v>
      </c>
      <c r="N6" s="690" t="s">
        <v>374</v>
      </c>
      <c r="O6" s="908">
        <v>1299456</v>
      </c>
      <c r="P6" s="1103">
        <v>4524</v>
      </c>
      <c r="Q6" s="1055">
        <f>37249.29*18.847</f>
        <v>702037.36863000004</v>
      </c>
      <c r="R6" s="1056" t="s">
        <v>389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05" t="s">
        <v>322</v>
      </c>
      <c r="K7" s="680">
        <v>12274</v>
      </c>
      <c r="L7" s="701" t="s">
        <v>374</v>
      </c>
      <c r="M7" s="680">
        <v>37120</v>
      </c>
      <c r="N7" s="690" t="s">
        <v>375</v>
      </c>
      <c r="O7" s="908">
        <v>2134698</v>
      </c>
      <c r="P7" s="1264">
        <v>4437</v>
      </c>
      <c r="Q7" s="1057">
        <f>37475.1*18.835</f>
        <v>705843.5085</v>
      </c>
      <c r="R7" s="1054" t="s">
        <v>382</v>
      </c>
      <c r="S7" s="65">
        <f t="shared" si="0"/>
        <v>759674.5085</v>
      </c>
      <c r="T7" s="65">
        <f t="shared" si="1"/>
        <v>40.018578946538739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05" t="s">
        <v>323</v>
      </c>
      <c r="K8" s="680">
        <v>10374</v>
      </c>
      <c r="L8" s="701" t="s">
        <v>374</v>
      </c>
      <c r="M8" s="680">
        <v>37120</v>
      </c>
      <c r="N8" s="695" t="s">
        <v>375</v>
      </c>
      <c r="O8" s="891">
        <v>1301452</v>
      </c>
      <c r="P8" s="1264">
        <v>4437</v>
      </c>
      <c r="Q8" s="374">
        <f>36762.75*18.86</f>
        <v>693345.46499999997</v>
      </c>
      <c r="R8" s="690" t="s">
        <v>370</v>
      </c>
      <c r="S8" s="65">
        <f t="shared" si="0"/>
        <v>745276.46499999997</v>
      </c>
      <c r="T8" s="65">
        <f t="shared" si="1"/>
        <v>39.684882856277852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336</v>
      </c>
      <c r="K9" s="680">
        <v>12424</v>
      </c>
      <c r="L9" s="701" t="s">
        <v>375</v>
      </c>
      <c r="M9" s="680">
        <v>37120</v>
      </c>
      <c r="N9" s="695" t="s">
        <v>376</v>
      </c>
      <c r="O9" s="1047">
        <v>2134966</v>
      </c>
      <c r="P9" s="1264">
        <v>4332.6000000000004</v>
      </c>
      <c r="Q9" s="1053">
        <f>36664.37*18.81</f>
        <v>689656.79969999997</v>
      </c>
      <c r="R9" s="1058" t="s">
        <v>383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05" t="s">
        <v>337</v>
      </c>
      <c r="K10" s="680">
        <v>12274</v>
      </c>
      <c r="L10" s="701" t="s">
        <v>376</v>
      </c>
      <c r="M10" s="680">
        <v>27840</v>
      </c>
      <c r="N10" s="695" t="s">
        <v>378</v>
      </c>
      <c r="O10" s="1047">
        <v>2134965</v>
      </c>
      <c r="P10" s="1264">
        <v>4332.6000000000004</v>
      </c>
      <c r="Q10" s="1053">
        <f>36459.01*18.81</f>
        <v>685793.97809999995</v>
      </c>
      <c r="R10" s="1058" t="s">
        <v>383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05" t="s">
        <v>338</v>
      </c>
      <c r="K11" s="680">
        <v>12424</v>
      </c>
      <c r="L11" s="696" t="s">
        <v>377</v>
      </c>
      <c r="M11" s="680">
        <v>37120</v>
      </c>
      <c r="N11" s="695" t="s">
        <v>378</v>
      </c>
      <c r="O11" s="1048">
        <v>2136952</v>
      </c>
      <c r="P11" s="1264">
        <v>4234</v>
      </c>
      <c r="Q11" s="1053">
        <f>35826.63*18.783</f>
        <v>672931.59129000001</v>
      </c>
      <c r="R11" s="1058" t="s">
        <v>389</v>
      </c>
      <c r="S11" s="65">
        <f t="shared" si="0"/>
        <v>726709.59129000001</v>
      </c>
      <c r="T11" s="65">
        <f t="shared" si="1"/>
        <v>38.357538288093835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339</v>
      </c>
      <c r="K12" s="680">
        <v>10124</v>
      </c>
      <c r="L12" s="696" t="s">
        <v>377</v>
      </c>
      <c r="M12" s="680">
        <v>37120</v>
      </c>
      <c r="N12" s="695" t="s">
        <v>378</v>
      </c>
      <c r="O12" s="1048">
        <v>2136953</v>
      </c>
      <c r="P12" s="1264">
        <v>4205</v>
      </c>
      <c r="Q12" s="1053">
        <f>35620.45*18.783</f>
        <v>669058.91235</v>
      </c>
      <c r="R12" s="1058" t="s">
        <v>389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83" t="s">
        <v>340</v>
      </c>
      <c r="K13" s="680">
        <v>12434</v>
      </c>
      <c r="L13" s="696" t="s">
        <v>377</v>
      </c>
      <c r="M13" s="680">
        <v>37120</v>
      </c>
      <c r="N13" s="695" t="s">
        <v>378</v>
      </c>
      <c r="O13" s="1048">
        <v>1307537</v>
      </c>
      <c r="P13" s="1264">
        <v>4176</v>
      </c>
      <c r="Q13" s="374">
        <f>34838.38*18.94</f>
        <v>659838.91720000003</v>
      </c>
      <c r="R13" s="698" t="s">
        <v>371</v>
      </c>
      <c r="S13" s="65">
        <f t="shared" si="0"/>
        <v>713568.91720000003</v>
      </c>
      <c r="T13" s="65">
        <f t="shared" si="1"/>
        <v>38.392215018865208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05" t="s">
        <v>341</v>
      </c>
      <c r="K14" s="680">
        <v>12434</v>
      </c>
      <c r="L14" s="696" t="s">
        <v>378</v>
      </c>
      <c r="M14" s="680">
        <v>37120</v>
      </c>
      <c r="N14" s="695" t="s">
        <v>379</v>
      </c>
      <c r="O14" s="1047">
        <v>131770</v>
      </c>
      <c r="P14" s="1264">
        <v>4234</v>
      </c>
      <c r="Q14" s="374">
        <f>34688.7*18.9</f>
        <v>655616.42999999993</v>
      </c>
      <c r="R14" s="700" t="s">
        <v>372</v>
      </c>
      <c r="S14" s="65">
        <f t="shared" si="0"/>
        <v>709404.42999999993</v>
      </c>
      <c r="T14" s="65">
        <f t="shared" si="1"/>
        <v>38.504290058309842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84" t="s">
        <v>342</v>
      </c>
      <c r="K15" s="680">
        <v>10124</v>
      </c>
      <c r="L15" s="696" t="s">
        <v>378</v>
      </c>
      <c r="M15" s="680">
        <v>37120</v>
      </c>
      <c r="N15" s="701" t="s">
        <v>379</v>
      </c>
      <c r="O15" s="688">
        <v>2136954</v>
      </c>
      <c r="P15" s="1264">
        <v>4263</v>
      </c>
      <c r="Q15" s="374">
        <f>36418.85*18.625</f>
        <v>678301.08124999993</v>
      </c>
      <c r="R15" s="702" t="s">
        <v>369</v>
      </c>
      <c r="S15" s="65">
        <f t="shared" si="0"/>
        <v>729808.08124999993</v>
      </c>
      <c r="T15" s="65">
        <f t="shared" si="1"/>
        <v>38.064173268794605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85" t="s">
        <v>347</v>
      </c>
      <c r="K16" s="680">
        <v>11424</v>
      </c>
      <c r="L16" s="696" t="s">
        <v>379</v>
      </c>
      <c r="M16" s="680">
        <v>37120</v>
      </c>
      <c r="N16" s="701" t="s">
        <v>380</v>
      </c>
      <c r="O16" s="1048">
        <v>2138163</v>
      </c>
      <c r="P16" s="1264">
        <v>4292</v>
      </c>
      <c r="Q16" s="501">
        <f>36232.95*18.86</f>
        <v>683353.43699999992</v>
      </c>
      <c r="R16" s="698" t="s">
        <v>370</v>
      </c>
      <c r="S16" s="65">
        <f t="shared" si="0"/>
        <v>736189.43699999992</v>
      </c>
      <c r="T16" s="65">
        <f t="shared" si="1"/>
        <v>38.932448241121207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986" t="s">
        <v>352</v>
      </c>
      <c r="K17" s="680">
        <v>12424</v>
      </c>
      <c r="L17" s="696" t="s">
        <v>408</v>
      </c>
      <c r="M17" s="680">
        <v>37120</v>
      </c>
      <c r="N17" s="701" t="s">
        <v>409</v>
      </c>
      <c r="O17" s="1048">
        <v>2139191</v>
      </c>
      <c r="P17" s="1264">
        <v>4292</v>
      </c>
      <c r="Q17" s="501">
        <f>35578.02*19.13</f>
        <v>680607.52259999991</v>
      </c>
      <c r="R17" s="698" t="s">
        <v>371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05" t="s">
        <v>319</v>
      </c>
      <c r="K18" s="680">
        <v>11424</v>
      </c>
      <c r="L18" s="696" t="s">
        <v>408</v>
      </c>
      <c r="M18" s="680">
        <v>37120</v>
      </c>
      <c r="N18" s="701" t="s">
        <v>409</v>
      </c>
      <c r="O18" s="907">
        <v>2139192</v>
      </c>
      <c r="P18" s="1265">
        <v>4292</v>
      </c>
      <c r="Q18" s="501">
        <f>35773.33*19.13</f>
        <v>684343.80290000001</v>
      </c>
      <c r="R18" s="700" t="s">
        <v>371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05" t="s">
        <v>398</v>
      </c>
      <c r="K19" s="680">
        <v>12274</v>
      </c>
      <c r="L19" s="696" t="s">
        <v>410</v>
      </c>
      <c r="M19" s="680">
        <v>37120</v>
      </c>
      <c r="N19" s="695" t="s">
        <v>411</v>
      </c>
      <c r="O19" s="1047">
        <v>2139600</v>
      </c>
      <c r="P19" s="1266">
        <v>4234</v>
      </c>
      <c r="Q19" s="501">
        <f>35527.84*18.9</f>
        <v>671476.17599999986</v>
      </c>
      <c r="R19" s="690" t="s">
        <v>372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77" t="s">
        <v>399</v>
      </c>
      <c r="K20" s="680">
        <v>12424</v>
      </c>
      <c r="L20" s="696" t="s">
        <v>410</v>
      </c>
      <c r="M20" s="680">
        <v>37120</v>
      </c>
      <c r="N20" s="695" t="s">
        <v>411</v>
      </c>
      <c r="O20" s="1047">
        <v>1322181</v>
      </c>
      <c r="P20" s="1264">
        <v>4263</v>
      </c>
      <c r="Q20" s="501">
        <f>35135.03*18.575</f>
        <v>652633.18224999995</v>
      </c>
      <c r="R20" s="690" t="s">
        <v>407</v>
      </c>
      <c r="S20" s="65">
        <f t="shared" si="0"/>
        <v>706440.18224999995</v>
      </c>
      <c r="T20" s="65">
        <f t="shared" si="1"/>
        <v>37.560954704200434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05" t="s">
        <v>418</v>
      </c>
      <c r="K21" s="680">
        <v>12424</v>
      </c>
      <c r="L21" s="696" t="s">
        <v>434</v>
      </c>
      <c r="M21" s="680">
        <v>37120</v>
      </c>
      <c r="N21" s="695" t="s">
        <v>433</v>
      </c>
      <c r="O21" s="1048">
        <v>2141632</v>
      </c>
      <c r="P21" s="1264">
        <v>0</v>
      </c>
      <c r="Q21" s="501">
        <f>36578.81*18.798</f>
        <v>687608.47037999984</v>
      </c>
      <c r="R21" s="690" t="s">
        <v>437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419</v>
      </c>
      <c r="K22" s="680">
        <v>11424</v>
      </c>
      <c r="L22" s="696" t="s">
        <v>434</v>
      </c>
      <c r="M22" s="680">
        <v>37120</v>
      </c>
      <c r="N22" s="695" t="s">
        <v>433</v>
      </c>
      <c r="O22" s="1048">
        <v>2141407</v>
      </c>
      <c r="P22" s="1266"/>
      <c r="Q22" s="501">
        <f>38603.32*18.59</f>
        <v>717635.71880000003</v>
      </c>
      <c r="R22" s="690" t="s">
        <v>438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895" t="s">
        <v>420</v>
      </c>
      <c r="K23" s="680">
        <v>11447.2</v>
      </c>
      <c r="L23" s="696" t="s">
        <v>434</v>
      </c>
      <c r="M23" s="680">
        <v>37120</v>
      </c>
      <c r="N23" s="695" t="s">
        <v>433</v>
      </c>
      <c r="O23" s="684">
        <v>1326864</v>
      </c>
      <c r="P23" s="1264"/>
      <c r="Q23" s="501">
        <f>36327.03*18.415</f>
        <v>668962.25744999992</v>
      </c>
      <c r="R23" s="690" t="s">
        <v>430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1187" t="s">
        <v>421</v>
      </c>
      <c r="K24" s="1188">
        <v>10124</v>
      </c>
      <c r="L24" s="1189" t="s">
        <v>433</v>
      </c>
      <c r="M24" s="1188">
        <v>37120</v>
      </c>
      <c r="N24" s="1190" t="s">
        <v>433</v>
      </c>
      <c r="O24" s="1191">
        <v>1331366</v>
      </c>
      <c r="P24" s="1264"/>
      <c r="Q24" s="1192">
        <f>36428.74*18.454</f>
        <v>672255.96796000004</v>
      </c>
      <c r="R24" s="1193" t="s">
        <v>427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05" t="s">
        <v>422</v>
      </c>
      <c r="K25" s="680">
        <v>12434</v>
      </c>
      <c r="L25" s="689" t="s">
        <v>435</v>
      </c>
      <c r="M25" s="680">
        <v>37120</v>
      </c>
      <c r="N25" s="690" t="s">
        <v>435</v>
      </c>
      <c r="O25" s="1047">
        <v>2142430</v>
      </c>
      <c r="P25" s="1266"/>
      <c r="Q25" s="501">
        <f>35047.05*18.56</f>
        <v>650473.24800000002</v>
      </c>
      <c r="R25" s="692" t="s">
        <v>429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05" t="s">
        <v>426</v>
      </c>
      <c r="K26" s="680">
        <v>10124</v>
      </c>
      <c r="L26" s="689" t="s">
        <v>436</v>
      </c>
      <c r="M26" s="680">
        <v>37120</v>
      </c>
      <c r="N26" s="690" t="s">
        <v>436</v>
      </c>
      <c r="O26" s="1047">
        <v>2142575</v>
      </c>
      <c r="P26" s="1264"/>
      <c r="Q26" s="501">
        <f>34936.75*18.575</f>
        <v>648950.13124999998</v>
      </c>
      <c r="R26" s="690" t="s">
        <v>407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44972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77" t="s">
        <v>401</v>
      </c>
      <c r="K27" s="680">
        <v>10124</v>
      </c>
      <c r="L27" s="696" t="s">
        <v>409</v>
      </c>
      <c r="M27" s="680">
        <v>37120</v>
      </c>
      <c r="N27" s="695" t="s">
        <v>410</v>
      </c>
      <c r="O27" s="1047">
        <v>1320230</v>
      </c>
      <c r="P27" s="1266"/>
      <c r="Q27" s="501">
        <f>35254.63*18.535</f>
        <v>653444.56704999995</v>
      </c>
      <c r="R27" s="690" t="s">
        <v>438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05" t="s">
        <v>440</v>
      </c>
      <c r="K28" s="680">
        <v>11424</v>
      </c>
      <c r="L28" s="696" t="s">
        <v>443</v>
      </c>
      <c r="M28" s="680">
        <v>37120</v>
      </c>
      <c r="N28" s="695" t="s">
        <v>442</v>
      </c>
      <c r="O28" s="1047">
        <v>1244343</v>
      </c>
      <c r="P28" s="501"/>
      <c r="Q28" s="501">
        <f>38990.51*18.38</f>
        <v>716645.57380000001</v>
      </c>
      <c r="R28" s="692" t="s">
        <v>430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 t="str">
        <f>PIERNA!JA5</f>
        <v>TYSON FRESH MEAT</v>
      </c>
      <c r="C29" s="264" t="str">
        <f>PIERNA!JB5</f>
        <v xml:space="preserve">I B P </v>
      </c>
      <c r="D29" s="1210" t="str">
        <f>PIERNA!JC5</f>
        <v>PED.94551912</v>
      </c>
      <c r="E29" s="1216">
        <f>PIERNA!JD5</f>
        <v>44987</v>
      </c>
      <c r="F29" s="558">
        <f>PIERNA!JE5</f>
        <v>18647</v>
      </c>
      <c r="G29" s="563">
        <f>PIERNA!JF5</f>
        <v>20</v>
      </c>
      <c r="H29" s="397">
        <f>PIERNA!JG5</f>
        <v>18654.68</v>
      </c>
      <c r="I29" s="626">
        <f>PIERNA!I29</f>
        <v>-7.680000000000291</v>
      </c>
      <c r="J29" s="1214" t="s">
        <v>690</v>
      </c>
      <c r="K29" s="374">
        <v>10374</v>
      </c>
      <c r="L29" s="689" t="s">
        <v>750</v>
      </c>
      <c r="M29" s="680">
        <v>37120</v>
      </c>
      <c r="N29" s="690" t="s">
        <v>742</v>
      </c>
      <c r="O29" s="1251">
        <v>1342346</v>
      </c>
      <c r="P29" s="501"/>
      <c r="Q29" s="501">
        <f>39054.2*18.16</f>
        <v>709224.272</v>
      </c>
      <c r="R29" s="692" t="s">
        <v>741</v>
      </c>
      <c r="S29" s="65">
        <f t="shared" si="0"/>
        <v>756718.272</v>
      </c>
      <c r="T29" s="65">
        <f t="shared" si="1"/>
        <v>40.66452707845967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 t="str">
        <f>PIERNA!JK5</f>
        <v xml:space="preserve">SEABOARD FOODS </v>
      </c>
      <c r="C30" s="264" t="str">
        <f>PIERNA!JL5</f>
        <v>Seaboard</v>
      </c>
      <c r="D30" s="1210" t="str">
        <f>PIERNA!JM5</f>
        <v>PED. 94551914</v>
      </c>
      <c r="E30" s="1211">
        <f>PIERNA!JN5</f>
        <v>44987</v>
      </c>
      <c r="F30" s="565">
        <f>PIERNA!JO5</f>
        <v>19047.03</v>
      </c>
      <c r="G30" s="376">
        <f>PIERNA!JP5</f>
        <v>21</v>
      </c>
      <c r="H30" s="566">
        <f>PIERNA!JQ5</f>
        <v>19005.3</v>
      </c>
      <c r="I30" s="626">
        <f>PIERNA!I30</f>
        <v>41.729999999999563</v>
      </c>
      <c r="J30" s="1215" t="s">
        <v>691</v>
      </c>
      <c r="K30" s="680">
        <v>12274</v>
      </c>
      <c r="L30" s="689" t="s">
        <v>750</v>
      </c>
      <c r="M30" s="680">
        <v>37120</v>
      </c>
      <c r="N30" s="690" t="s">
        <v>742</v>
      </c>
      <c r="O30" s="1251">
        <v>2144344</v>
      </c>
      <c r="P30" s="501"/>
      <c r="Q30" s="1488">
        <f>40100.58*18.39</f>
        <v>737449.66620000009</v>
      </c>
      <c r="R30" s="1489" t="s">
        <v>431</v>
      </c>
      <c r="S30" s="65">
        <f>Q30+M30+K30</f>
        <v>786843.66620000009</v>
      </c>
      <c r="T30" s="65">
        <f t="shared" si="1"/>
        <v>41.501275759919608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 t="str">
        <f>PIERNA!JU5</f>
        <v>SEABOARD FOODS</v>
      </c>
      <c r="C31" s="567" t="str">
        <f>PIERNA!JV5</f>
        <v>Seaboard</v>
      </c>
      <c r="D31" s="1210" t="str">
        <f>PIERNA!JW5</f>
        <v>PED. 94616717</v>
      </c>
      <c r="E31" s="1211">
        <f>PIERNA!JX5</f>
        <v>44988</v>
      </c>
      <c r="F31" s="565">
        <f>PIERNA!JY5</f>
        <v>19014.04</v>
      </c>
      <c r="G31" s="376">
        <f>PIERNA!JZ5</f>
        <v>21</v>
      </c>
      <c r="H31" s="566">
        <f>PIERNA!KA5</f>
        <v>19010</v>
      </c>
      <c r="I31" s="626">
        <f>PIERNA!I31</f>
        <v>4.0400000000008731</v>
      </c>
      <c r="J31" s="1215" t="s">
        <v>692</v>
      </c>
      <c r="K31" s="680">
        <v>11424</v>
      </c>
      <c r="L31" s="689" t="s">
        <v>742</v>
      </c>
      <c r="M31" s="680">
        <v>37120</v>
      </c>
      <c r="N31" s="690" t="s">
        <v>746</v>
      </c>
      <c r="O31" s="1251">
        <v>2145224</v>
      </c>
      <c r="P31" s="501"/>
      <c r="Q31" s="1488">
        <f>39554.66*18.454</f>
        <v>729941.69564000005</v>
      </c>
      <c r="R31" s="1489" t="s">
        <v>427</v>
      </c>
      <c r="S31" s="65">
        <f t="shared" si="0"/>
        <v>778485.69564000005</v>
      </c>
      <c r="T31" s="65">
        <f t="shared" si="1"/>
        <v>41.051377992635459</v>
      </c>
      <c r="W31" s="73"/>
      <c r="X31" s="73"/>
      <c r="Y31" s="167"/>
      <c r="Z31" s="168"/>
      <c r="AA31" s="167"/>
      <c r="AB31" s="167"/>
      <c r="AC31" s="167"/>
    </row>
    <row r="32" spans="1:29" s="149" customFormat="1" ht="42" customHeight="1" x14ac:dyDescent="0.25">
      <c r="A32" s="98">
        <v>29</v>
      </c>
      <c r="B32" s="264" t="str">
        <f>PIERNA!KE5</f>
        <v>TYSON FRESH MEAT</v>
      </c>
      <c r="C32" s="264" t="str">
        <f>PIERNA!KF5</f>
        <v xml:space="preserve">I B P </v>
      </c>
      <c r="D32" s="1210" t="str">
        <f>PIERNA!KG5</f>
        <v>PED. 94652360</v>
      </c>
      <c r="E32" s="1211">
        <f>PIERNA!KH5</f>
        <v>44989</v>
      </c>
      <c r="F32" s="565">
        <f>PIERNA!KI5</f>
        <v>18761.87</v>
      </c>
      <c r="G32" s="376">
        <f>PIERNA!KJ5</f>
        <v>20</v>
      </c>
      <c r="H32" s="566">
        <f>PIERNA!H32</f>
        <v>18807.21</v>
      </c>
      <c r="I32" s="626">
        <f>PIERNA!I32</f>
        <v>-45.340000000000146</v>
      </c>
      <c r="J32" s="1218" t="s">
        <v>699</v>
      </c>
      <c r="K32" s="680">
        <v>11424</v>
      </c>
      <c r="L32" s="689" t="s">
        <v>746</v>
      </c>
      <c r="M32" s="680">
        <v>37120</v>
      </c>
      <c r="N32" s="690" t="s">
        <v>751</v>
      </c>
      <c r="O32" s="1251">
        <v>1341867</v>
      </c>
      <c r="P32" s="501"/>
      <c r="Q32" s="501">
        <f>39087.17*18.01</f>
        <v>703959.93170000007</v>
      </c>
      <c r="R32" s="692" t="s">
        <v>746</v>
      </c>
      <c r="S32" s="65">
        <f>Q32+M32+K32+P32</f>
        <v>752503.93170000007</v>
      </c>
      <c r="T32" s="65">
        <f t="shared" ref="T32:T41" si="8">S32/H32+0.1</f>
        <v>40.111460057073863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 t="str">
        <f>PIERNA!KO5</f>
        <v>SEABOARD FOODS</v>
      </c>
      <c r="C33" s="1485" t="str">
        <f>PIERNA!KP5</f>
        <v>Seaboard</v>
      </c>
      <c r="D33" s="1212" t="str">
        <f>PIERNA!KQ5</f>
        <v xml:space="preserve">PED. </v>
      </c>
      <c r="E33" s="1213">
        <f>PIERNA!KR5</f>
        <v>44978</v>
      </c>
      <c r="F33" s="568">
        <f>PIERNA!KS5</f>
        <v>18858.419999999998</v>
      </c>
      <c r="G33" s="569">
        <f>PIERNA!KT5</f>
        <v>21</v>
      </c>
      <c r="H33" s="566">
        <f>PIERNA!KU5</f>
        <v>18500</v>
      </c>
      <c r="I33" s="627">
        <f>PIERNA!I33</f>
        <v>358.41999999999825</v>
      </c>
      <c r="J33" s="1484" t="s">
        <v>754</v>
      </c>
      <c r="K33" s="1490">
        <v>12424</v>
      </c>
      <c r="L33" s="1491" t="s">
        <v>434</v>
      </c>
      <c r="M33" s="1492">
        <v>37120</v>
      </c>
      <c r="N33" s="1493" t="s">
        <v>433</v>
      </c>
      <c r="O33" s="691"/>
      <c r="P33" s="501"/>
      <c r="Q33" s="1486">
        <f>38120.12*18.59</f>
        <v>708653.03080000007</v>
      </c>
      <c r="R33" s="1487" t="s">
        <v>755</v>
      </c>
      <c r="S33" s="65">
        <f>Q33+M33+K33+P33</f>
        <v>758197.03080000007</v>
      </c>
      <c r="T33" s="65">
        <f t="shared" si="8"/>
        <v>41.083623286486493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89"/>
      <c r="M34" s="680"/>
      <c r="N34" s="690"/>
      <c r="O34" s="693"/>
      <c r="P34" s="501"/>
      <c r="Q34" s="502"/>
      <c r="R34" s="694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89"/>
      <c r="M35" s="680"/>
      <c r="N35" s="690"/>
      <c r="O35" s="693"/>
      <c r="P35" s="501"/>
      <c r="Q35" s="374"/>
      <c r="R35" s="692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89"/>
      <c r="M36" s="680"/>
      <c r="N36" s="695"/>
      <c r="O36" s="693"/>
      <c r="P36" s="501"/>
      <c r="Q36" s="374"/>
      <c r="R36" s="69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89"/>
      <c r="M37" s="680"/>
      <c r="N37" s="690"/>
      <c r="O37" s="697"/>
      <c r="P37" s="501"/>
      <c r="Q37" s="501"/>
      <c r="R37" s="690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3"/>
      <c r="M38" s="680"/>
      <c r="N38" s="690"/>
      <c r="O38" s="697"/>
      <c r="P38" s="501"/>
      <c r="Q38" s="501"/>
      <c r="R38" s="692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3"/>
      <c r="M39" s="680"/>
      <c r="N39" s="690"/>
      <c r="O39" s="691"/>
      <c r="P39" s="501"/>
      <c r="Q39" s="501"/>
      <c r="R39" s="692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89"/>
      <c r="M40" s="680"/>
      <c r="N40" s="690"/>
      <c r="O40" s="691"/>
      <c r="P40" s="501"/>
      <c r="Q40" s="501"/>
      <c r="R40" s="692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89"/>
      <c r="M41" s="680"/>
      <c r="N41" s="690"/>
      <c r="O41" s="691"/>
      <c r="P41" s="501"/>
      <c r="Q41" s="501"/>
      <c r="R41" s="692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89"/>
      <c r="M42" s="680"/>
      <c r="N42" s="690"/>
      <c r="O42" s="691"/>
      <c r="P42" s="501"/>
      <c r="Q42" s="501"/>
      <c r="R42" s="69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89"/>
      <c r="M43" s="680"/>
      <c r="N43" s="690"/>
      <c r="O43" s="691"/>
      <c r="P43" s="501"/>
      <c r="Q43" s="501"/>
      <c r="R43" s="692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89"/>
      <c r="M44" s="680"/>
      <c r="N44" s="695"/>
      <c r="O44" s="697"/>
      <c r="P44" s="501"/>
      <c r="Q44" s="374"/>
      <c r="R44" s="692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89"/>
      <c r="M45" s="680"/>
      <c r="N45" s="695"/>
      <c r="O45" s="697"/>
      <c r="P45" s="501"/>
      <c r="Q45" s="374"/>
      <c r="R45" s="692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89"/>
      <c r="M46" s="680"/>
      <c r="N46" s="695"/>
      <c r="O46" s="697"/>
      <c r="P46" s="501"/>
      <c r="Q46" s="374"/>
      <c r="R46" s="692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89"/>
      <c r="M47" s="873"/>
      <c r="N47" s="695"/>
      <c r="O47" s="699"/>
      <c r="P47" s="501"/>
      <c r="Q47" s="374"/>
      <c r="R47" s="692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89"/>
      <c r="M48" s="874"/>
      <c r="N48" s="695"/>
      <c r="O48" s="697"/>
      <c r="P48" s="501"/>
      <c r="Q48" s="374"/>
      <c r="R48" s="692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89"/>
      <c r="M49" s="874"/>
      <c r="N49" s="695"/>
      <c r="O49" s="697"/>
      <c r="P49" s="501"/>
      <c r="Q49" s="374"/>
      <c r="R49" s="692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89"/>
      <c r="M50" s="874"/>
      <c r="N50" s="695"/>
      <c r="O50" s="697"/>
      <c r="P50" s="501"/>
      <c r="Q50" s="374"/>
      <c r="R50" s="692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89"/>
      <c r="M51" s="874"/>
      <c r="N51" s="695"/>
      <c r="O51" s="697"/>
      <c r="P51" s="1023"/>
      <c r="Q51" s="374"/>
      <c r="R51" s="692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89"/>
      <c r="M52" s="874"/>
      <c r="N52" s="695"/>
      <c r="O52" s="697"/>
      <c r="P52" s="501"/>
      <c r="Q52" s="374"/>
      <c r="R52" s="875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89"/>
      <c r="M53" s="874"/>
      <c r="N53" s="695"/>
      <c r="O53" s="697"/>
      <c r="P53" s="501"/>
      <c r="Q53" s="374"/>
      <c r="R53" s="875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89"/>
      <c r="M54" s="874"/>
      <c r="N54" s="695"/>
      <c r="O54" s="697"/>
      <c r="P54" s="501"/>
      <c r="Q54" s="374"/>
      <c r="R54" s="875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89"/>
      <c r="M55" s="874"/>
      <c r="N55" s="695"/>
      <c r="O55" s="697"/>
      <c r="P55" s="501"/>
      <c r="Q55" s="374"/>
      <c r="R55" s="875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89"/>
      <c r="M56" s="874"/>
      <c r="N56" s="695"/>
      <c r="O56" s="697"/>
      <c r="P56" s="501"/>
      <c r="Q56" s="374"/>
      <c r="R56" s="875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89"/>
      <c r="M57" s="874"/>
      <c r="N57" s="695"/>
      <c r="O57" s="697"/>
      <c r="P57" s="501"/>
      <c r="Q57" s="374"/>
      <c r="R57" s="875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89"/>
      <c r="M58" s="874"/>
      <c r="N58" s="695"/>
      <c r="O58" s="697"/>
      <c r="P58" s="501"/>
      <c r="Q58" s="374"/>
      <c r="R58" s="875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89"/>
      <c r="M59" s="874"/>
      <c r="N59" s="695"/>
      <c r="O59" s="697"/>
      <c r="P59" s="501"/>
      <c r="Q59" s="374"/>
      <c r="R59" s="875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79"/>
      <c r="L60" s="806"/>
      <c r="M60" s="874"/>
      <c r="N60" s="695"/>
      <c r="O60" s="697"/>
      <c r="P60" s="501"/>
      <c r="Q60" s="374"/>
      <c r="R60" s="875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89"/>
      <c r="M61" s="874"/>
      <c r="N61" s="695"/>
      <c r="O61" s="697"/>
      <c r="P61" s="501"/>
      <c r="Q61" s="374"/>
      <c r="R61" s="875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89"/>
      <c r="M62" s="874"/>
      <c r="N62" s="695"/>
      <c r="O62" s="697"/>
      <c r="P62" s="501"/>
      <c r="Q62" s="374"/>
      <c r="R62" s="875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89"/>
      <c r="M63" s="874"/>
      <c r="N63" s="695"/>
      <c r="O63" s="697"/>
      <c r="P63" s="501"/>
      <c r="Q63" s="374"/>
      <c r="R63" s="875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89"/>
      <c r="M64" s="874"/>
      <c r="N64" s="695"/>
      <c r="O64" s="697"/>
      <c r="P64" s="501"/>
      <c r="Q64" s="374"/>
      <c r="R64" s="875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89"/>
      <c r="M65" s="874"/>
      <c r="N65" s="695"/>
      <c r="O65" s="697"/>
      <c r="P65" s="501"/>
      <c r="Q65" s="374"/>
      <c r="R65" s="875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89"/>
      <c r="M66" s="874"/>
      <c r="N66" s="695"/>
      <c r="O66" s="697"/>
      <c r="P66" s="501"/>
      <c r="Q66" s="374"/>
      <c r="R66" s="875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89"/>
      <c r="M67" s="874"/>
      <c r="N67" s="695"/>
      <c r="O67" s="697"/>
      <c r="P67" s="501"/>
      <c r="Q67" s="374"/>
      <c r="R67" s="875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89"/>
      <c r="M68" s="874"/>
      <c r="N68" s="695"/>
      <c r="O68" s="697"/>
      <c r="P68" s="501"/>
      <c r="Q68" s="374"/>
      <c r="R68" s="875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89"/>
      <c r="M69" s="874"/>
      <c r="N69" s="695"/>
      <c r="O69" s="697"/>
      <c r="P69" s="501"/>
      <c r="Q69" s="374"/>
      <c r="R69" s="875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2"/>
      <c r="K70" s="680"/>
      <c r="L70" s="689"/>
      <c r="M70" s="874"/>
      <c r="N70" s="695"/>
      <c r="O70" s="697"/>
      <c r="P70" s="501"/>
      <c r="Q70" s="374"/>
      <c r="R70" s="875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2"/>
      <c r="K71" s="680"/>
      <c r="L71" s="689"/>
      <c r="M71" s="874"/>
      <c r="N71" s="695"/>
      <c r="O71" s="697"/>
      <c r="P71" s="501"/>
      <c r="Q71" s="374"/>
      <c r="R71" s="875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2"/>
      <c r="K72" s="680"/>
      <c r="L72" s="689"/>
      <c r="M72" s="874"/>
      <c r="N72" s="695"/>
      <c r="O72" s="697"/>
      <c r="P72" s="501"/>
      <c r="Q72" s="374"/>
      <c r="R72" s="875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2"/>
      <c r="K73" s="680"/>
      <c r="L73" s="689"/>
      <c r="M73" s="874"/>
      <c r="N73" s="695"/>
      <c r="O73" s="697"/>
      <c r="P73" s="501"/>
      <c r="Q73" s="374"/>
      <c r="R73" s="875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2"/>
      <c r="K74" s="680"/>
      <c r="L74" s="689"/>
      <c r="M74" s="874"/>
      <c r="N74" s="695"/>
      <c r="O74" s="697"/>
      <c r="P74" s="501"/>
      <c r="Q74" s="374"/>
      <c r="R74" s="875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2"/>
      <c r="K75" s="680"/>
      <c r="L75" s="689"/>
      <c r="M75" s="874"/>
      <c r="N75" s="695"/>
      <c r="O75" s="697"/>
      <c r="P75" s="501"/>
      <c r="Q75" s="374"/>
      <c r="R75" s="875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2"/>
      <c r="K76" s="680"/>
      <c r="L76" s="689"/>
      <c r="M76" s="874"/>
      <c r="N76" s="695"/>
      <c r="O76" s="697"/>
      <c r="P76" s="501"/>
      <c r="Q76" s="374"/>
      <c r="R76" s="875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2"/>
      <c r="K77" s="680"/>
      <c r="L77" s="689"/>
      <c r="M77" s="874"/>
      <c r="N77" s="695"/>
      <c r="O77" s="697"/>
      <c r="P77" s="501"/>
      <c r="Q77" s="374"/>
      <c r="R77" s="875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2"/>
      <c r="K78" s="680"/>
      <c r="L78" s="689"/>
      <c r="M78" s="874"/>
      <c r="N78" s="695"/>
      <c r="O78" s="697"/>
      <c r="P78" s="501"/>
      <c r="Q78" s="374"/>
      <c r="R78" s="875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2"/>
      <c r="K79" s="680"/>
      <c r="L79" s="689"/>
      <c r="M79" s="874"/>
      <c r="N79" s="695"/>
      <c r="O79" s="697"/>
      <c r="P79" s="501"/>
      <c r="Q79" s="374"/>
      <c r="R79" s="875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2"/>
      <c r="K80" s="680"/>
      <c r="L80" s="689"/>
      <c r="M80" s="874"/>
      <c r="N80" s="695"/>
      <c r="O80" s="697"/>
      <c r="P80" s="501"/>
      <c r="Q80" s="374"/>
      <c r="R80" s="875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2"/>
      <c r="K81" s="680"/>
      <c r="L81" s="689"/>
      <c r="M81" s="874"/>
      <c r="N81" s="695"/>
      <c r="O81" s="697"/>
      <c r="P81" s="501"/>
      <c r="Q81" s="374"/>
      <c r="R81" s="875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2"/>
      <c r="K82" s="680"/>
      <c r="L82" s="689"/>
      <c r="M82" s="874"/>
      <c r="N82" s="695"/>
      <c r="O82" s="697"/>
      <c r="P82" s="501"/>
      <c r="Q82" s="374"/>
      <c r="R82" s="875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2"/>
      <c r="K83" s="680"/>
      <c r="L83" s="689"/>
      <c r="M83" s="874"/>
      <c r="N83" s="695"/>
      <c r="O83" s="697"/>
      <c r="P83" s="501"/>
      <c r="Q83" s="374"/>
      <c r="R83" s="875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2"/>
      <c r="K84" s="680"/>
      <c r="L84" s="689"/>
      <c r="M84" s="874"/>
      <c r="N84" s="695"/>
      <c r="O84" s="697"/>
      <c r="P84" s="501"/>
      <c r="Q84" s="374"/>
      <c r="R84" s="875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2"/>
      <c r="K85" s="680"/>
      <c r="L85" s="689"/>
      <c r="M85" s="874"/>
      <c r="N85" s="695"/>
      <c r="O85" s="697"/>
      <c r="P85" s="501"/>
      <c r="Q85" s="374"/>
      <c r="R85" s="875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2"/>
      <c r="K86" s="680"/>
      <c r="L86" s="689"/>
      <c r="M86" s="874"/>
      <c r="N86" s="695"/>
      <c r="O86" s="697"/>
      <c r="P86" s="501"/>
      <c r="Q86" s="374"/>
      <c r="R86" s="875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2"/>
      <c r="K87" s="680"/>
      <c r="L87" s="689"/>
      <c r="M87" s="874"/>
      <c r="N87" s="695"/>
      <c r="O87" s="697"/>
      <c r="P87" s="501"/>
      <c r="Q87" s="374"/>
      <c r="R87" s="875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2"/>
      <c r="K88" s="680"/>
      <c r="L88" s="689"/>
      <c r="M88" s="874"/>
      <c r="N88" s="695"/>
      <c r="O88" s="697"/>
      <c r="P88" s="501"/>
      <c r="Q88" s="374"/>
      <c r="R88" s="875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2"/>
      <c r="K89" s="680"/>
      <c r="L89" s="689"/>
      <c r="M89" s="874"/>
      <c r="N89" s="695"/>
      <c r="O89" s="697"/>
      <c r="P89" s="501"/>
      <c r="Q89" s="374"/>
      <c r="R89" s="875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2"/>
      <c r="K90" s="680"/>
      <c r="L90" s="689"/>
      <c r="M90" s="874"/>
      <c r="N90" s="695"/>
      <c r="O90" s="697"/>
      <c r="P90" s="501"/>
      <c r="Q90" s="374"/>
      <c r="R90" s="875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2"/>
      <c r="K91" s="680"/>
      <c r="L91" s="689"/>
      <c r="M91" s="874"/>
      <c r="N91" s="695"/>
      <c r="O91" s="697"/>
      <c r="P91" s="501"/>
      <c r="Q91" s="374"/>
      <c r="R91" s="875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2"/>
      <c r="K92" s="680"/>
      <c r="L92" s="689"/>
      <c r="M92" s="874"/>
      <c r="N92" s="695"/>
      <c r="O92" s="697"/>
      <c r="P92" s="501"/>
      <c r="Q92" s="374"/>
      <c r="R92" s="875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2"/>
      <c r="K93" s="680"/>
      <c r="L93" s="689"/>
      <c r="M93" s="874"/>
      <c r="N93" s="695"/>
      <c r="O93" s="697"/>
      <c r="P93" s="501"/>
      <c r="Q93" s="374"/>
      <c r="R93" s="875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80"/>
      <c r="L94" s="689"/>
      <c r="M94" s="874"/>
      <c r="N94" s="695"/>
      <c r="O94" s="697"/>
      <c r="P94" s="501"/>
      <c r="Q94" s="374"/>
      <c r="R94" s="875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2"/>
      <c r="K95" s="680"/>
      <c r="L95" s="689"/>
      <c r="M95" s="680"/>
      <c r="N95" s="695"/>
      <c r="O95" s="697"/>
      <c r="P95" s="501"/>
      <c r="Q95" s="374"/>
      <c r="R95" s="875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2"/>
      <c r="K96" s="680"/>
      <c r="L96" s="689"/>
      <c r="M96" s="680"/>
      <c r="N96" s="695"/>
      <c r="O96" s="697"/>
      <c r="P96" s="501"/>
      <c r="Q96" s="374"/>
      <c r="R96" s="875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2"/>
      <c r="K97" s="680"/>
      <c r="L97" s="689"/>
      <c r="M97" s="680"/>
      <c r="N97" s="695"/>
      <c r="O97" s="682"/>
      <c r="P97" s="500"/>
      <c r="Q97" s="500"/>
      <c r="R97" s="683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2"/>
      <c r="K98" s="680"/>
      <c r="L98" s="689"/>
      <c r="M98" s="680"/>
      <c r="N98" s="695"/>
      <c r="O98" s="682"/>
      <c r="P98" s="500"/>
      <c r="Q98" s="500"/>
      <c r="R98" s="683"/>
      <c r="S98" s="65"/>
      <c r="T98" s="167"/>
    </row>
    <row r="99" spans="1:20" s="149" customFormat="1" ht="28.5" x14ac:dyDescent="0.25">
      <c r="A99" s="98">
        <v>61</v>
      </c>
      <c r="B99" s="1059" t="s">
        <v>213</v>
      </c>
      <c r="C99" s="990" t="s">
        <v>317</v>
      </c>
      <c r="D99" s="888"/>
      <c r="E99" s="1012">
        <v>44956</v>
      </c>
      <c r="F99" s="991">
        <v>2002.14</v>
      </c>
      <c r="G99" s="992">
        <v>441</v>
      </c>
      <c r="H99" s="889">
        <v>2002.14</v>
      </c>
      <c r="I99" s="958">
        <f t="shared" ref="I99:I102" si="18">H99-F99</f>
        <v>0</v>
      </c>
      <c r="J99" s="982"/>
      <c r="K99" s="680"/>
      <c r="L99" s="689"/>
      <c r="M99" s="680"/>
      <c r="N99" s="695"/>
      <c r="O99" s="1013" t="s">
        <v>384</v>
      </c>
      <c r="P99" s="500"/>
      <c r="Q99" s="500">
        <v>88094.16</v>
      </c>
      <c r="R99" s="683" t="s">
        <v>385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02" t="s">
        <v>357</v>
      </c>
      <c r="C100" s="1040" t="s">
        <v>364</v>
      </c>
      <c r="D100" s="1039" t="s">
        <v>365</v>
      </c>
      <c r="E100" s="1012">
        <v>44956</v>
      </c>
      <c r="F100" s="1008">
        <v>27694</v>
      </c>
      <c r="G100" s="992"/>
      <c r="H100" s="889">
        <v>27694</v>
      </c>
      <c r="I100" s="958">
        <f t="shared" si="18"/>
        <v>0</v>
      </c>
      <c r="J100" s="982"/>
      <c r="K100" s="680"/>
      <c r="L100" s="689"/>
      <c r="M100" s="680"/>
      <c r="N100" s="803"/>
      <c r="O100" s="1013" t="s">
        <v>366</v>
      </c>
      <c r="P100" s="1024"/>
      <c r="Q100" s="500">
        <v>27694</v>
      </c>
      <c r="R100" s="683" t="s">
        <v>356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02" t="s">
        <v>62</v>
      </c>
      <c r="C101" s="990" t="s">
        <v>324</v>
      </c>
      <c r="D101" s="1003"/>
      <c r="E101" s="1014">
        <v>44959</v>
      </c>
      <c r="F101" s="1008">
        <v>502.33</v>
      </c>
      <c r="G101" s="992">
        <v>42</v>
      </c>
      <c r="H101" s="889">
        <v>502.33</v>
      </c>
      <c r="I101" s="958">
        <f t="shared" si="18"/>
        <v>0</v>
      </c>
      <c r="J101" s="987"/>
      <c r="K101" s="680"/>
      <c r="L101" s="689"/>
      <c r="M101" s="680"/>
      <c r="N101" s="803"/>
      <c r="O101" s="981" t="s">
        <v>353</v>
      </c>
      <c r="P101" s="1024"/>
      <c r="Q101" s="500">
        <v>49730.67</v>
      </c>
      <c r="R101" s="683" t="s">
        <v>354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328" t="s">
        <v>217</v>
      </c>
      <c r="C102" s="997" t="s">
        <v>325</v>
      </c>
      <c r="D102" s="1004"/>
      <c r="E102" s="1331">
        <v>44959</v>
      </c>
      <c r="F102" s="1008">
        <v>1951</v>
      </c>
      <c r="G102" s="992">
        <v>71</v>
      </c>
      <c r="H102" s="889">
        <v>1951</v>
      </c>
      <c r="I102" s="958">
        <f t="shared" si="18"/>
        <v>0</v>
      </c>
      <c r="J102" s="987"/>
      <c r="K102" s="680"/>
      <c r="L102" s="689"/>
      <c r="M102" s="680"/>
      <c r="N102" s="803"/>
      <c r="O102" s="1334" t="s">
        <v>335</v>
      </c>
      <c r="P102" s="1031">
        <v>878</v>
      </c>
      <c r="Q102" s="500">
        <v>253643</v>
      </c>
      <c r="R102" s="1346" t="s">
        <v>387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329"/>
      <c r="C103" s="998" t="s">
        <v>326</v>
      </c>
      <c r="D103" s="1004"/>
      <c r="E103" s="1332"/>
      <c r="F103" s="1009">
        <v>1008</v>
      </c>
      <c r="G103" s="707">
        <v>35</v>
      </c>
      <c r="H103" s="832">
        <v>1008</v>
      </c>
      <c r="I103" s="958">
        <f>H103-F103</f>
        <v>0</v>
      </c>
      <c r="J103" s="802"/>
      <c r="K103" s="680"/>
      <c r="L103" s="689"/>
      <c r="M103" s="680"/>
      <c r="N103" s="803"/>
      <c r="O103" s="1335"/>
      <c r="P103" s="1031">
        <v>453.6</v>
      </c>
      <c r="Q103" s="949">
        <v>131118</v>
      </c>
      <c r="R103" s="1347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329"/>
      <c r="C104" s="999" t="s">
        <v>327</v>
      </c>
      <c r="D104" s="1004"/>
      <c r="E104" s="1332"/>
      <c r="F104" s="1010">
        <v>505.4</v>
      </c>
      <c r="G104" s="697">
        <v>20</v>
      </c>
      <c r="H104" s="889">
        <v>505.4</v>
      </c>
      <c r="I104" s="451">
        <f>H104-F104</f>
        <v>0</v>
      </c>
      <c r="J104" s="802"/>
      <c r="K104" s="680"/>
      <c r="L104" s="689"/>
      <c r="M104" s="680"/>
      <c r="N104" s="803"/>
      <c r="O104" s="1335"/>
      <c r="P104" s="1031">
        <v>227.45</v>
      </c>
      <c r="Q104" s="500">
        <v>65702</v>
      </c>
      <c r="R104" s="1347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329"/>
      <c r="C105" s="999" t="s">
        <v>328</v>
      </c>
      <c r="D105" s="1004"/>
      <c r="E105" s="1332"/>
      <c r="F105" s="1010">
        <v>1017.6</v>
      </c>
      <c r="G105" s="697">
        <v>33</v>
      </c>
      <c r="H105" s="889">
        <v>1017.6</v>
      </c>
      <c r="I105" s="451">
        <f t="shared" ref="I105:I107" si="23">H105-F105</f>
        <v>0</v>
      </c>
      <c r="J105" s="802"/>
      <c r="K105" s="680"/>
      <c r="L105" s="689"/>
      <c r="M105" s="680"/>
      <c r="N105" s="803"/>
      <c r="O105" s="1335"/>
      <c r="P105" s="1031">
        <v>457.95</v>
      </c>
      <c r="Q105" s="500">
        <v>132288</v>
      </c>
      <c r="R105" s="1347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329"/>
      <c r="C106" s="999" t="s">
        <v>329</v>
      </c>
      <c r="D106" s="1004"/>
      <c r="E106" s="1332"/>
      <c r="F106" s="1010">
        <v>1031.4000000000001</v>
      </c>
      <c r="G106" s="697">
        <v>29</v>
      </c>
      <c r="H106" s="889">
        <v>1031.4000000000001</v>
      </c>
      <c r="I106" s="451">
        <f t="shared" si="23"/>
        <v>0</v>
      </c>
      <c r="J106" s="802"/>
      <c r="K106" s="680"/>
      <c r="L106" s="689"/>
      <c r="M106" s="680"/>
      <c r="N106" s="803"/>
      <c r="O106" s="1335"/>
      <c r="P106" s="1031">
        <v>464.2</v>
      </c>
      <c r="Q106" s="500">
        <v>113454</v>
      </c>
      <c r="R106" s="1347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329"/>
      <c r="C107" s="1000" t="s">
        <v>330</v>
      </c>
      <c r="D107" s="1004"/>
      <c r="E107" s="1332"/>
      <c r="F107" s="1011">
        <v>1012.5</v>
      </c>
      <c r="G107" s="661">
        <v>58</v>
      </c>
      <c r="H107" s="877">
        <v>1012.5</v>
      </c>
      <c r="I107" s="451">
        <f t="shared" si="23"/>
        <v>0</v>
      </c>
      <c r="J107" s="805"/>
      <c r="K107" s="680"/>
      <c r="L107" s="806"/>
      <c r="M107" s="680"/>
      <c r="N107" s="955"/>
      <c r="O107" s="1335"/>
      <c r="P107" s="1032">
        <v>455.65</v>
      </c>
      <c r="Q107" s="503">
        <v>98212.5</v>
      </c>
      <c r="R107" s="1347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329"/>
      <c r="C108" s="1001" t="s">
        <v>331</v>
      </c>
      <c r="D108" s="1004"/>
      <c r="E108" s="1332"/>
      <c r="F108" s="1009">
        <v>997.3</v>
      </c>
      <c r="G108" s="707">
        <v>38</v>
      </c>
      <c r="H108" s="832">
        <v>997.3</v>
      </c>
      <c r="I108" s="451">
        <f t="shared" ref="I108:I146" si="26">H108-F108</f>
        <v>0</v>
      </c>
      <c r="J108" s="804"/>
      <c r="K108" s="807"/>
      <c r="L108" s="808"/>
      <c r="M108" s="680"/>
      <c r="N108" s="955"/>
      <c r="O108" s="1335"/>
      <c r="P108" s="1033">
        <v>448.8</v>
      </c>
      <c r="Q108" s="503">
        <v>96738.1</v>
      </c>
      <c r="R108" s="1347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329"/>
      <c r="C109" s="1001" t="s">
        <v>332</v>
      </c>
      <c r="D109" s="1005"/>
      <c r="E109" s="1332"/>
      <c r="F109" s="1009">
        <v>1020.4</v>
      </c>
      <c r="G109" s="707">
        <v>51</v>
      </c>
      <c r="H109" s="832">
        <v>1020.4</v>
      </c>
      <c r="I109" s="451">
        <f t="shared" si="26"/>
        <v>0</v>
      </c>
      <c r="J109" s="804"/>
      <c r="K109" s="807"/>
      <c r="L109" s="808"/>
      <c r="M109" s="680"/>
      <c r="N109" s="955"/>
      <c r="O109" s="1335"/>
      <c r="P109" s="1031">
        <v>459.2</v>
      </c>
      <c r="Q109" s="503">
        <v>127550</v>
      </c>
      <c r="R109" s="1347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329"/>
      <c r="C110" s="1041" t="s">
        <v>333</v>
      </c>
      <c r="D110" s="1006"/>
      <c r="E110" s="1332"/>
      <c r="F110" s="1011">
        <v>432.4</v>
      </c>
      <c r="G110" s="661">
        <v>14</v>
      </c>
      <c r="H110" s="877">
        <v>432.4</v>
      </c>
      <c r="I110" s="451">
        <f t="shared" si="26"/>
        <v>0</v>
      </c>
      <c r="J110" s="805"/>
      <c r="K110" s="680"/>
      <c r="L110" s="806"/>
      <c r="M110" s="680"/>
      <c r="N110" s="956"/>
      <c r="O110" s="1335"/>
      <c r="P110" s="1031">
        <v>194.6</v>
      </c>
      <c r="Q110" s="503">
        <v>8650</v>
      </c>
      <c r="R110" s="1347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330"/>
      <c r="C111" s="1041" t="s">
        <v>334</v>
      </c>
      <c r="D111" s="1007"/>
      <c r="E111" s="1333"/>
      <c r="F111" s="1011">
        <v>303.39999999999998</v>
      </c>
      <c r="G111" s="661">
        <v>10</v>
      </c>
      <c r="H111" s="877">
        <v>303.39999999999998</v>
      </c>
      <c r="I111" s="451">
        <f t="shared" si="26"/>
        <v>0</v>
      </c>
      <c r="J111" s="805"/>
      <c r="K111" s="680"/>
      <c r="L111" s="806"/>
      <c r="M111" s="680"/>
      <c r="N111" s="956"/>
      <c r="O111" s="1336"/>
      <c r="P111" s="1032">
        <v>136.55000000000001</v>
      </c>
      <c r="Q111" s="503">
        <v>19753.5</v>
      </c>
      <c r="R111" s="1347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348" t="s">
        <v>343</v>
      </c>
      <c r="C112" s="1016" t="s">
        <v>344</v>
      </c>
      <c r="D112" s="1005"/>
      <c r="E112" s="1351">
        <v>44966</v>
      </c>
      <c r="F112" s="1009">
        <v>500.82</v>
      </c>
      <c r="G112" s="707">
        <v>23</v>
      </c>
      <c r="H112" s="832">
        <v>500.82</v>
      </c>
      <c r="I112" s="451">
        <f t="shared" si="26"/>
        <v>0</v>
      </c>
      <c r="J112" s="802"/>
      <c r="K112" s="680"/>
      <c r="L112" s="806"/>
      <c r="M112" s="680"/>
      <c r="N112" s="955"/>
      <c r="O112" s="1316" t="s">
        <v>402</v>
      </c>
      <c r="P112" s="1337" t="s">
        <v>404</v>
      </c>
      <c r="Q112" s="1049">
        <v>66609.06</v>
      </c>
      <c r="R112" s="1352" t="s">
        <v>403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349"/>
      <c r="C113" s="1015" t="s">
        <v>345</v>
      </c>
      <c r="D113" s="1017"/>
      <c r="E113" s="1297"/>
      <c r="F113" s="1011">
        <v>242.77</v>
      </c>
      <c r="G113" s="661">
        <v>8</v>
      </c>
      <c r="H113" s="877">
        <v>242.77</v>
      </c>
      <c r="I113" s="451">
        <f t="shared" si="26"/>
        <v>0</v>
      </c>
      <c r="J113" s="802"/>
      <c r="K113" s="680"/>
      <c r="L113" s="806"/>
      <c r="M113" s="680"/>
      <c r="N113" s="955"/>
      <c r="O113" s="1317"/>
      <c r="P113" s="1338"/>
      <c r="Q113" s="1049">
        <v>19178.830000000002</v>
      </c>
      <c r="R113" s="1353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350"/>
      <c r="C114" s="957" t="s">
        <v>346</v>
      </c>
      <c r="D114" s="1006"/>
      <c r="E114" s="1298"/>
      <c r="F114" s="1011">
        <v>343.4</v>
      </c>
      <c r="G114" s="661">
        <v>12</v>
      </c>
      <c r="H114" s="877">
        <v>343.4</v>
      </c>
      <c r="I114" s="779">
        <f t="shared" si="26"/>
        <v>0</v>
      </c>
      <c r="J114" s="802"/>
      <c r="K114" s="680"/>
      <c r="L114" s="806"/>
      <c r="M114" s="680"/>
      <c r="N114" s="955"/>
      <c r="O114" s="1318"/>
      <c r="P114" s="1339"/>
      <c r="Q114" s="1049">
        <v>26098.400000000001</v>
      </c>
      <c r="R114" s="1354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38" t="s">
        <v>357</v>
      </c>
      <c r="C115" s="957" t="s">
        <v>361</v>
      </c>
      <c r="D115" s="1007" t="s">
        <v>362</v>
      </c>
      <c r="E115" s="1037">
        <v>44966</v>
      </c>
      <c r="F115" s="1011">
        <v>145.80000000000001</v>
      </c>
      <c r="G115" s="661"/>
      <c r="H115" s="877">
        <v>145.80000000000001</v>
      </c>
      <c r="I115" s="779">
        <f t="shared" si="26"/>
        <v>0</v>
      </c>
      <c r="J115" s="802"/>
      <c r="K115" s="680"/>
      <c r="L115" s="806"/>
      <c r="M115" s="680"/>
      <c r="N115" s="955"/>
      <c r="O115" s="1052" t="s">
        <v>363</v>
      </c>
      <c r="P115" s="1025"/>
      <c r="Q115" s="503">
        <v>5832</v>
      </c>
      <c r="R115" s="1078" t="s">
        <v>356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81" t="s">
        <v>64</v>
      </c>
      <c r="C116" s="1082" t="s">
        <v>324</v>
      </c>
      <c r="D116" s="1083"/>
      <c r="E116" s="1037">
        <v>44966</v>
      </c>
      <c r="F116" s="1011">
        <v>499.27</v>
      </c>
      <c r="G116" s="661">
        <v>39</v>
      </c>
      <c r="H116" s="877">
        <v>499.27</v>
      </c>
      <c r="I116" s="779">
        <f t="shared" si="26"/>
        <v>0</v>
      </c>
      <c r="J116" s="802"/>
      <c r="K116" s="680"/>
      <c r="L116" s="806"/>
      <c r="M116" s="680"/>
      <c r="N116" s="955"/>
      <c r="O116" s="1036" t="s">
        <v>348</v>
      </c>
      <c r="P116" s="1025"/>
      <c r="Q116" s="503">
        <v>49427.73</v>
      </c>
      <c r="R116" s="687" t="s">
        <v>405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34" t="s">
        <v>357</v>
      </c>
      <c r="C117" s="1079" t="s">
        <v>359</v>
      </c>
      <c r="D117" s="1080" t="s">
        <v>360</v>
      </c>
      <c r="E117" s="1035">
        <v>44967</v>
      </c>
      <c r="F117" s="1011">
        <v>35269</v>
      </c>
      <c r="G117" s="661"/>
      <c r="H117" s="877">
        <v>35269</v>
      </c>
      <c r="I117" s="451">
        <f t="shared" si="26"/>
        <v>0</v>
      </c>
      <c r="J117" s="802"/>
      <c r="K117" s="680"/>
      <c r="L117" s="806"/>
      <c r="M117" s="680"/>
      <c r="N117" s="955"/>
      <c r="O117" s="1036" t="s">
        <v>358</v>
      </c>
      <c r="P117" s="1024"/>
      <c r="Q117" s="503">
        <v>35269</v>
      </c>
      <c r="R117" s="1050" t="s">
        <v>356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319" t="s">
        <v>213</v>
      </c>
      <c r="C118" s="957" t="s">
        <v>317</v>
      </c>
      <c r="D118" s="1019"/>
      <c r="E118" s="1322">
        <v>44967</v>
      </c>
      <c r="F118" s="1011">
        <v>2002.14</v>
      </c>
      <c r="G118" s="661">
        <v>441</v>
      </c>
      <c r="H118" s="877">
        <v>2002.14</v>
      </c>
      <c r="I118" s="451">
        <f t="shared" si="26"/>
        <v>0</v>
      </c>
      <c r="J118" s="802"/>
      <c r="K118" s="680"/>
      <c r="L118" s="806"/>
      <c r="M118" s="680"/>
      <c r="N118" s="955"/>
      <c r="O118" s="1325" t="s">
        <v>350</v>
      </c>
      <c r="P118" s="1024"/>
      <c r="Q118" s="1049">
        <v>84089.88</v>
      </c>
      <c r="R118" s="1343" t="s">
        <v>373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320"/>
      <c r="C119" s="1018" t="s">
        <v>214</v>
      </c>
      <c r="D119" s="1005"/>
      <c r="E119" s="1323"/>
      <c r="F119" s="1009">
        <v>150</v>
      </c>
      <c r="G119" s="707">
        <v>15</v>
      </c>
      <c r="H119" s="832">
        <v>150</v>
      </c>
      <c r="I119" s="451">
        <f t="shared" ref="I119:I120" si="37">H119-F119</f>
        <v>0</v>
      </c>
      <c r="J119" s="802"/>
      <c r="K119" s="680"/>
      <c r="L119" s="806"/>
      <c r="M119" s="680"/>
      <c r="N119" s="955"/>
      <c r="O119" s="1326"/>
      <c r="P119" s="1024"/>
      <c r="Q119" s="1049">
        <v>12750</v>
      </c>
      <c r="R119" s="1344"/>
      <c r="S119" s="65">
        <f t="shared" si="35"/>
        <v>12750</v>
      </c>
      <c r="T119" s="167">
        <f t="shared" si="36"/>
        <v>85</v>
      </c>
    </row>
    <row r="120" spans="1:20" s="844" customFormat="1" ht="29.25" customHeight="1" thickBot="1" x14ac:dyDescent="0.3">
      <c r="A120" s="98">
        <v>81</v>
      </c>
      <c r="B120" s="1321"/>
      <c r="C120" s="1018" t="s">
        <v>349</v>
      </c>
      <c r="D120" s="1005"/>
      <c r="E120" s="1324"/>
      <c r="F120" s="1009">
        <v>150</v>
      </c>
      <c r="G120" s="707">
        <v>15</v>
      </c>
      <c r="H120" s="832">
        <v>150</v>
      </c>
      <c r="I120" s="451">
        <f t="shared" si="37"/>
        <v>0</v>
      </c>
      <c r="J120" s="802"/>
      <c r="K120" s="680"/>
      <c r="L120" s="806"/>
      <c r="M120" s="680"/>
      <c r="N120" s="955"/>
      <c r="O120" s="1327"/>
      <c r="P120" s="1024"/>
      <c r="Q120" s="1049">
        <v>14700</v>
      </c>
      <c r="R120" s="1345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43" t="s">
        <v>62</v>
      </c>
      <c r="C121" s="876" t="s">
        <v>482</v>
      </c>
      <c r="D121" s="876"/>
      <c r="E121" s="1020">
        <v>44968</v>
      </c>
      <c r="F121" s="877">
        <v>531.6</v>
      </c>
      <c r="G121" s="661">
        <v>42</v>
      </c>
      <c r="H121" s="877">
        <v>531.6</v>
      </c>
      <c r="I121" s="451">
        <f t="shared" si="26"/>
        <v>0</v>
      </c>
      <c r="J121" s="802"/>
      <c r="K121" s="680"/>
      <c r="L121" s="806"/>
      <c r="M121" s="680"/>
      <c r="N121" s="810"/>
      <c r="O121" s="1045" t="s">
        <v>351</v>
      </c>
      <c r="P121" s="500"/>
      <c r="Q121" s="503">
        <v>52628.4</v>
      </c>
      <c r="R121" s="1051" t="s">
        <v>406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44" t="s">
        <v>217</v>
      </c>
      <c r="C122" s="1042" t="s">
        <v>355</v>
      </c>
      <c r="D122" s="1063" t="s">
        <v>390</v>
      </c>
      <c r="E122" s="1014">
        <v>44971</v>
      </c>
      <c r="F122" s="877">
        <v>3923.4</v>
      </c>
      <c r="G122" s="661"/>
      <c r="H122" s="877">
        <v>3894.2</v>
      </c>
      <c r="I122" s="451">
        <f t="shared" si="26"/>
        <v>-29.200000000000273</v>
      </c>
      <c r="J122" s="802"/>
      <c r="K122" s="680"/>
      <c r="L122" s="809"/>
      <c r="M122" s="680"/>
      <c r="N122" s="956"/>
      <c r="O122" s="1046" t="s">
        <v>367</v>
      </c>
      <c r="P122" s="1096"/>
      <c r="Q122" s="503">
        <f>200000+176646.4</f>
        <v>376646.40000000002</v>
      </c>
      <c r="R122" s="1092" t="s">
        <v>368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365" t="s">
        <v>396</v>
      </c>
      <c r="C123" s="957" t="s">
        <v>397</v>
      </c>
      <c r="D123" s="1006"/>
      <c r="E123" s="1322">
        <v>44971</v>
      </c>
      <c r="F123" s="1011">
        <v>1020.32</v>
      </c>
      <c r="G123" s="661">
        <v>40</v>
      </c>
      <c r="H123" s="877">
        <v>1020.32</v>
      </c>
      <c r="I123" s="451">
        <f t="shared" si="26"/>
        <v>0</v>
      </c>
      <c r="J123" s="802"/>
      <c r="K123" s="680"/>
      <c r="L123" s="809"/>
      <c r="M123" s="680"/>
      <c r="N123" s="956"/>
      <c r="O123" s="1367">
        <v>19840</v>
      </c>
      <c r="P123" s="1361" t="s">
        <v>404</v>
      </c>
      <c r="Q123" s="1095">
        <v>56117.599999999999</v>
      </c>
      <c r="R123" s="1358" t="s">
        <v>427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366"/>
      <c r="C124" s="957" t="s">
        <v>142</v>
      </c>
      <c r="D124" s="1019"/>
      <c r="E124" s="1324"/>
      <c r="F124" s="1011">
        <v>1006.13</v>
      </c>
      <c r="G124" s="661">
        <v>43</v>
      </c>
      <c r="H124" s="877">
        <v>1006.13</v>
      </c>
      <c r="I124" s="451">
        <f t="shared" si="26"/>
        <v>0</v>
      </c>
      <c r="J124" s="802"/>
      <c r="K124" s="680"/>
      <c r="L124" s="809"/>
      <c r="M124" s="680"/>
      <c r="N124" s="956"/>
      <c r="O124" s="1368"/>
      <c r="P124" s="1362"/>
      <c r="Q124" s="1095">
        <v>78478.14</v>
      </c>
      <c r="R124" s="1360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74" t="s">
        <v>343</v>
      </c>
      <c r="C125" s="876" t="s">
        <v>400</v>
      </c>
      <c r="D125" s="880"/>
      <c r="E125" s="1020">
        <v>44974</v>
      </c>
      <c r="F125" s="877">
        <v>8848.7199999999993</v>
      </c>
      <c r="G125" s="661">
        <v>295</v>
      </c>
      <c r="H125" s="877">
        <v>8848.7199999999993</v>
      </c>
      <c r="I125" s="451">
        <f t="shared" si="26"/>
        <v>0</v>
      </c>
      <c r="J125" s="802"/>
      <c r="K125" s="680"/>
      <c r="L125" s="809"/>
      <c r="M125" s="680"/>
      <c r="N125" s="811"/>
      <c r="O125" s="1075" t="s">
        <v>428</v>
      </c>
      <c r="P125" s="1097" t="s">
        <v>404</v>
      </c>
      <c r="Q125" s="503">
        <v>1057422.04</v>
      </c>
      <c r="R125" s="1093" t="s">
        <v>427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1" t="s">
        <v>396</v>
      </c>
      <c r="C126" s="879" t="s">
        <v>142</v>
      </c>
      <c r="D126" s="878"/>
      <c r="E126" s="882">
        <v>44974</v>
      </c>
      <c r="F126" s="877">
        <v>1504.59</v>
      </c>
      <c r="G126" s="661">
        <v>57</v>
      </c>
      <c r="H126" s="877">
        <v>1504.59</v>
      </c>
      <c r="I126" s="451">
        <f t="shared" si="26"/>
        <v>0</v>
      </c>
      <c r="J126" s="802"/>
      <c r="K126" s="680"/>
      <c r="L126" s="809"/>
      <c r="M126" s="680"/>
      <c r="N126" s="811"/>
      <c r="O126" s="909">
        <v>19865</v>
      </c>
      <c r="P126" s="1094" t="s">
        <v>404</v>
      </c>
      <c r="Q126" s="503">
        <v>117358.2</v>
      </c>
      <c r="R126" s="681" t="s">
        <v>427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02" t="s">
        <v>396</v>
      </c>
      <c r="C127" s="879" t="s">
        <v>142</v>
      </c>
      <c r="D127" s="876"/>
      <c r="E127" s="1098">
        <v>44977</v>
      </c>
      <c r="F127" s="877">
        <v>3732.48</v>
      </c>
      <c r="G127" s="661">
        <v>143</v>
      </c>
      <c r="H127" s="877">
        <v>3732.48</v>
      </c>
      <c r="I127" s="451">
        <f t="shared" si="26"/>
        <v>0</v>
      </c>
      <c r="J127" s="802"/>
      <c r="K127" s="680"/>
      <c r="L127" s="806"/>
      <c r="M127" s="680"/>
      <c r="N127" s="810"/>
      <c r="O127" s="1091">
        <v>19881</v>
      </c>
      <c r="P127" s="1094" t="s">
        <v>404</v>
      </c>
      <c r="Q127" s="503">
        <v>279936</v>
      </c>
      <c r="R127" s="681" t="s">
        <v>432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369" t="s">
        <v>343</v>
      </c>
      <c r="C128" s="957" t="s">
        <v>346</v>
      </c>
      <c r="D128" s="1006"/>
      <c r="E128" s="1372"/>
      <c r="F128" s="1011">
        <v>548.73</v>
      </c>
      <c r="G128" s="661">
        <v>18</v>
      </c>
      <c r="H128" s="877">
        <v>548.73</v>
      </c>
      <c r="I128" s="636">
        <f t="shared" si="26"/>
        <v>0</v>
      </c>
      <c r="J128" s="802"/>
      <c r="K128" s="680"/>
      <c r="L128" s="806"/>
      <c r="M128" s="680"/>
      <c r="N128" s="955"/>
      <c r="O128" s="1375" t="s">
        <v>441</v>
      </c>
      <c r="P128" s="1337" t="s">
        <v>404</v>
      </c>
      <c r="Q128" s="503">
        <v>40606.019999999997</v>
      </c>
      <c r="R128" s="1355" t="s">
        <v>442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370"/>
      <c r="C129" s="957" t="s">
        <v>345</v>
      </c>
      <c r="D129" s="1006"/>
      <c r="E129" s="1373"/>
      <c r="F129" s="1011">
        <v>32.590000000000003</v>
      </c>
      <c r="G129" s="661">
        <v>1</v>
      </c>
      <c r="H129" s="877">
        <v>32.590000000000003</v>
      </c>
      <c r="I129" s="636">
        <f t="shared" si="26"/>
        <v>0</v>
      </c>
      <c r="J129" s="802"/>
      <c r="K129" s="680"/>
      <c r="L129" s="806"/>
      <c r="M129" s="680"/>
      <c r="N129" s="955"/>
      <c r="O129" s="1317"/>
      <c r="P129" s="1338"/>
      <c r="Q129" s="503">
        <v>2411.66</v>
      </c>
      <c r="R129" s="1356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371"/>
      <c r="C130" s="957" t="s">
        <v>344</v>
      </c>
      <c r="D130" s="1006"/>
      <c r="E130" s="1374"/>
      <c r="F130" s="1011">
        <v>929.23</v>
      </c>
      <c r="G130" s="661">
        <v>40</v>
      </c>
      <c r="H130" s="877">
        <v>929.23</v>
      </c>
      <c r="I130" s="636">
        <f t="shared" si="26"/>
        <v>0</v>
      </c>
      <c r="J130" s="802"/>
      <c r="K130" s="680"/>
      <c r="L130" s="806"/>
      <c r="M130" s="680"/>
      <c r="N130" s="955"/>
      <c r="O130" s="1318"/>
      <c r="P130" s="1339"/>
      <c r="Q130" s="503">
        <v>123587.59</v>
      </c>
      <c r="R130" s="1357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363" t="s">
        <v>213</v>
      </c>
      <c r="C131" s="957" t="s">
        <v>423</v>
      </c>
      <c r="D131" s="1007"/>
      <c r="E131" s="1323">
        <v>44980</v>
      </c>
      <c r="F131" s="1011">
        <v>2002.14</v>
      </c>
      <c r="G131" s="661">
        <v>441</v>
      </c>
      <c r="H131" s="877">
        <v>2002.14</v>
      </c>
      <c r="I131" s="636">
        <f t="shared" si="26"/>
        <v>0</v>
      </c>
      <c r="J131" s="802"/>
      <c r="K131" s="680"/>
      <c r="L131" s="806"/>
      <c r="M131" s="680"/>
      <c r="N131" s="955"/>
      <c r="O131" s="1282" t="s">
        <v>425</v>
      </c>
      <c r="P131" s="1076"/>
      <c r="Q131" s="503">
        <v>86092.02</v>
      </c>
      <c r="R131" s="1355" t="s">
        <v>431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364"/>
      <c r="C132" s="1090" t="s">
        <v>424</v>
      </c>
      <c r="D132" s="1007"/>
      <c r="E132" s="1324"/>
      <c r="F132" s="1011">
        <v>150</v>
      </c>
      <c r="G132" s="661">
        <v>15</v>
      </c>
      <c r="H132" s="877">
        <v>150</v>
      </c>
      <c r="I132" s="636">
        <f t="shared" si="26"/>
        <v>0</v>
      </c>
      <c r="J132" s="802"/>
      <c r="K132" s="680"/>
      <c r="L132" s="806"/>
      <c r="M132" s="680"/>
      <c r="N132" s="955"/>
      <c r="O132" s="1283"/>
      <c r="P132" s="1076"/>
      <c r="Q132" s="503">
        <v>14700</v>
      </c>
      <c r="R132" s="1357"/>
      <c r="S132" s="65">
        <f t="shared" si="47"/>
        <v>14700</v>
      </c>
      <c r="T132" s="167">
        <f t="shared" si="48"/>
        <v>98</v>
      </c>
    </row>
    <row r="133" spans="1:20" s="149" customFormat="1" ht="57.75" customHeight="1" thickBot="1" x14ac:dyDescent="0.3">
      <c r="A133" s="98">
        <v>91</v>
      </c>
      <c r="B133" s="1267" t="s">
        <v>217</v>
      </c>
      <c r="C133" s="876" t="s">
        <v>355</v>
      </c>
      <c r="D133" s="1247" t="s">
        <v>735</v>
      </c>
      <c r="E133" s="1109" t="s">
        <v>752</v>
      </c>
      <c r="F133" s="877">
        <f>2083.33+2052.467</f>
        <v>4135.7970000000005</v>
      </c>
      <c r="G133" s="661"/>
      <c r="H133" s="877">
        <v>4135.8</v>
      </c>
      <c r="I133" s="103">
        <f t="shared" si="26"/>
        <v>2.9999999997016857E-3</v>
      </c>
      <c r="J133" s="802"/>
      <c r="K133" s="680"/>
      <c r="L133" s="806"/>
      <c r="M133" s="680"/>
      <c r="N133" s="810"/>
      <c r="O133" s="1261" t="s">
        <v>736</v>
      </c>
      <c r="P133" s="1026">
        <v>4176</v>
      </c>
      <c r="Q133" s="1099">
        <f>200000+197036.8</f>
        <v>397036.79999999999</v>
      </c>
      <c r="R133" s="1252" t="s">
        <v>747</v>
      </c>
      <c r="S133" s="65">
        <f t="shared" ref="S133:S134" si="49">Q133+M133+K133</f>
        <v>397036.79999999999</v>
      </c>
      <c r="T133" s="167">
        <f t="shared" ref="T133:T134" si="50">S133/H133</f>
        <v>96</v>
      </c>
    </row>
    <row r="134" spans="1:20" s="149" customFormat="1" ht="38.25" customHeight="1" x14ac:dyDescent="0.25">
      <c r="A134" s="98">
        <v>92</v>
      </c>
      <c r="B134" s="1275" t="s">
        <v>62</v>
      </c>
      <c r="C134" s="957" t="s">
        <v>79</v>
      </c>
      <c r="D134" s="1006"/>
      <c r="E134" s="1278">
        <v>44984</v>
      </c>
      <c r="F134" s="1011">
        <v>1031.53</v>
      </c>
      <c r="G134" s="661">
        <v>54</v>
      </c>
      <c r="H134" s="877">
        <v>1031.53</v>
      </c>
      <c r="I134" s="103">
        <f t="shared" si="26"/>
        <v>0</v>
      </c>
      <c r="J134" s="802"/>
      <c r="K134" s="680"/>
      <c r="L134" s="806"/>
      <c r="M134" s="680"/>
      <c r="N134" s="955"/>
      <c r="O134" s="1281" t="s">
        <v>483</v>
      </c>
      <c r="P134" s="1024"/>
      <c r="Q134" s="1257">
        <v>33008.959999999999</v>
      </c>
      <c r="R134" s="1358" t="s">
        <v>749</v>
      </c>
      <c r="S134" s="65">
        <f t="shared" si="49"/>
        <v>33008.959999999999</v>
      </c>
      <c r="T134" s="167">
        <f t="shared" si="50"/>
        <v>32</v>
      </c>
    </row>
    <row r="135" spans="1:20" s="149" customFormat="1" ht="38.25" customHeight="1" x14ac:dyDescent="0.25">
      <c r="A135" s="98">
        <v>93</v>
      </c>
      <c r="B135" s="1276"/>
      <c r="C135" s="957" t="s">
        <v>482</v>
      </c>
      <c r="D135" s="1006"/>
      <c r="E135" s="1279"/>
      <c r="F135" s="1011">
        <v>2008.79</v>
      </c>
      <c r="G135" s="661">
        <v>162</v>
      </c>
      <c r="H135" s="877">
        <v>2008.79</v>
      </c>
      <c r="I135" s="103">
        <f t="shared" si="26"/>
        <v>0</v>
      </c>
      <c r="J135" s="802"/>
      <c r="K135" s="680"/>
      <c r="L135" s="806"/>
      <c r="M135" s="680"/>
      <c r="N135" s="955"/>
      <c r="O135" s="1282"/>
      <c r="P135" s="1024"/>
      <c r="Q135" s="1257">
        <v>176773.52</v>
      </c>
      <c r="R135" s="1359"/>
      <c r="S135" s="65">
        <f t="shared" ref="S135:S149" si="51">Q135+M135+K135</f>
        <v>176773.52</v>
      </c>
      <c r="T135" s="167">
        <f t="shared" ref="T135:T149" si="52">S135/H135</f>
        <v>88</v>
      </c>
    </row>
    <row r="136" spans="1:20" s="149" customFormat="1" ht="27.75" customHeight="1" x14ac:dyDescent="0.25">
      <c r="A136" s="98">
        <v>94</v>
      </c>
      <c r="B136" s="1276"/>
      <c r="C136" s="957" t="s">
        <v>480</v>
      </c>
      <c r="D136" s="1006"/>
      <c r="E136" s="1279"/>
      <c r="F136" s="1011">
        <v>524.38</v>
      </c>
      <c r="G136" s="661">
        <v>43</v>
      </c>
      <c r="H136" s="877">
        <v>524.38</v>
      </c>
      <c r="I136" s="103">
        <f t="shared" si="26"/>
        <v>0</v>
      </c>
      <c r="J136" s="802"/>
      <c r="K136" s="680"/>
      <c r="L136" s="806"/>
      <c r="M136" s="680"/>
      <c r="N136" s="955"/>
      <c r="O136" s="1282"/>
      <c r="P136" s="1024"/>
      <c r="Q136" s="1257">
        <v>47194.2</v>
      </c>
      <c r="R136" s="1359"/>
      <c r="S136" s="65">
        <f t="shared" si="51"/>
        <v>47194.2</v>
      </c>
      <c r="T136" s="167">
        <f t="shared" si="52"/>
        <v>90</v>
      </c>
    </row>
    <row r="137" spans="1:20" s="149" customFormat="1" ht="31.5" customHeight="1" x14ac:dyDescent="0.25">
      <c r="A137" s="98">
        <v>95</v>
      </c>
      <c r="B137" s="1276"/>
      <c r="C137" s="957" t="s">
        <v>481</v>
      </c>
      <c r="D137" s="1006"/>
      <c r="E137" s="1279"/>
      <c r="F137" s="1011">
        <v>596.09</v>
      </c>
      <c r="G137" s="661">
        <v>50</v>
      </c>
      <c r="H137" s="877">
        <v>596.09</v>
      </c>
      <c r="I137" s="103">
        <f t="shared" si="26"/>
        <v>0</v>
      </c>
      <c r="J137" s="802"/>
      <c r="K137" s="680"/>
      <c r="L137" s="806"/>
      <c r="M137" s="680"/>
      <c r="N137" s="955"/>
      <c r="O137" s="1282"/>
      <c r="P137" s="1024"/>
      <c r="Q137" s="1257">
        <v>50667.65</v>
      </c>
      <c r="R137" s="1359"/>
      <c r="S137" s="65">
        <f t="shared" si="51"/>
        <v>50667.65</v>
      </c>
      <c r="T137" s="167">
        <f t="shared" si="52"/>
        <v>85</v>
      </c>
    </row>
    <row r="138" spans="1:20" s="149" customFormat="1" ht="25.5" customHeight="1" thickBot="1" x14ac:dyDescent="0.3">
      <c r="A138" s="98">
        <v>96</v>
      </c>
      <c r="B138" s="1277"/>
      <c r="C138" s="957" t="s">
        <v>479</v>
      </c>
      <c r="D138" s="1006"/>
      <c r="E138" s="1280"/>
      <c r="F138" s="1011">
        <v>2940</v>
      </c>
      <c r="G138" s="661">
        <v>147</v>
      </c>
      <c r="H138" s="877">
        <v>2940</v>
      </c>
      <c r="I138" s="103">
        <f t="shared" si="26"/>
        <v>0</v>
      </c>
      <c r="J138" s="802"/>
      <c r="K138" s="680"/>
      <c r="L138" s="806"/>
      <c r="M138" s="680"/>
      <c r="N138" s="955"/>
      <c r="O138" s="1283"/>
      <c r="P138" s="1024"/>
      <c r="Q138" s="1257">
        <v>124068</v>
      </c>
      <c r="R138" s="1360"/>
      <c r="S138" s="65">
        <f t="shared" si="51"/>
        <v>124068</v>
      </c>
      <c r="T138" s="167">
        <f t="shared" si="52"/>
        <v>42.2</v>
      </c>
    </row>
    <row r="139" spans="1:20" s="149" customFormat="1" ht="39" customHeight="1" thickBot="1" x14ac:dyDescent="0.3">
      <c r="A139" s="98">
        <v>97</v>
      </c>
      <c r="B139" s="1258" t="s">
        <v>343</v>
      </c>
      <c r="C139" s="705" t="s">
        <v>400</v>
      </c>
      <c r="D139" s="830"/>
      <c r="E139" s="1109">
        <v>44986</v>
      </c>
      <c r="F139" s="831">
        <v>9377.0400000000009</v>
      </c>
      <c r="G139" s="707">
        <v>124</v>
      </c>
      <c r="H139" s="1205">
        <v>9377.0400000000009</v>
      </c>
      <c r="I139" s="1206">
        <f t="shared" si="26"/>
        <v>0</v>
      </c>
      <c r="J139" s="802"/>
      <c r="K139" s="680"/>
      <c r="L139" s="806"/>
      <c r="M139" s="680"/>
      <c r="N139" s="810"/>
      <c r="O139" s="1260" t="s">
        <v>737</v>
      </c>
      <c r="P139" s="1094" t="s">
        <v>404</v>
      </c>
      <c r="Q139" s="500">
        <v>1162752.96</v>
      </c>
      <c r="R139" s="1263" t="s">
        <v>738</v>
      </c>
      <c r="S139" s="65">
        <f t="shared" si="51"/>
        <v>1162752.96</v>
      </c>
      <c r="T139" s="167">
        <f t="shared" si="52"/>
        <v>123.99999999999999</v>
      </c>
    </row>
    <row r="140" spans="1:20" s="149" customFormat="1" ht="25.5" customHeight="1" thickTop="1" x14ac:dyDescent="0.25">
      <c r="A140" s="98">
        <v>98</v>
      </c>
      <c r="B140" s="1304" t="s">
        <v>680</v>
      </c>
      <c r="C140" s="1217" t="s">
        <v>743</v>
      </c>
      <c r="D140" s="1005"/>
      <c r="E140" s="1307">
        <v>44988</v>
      </c>
      <c r="F140" s="1009">
        <v>2000</v>
      </c>
      <c r="G140" s="707">
        <v>200</v>
      </c>
      <c r="H140" s="1205">
        <v>2000</v>
      </c>
      <c r="I140" s="1206">
        <f t="shared" si="26"/>
        <v>0</v>
      </c>
      <c r="J140" s="802"/>
      <c r="K140" s="680"/>
      <c r="L140" s="806"/>
      <c r="M140" s="680"/>
      <c r="N140" s="955"/>
      <c r="O140" s="1340" t="s">
        <v>745</v>
      </c>
      <c r="P140" s="1024" t="s">
        <v>41</v>
      </c>
      <c r="Q140" s="1257">
        <v>83000</v>
      </c>
      <c r="R140" s="1268" t="s">
        <v>742</v>
      </c>
      <c r="S140" s="65">
        <f t="shared" si="51"/>
        <v>83000</v>
      </c>
      <c r="T140" s="167">
        <f t="shared" si="52"/>
        <v>41.5</v>
      </c>
    </row>
    <row r="141" spans="1:20" s="149" customFormat="1" ht="25.5" customHeight="1" x14ac:dyDescent="0.25">
      <c r="A141" s="98"/>
      <c r="B141" s="1305"/>
      <c r="C141" s="1217" t="s">
        <v>693</v>
      </c>
      <c r="D141" s="1005"/>
      <c r="E141" s="1308"/>
      <c r="F141" s="1009">
        <v>2000</v>
      </c>
      <c r="G141" s="707">
        <v>200</v>
      </c>
      <c r="H141" s="1205">
        <v>2000</v>
      </c>
      <c r="I141" s="1206">
        <f t="shared" si="26"/>
        <v>0</v>
      </c>
      <c r="J141" s="802"/>
      <c r="K141" s="680"/>
      <c r="L141" s="806"/>
      <c r="M141" s="680"/>
      <c r="N141" s="955"/>
      <c r="O141" s="1341"/>
      <c r="P141" s="1024"/>
      <c r="Q141" s="1257">
        <v>83000</v>
      </c>
      <c r="R141" s="1269"/>
      <c r="S141" s="65">
        <f t="shared" si="51"/>
        <v>83000</v>
      </c>
      <c r="T141" s="167">
        <f t="shared" si="52"/>
        <v>41.5</v>
      </c>
    </row>
    <row r="142" spans="1:20" s="149" customFormat="1" ht="25.5" customHeight="1" thickBot="1" x14ac:dyDescent="0.3">
      <c r="A142" s="98"/>
      <c r="B142" s="1306"/>
      <c r="C142" s="1217" t="s">
        <v>744</v>
      </c>
      <c r="D142" s="1005"/>
      <c r="E142" s="1309"/>
      <c r="F142" s="1009">
        <v>1000</v>
      </c>
      <c r="G142" s="707">
        <v>100</v>
      </c>
      <c r="H142" s="1205">
        <v>1000</v>
      </c>
      <c r="I142" s="1206">
        <f t="shared" si="26"/>
        <v>0</v>
      </c>
      <c r="J142" s="802"/>
      <c r="K142" s="680"/>
      <c r="L142" s="806"/>
      <c r="M142" s="680"/>
      <c r="N142" s="955"/>
      <c r="O142" s="1342"/>
      <c r="P142" s="1024"/>
      <c r="Q142" s="1257">
        <v>46500</v>
      </c>
      <c r="R142" s="1270"/>
      <c r="S142" s="65">
        <f t="shared" si="51"/>
        <v>46500</v>
      </c>
      <c r="T142" s="167">
        <f t="shared" si="52"/>
        <v>46.5</v>
      </c>
    </row>
    <row r="143" spans="1:20" s="149" customFormat="1" ht="38.25" customHeight="1" thickTop="1" x14ac:dyDescent="0.25">
      <c r="A143" s="98">
        <v>99</v>
      </c>
      <c r="B143" s="1290" t="s">
        <v>681</v>
      </c>
      <c r="C143" s="1217" t="s">
        <v>694</v>
      </c>
      <c r="D143" s="705"/>
      <c r="E143" s="1259">
        <v>44988</v>
      </c>
      <c r="F143" s="831">
        <v>3611.55</v>
      </c>
      <c r="G143" s="707">
        <v>105</v>
      </c>
      <c r="H143" s="1207">
        <v>3611.55</v>
      </c>
      <c r="I143" s="1206">
        <f t="shared" si="26"/>
        <v>0</v>
      </c>
      <c r="J143" s="802"/>
      <c r="K143" s="680"/>
      <c r="L143" s="806"/>
      <c r="M143" s="680"/>
      <c r="N143" s="955"/>
      <c r="O143" s="1292" t="s">
        <v>696</v>
      </c>
      <c r="P143" s="1024"/>
      <c r="Q143" s="1248">
        <v>252808.5</v>
      </c>
      <c r="R143" s="1302" t="s">
        <v>742</v>
      </c>
      <c r="S143" s="65">
        <f t="shared" si="51"/>
        <v>252808.5</v>
      </c>
      <c r="T143" s="167">
        <f t="shared" si="52"/>
        <v>70</v>
      </c>
    </row>
    <row r="144" spans="1:20" s="149" customFormat="1" ht="38.25" customHeight="1" thickBot="1" x14ac:dyDescent="0.3">
      <c r="A144" s="98">
        <v>100</v>
      </c>
      <c r="B144" s="1291"/>
      <c r="C144" s="1217" t="s">
        <v>695</v>
      </c>
      <c r="D144" s="883"/>
      <c r="E144" s="833">
        <v>44988</v>
      </c>
      <c r="F144" s="831">
        <v>1866.34</v>
      </c>
      <c r="G144" s="707">
        <v>70</v>
      </c>
      <c r="H144" s="1207">
        <v>1866.34</v>
      </c>
      <c r="I144" s="1206">
        <f t="shared" si="26"/>
        <v>0</v>
      </c>
      <c r="J144" s="802"/>
      <c r="K144" s="680"/>
      <c r="L144" s="806"/>
      <c r="M144" s="680"/>
      <c r="N144" s="955"/>
      <c r="O144" s="1289"/>
      <c r="P144" s="1024"/>
      <c r="Q144" s="1248">
        <v>137175.99</v>
      </c>
      <c r="R144" s="1303"/>
      <c r="S144" s="65">
        <f t="shared" si="51"/>
        <v>137175.99</v>
      </c>
      <c r="T144" s="167">
        <f t="shared" si="52"/>
        <v>73.5</v>
      </c>
    </row>
    <row r="145" spans="1:20" s="149" customFormat="1" ht="33" customHeight="1" thickBot="1" x14ac:dyDescent="0.3">
      <c r="A145" s="98">
        <v>99</v>
      </c>
      <c r="B145" s="1220" t="s">
        <v>697</v>
      </c>
      <c r="C145" s="705" t="s">
        <v>57</v>
      </c>
      <c r="D145" s="705"/>
      <c r="E145" s="1224">
        <v>44988</v>
      </c>
      <c r="F145" s="831">
        <v>956.17</v>
      </c>
      <c r="G145" s="707">
        <v>1</v>
      </c>
      <c r="H145" s="1207">
        <v>956.17</v>
      </c>
      <c r="I145" s="1206">
        <f t="shared" si="26"/>
        <v>0</v>
      </c>
      <c r="J145" s="802"/>
      <c r="K145" s="680"/>
      <c r="L145" s="806"/>
      <c r="M145" s="680"/>
      <c r="N145" s="810"/>
      <c r="O145" s="1253" t="s">
        <v>698</v>
      </c>
      <c r="P145" s="1026"/>
      <c r="Q145" s="500">
        <v>23713.02</v>
      </c>
      <c r="R145" s="1051" t="s">
        <v>740</v>
      </c>
      <c r="S145" s="65">
        <f t="shared" si="51"/>
        <v>23713.02</v>
      </c>
      <c r="T145" s="167">
        <f t="shared" si="52"/>
        <v>24.800004183356517</v>
      </c>
    </row>
    <row r="146" spans="1:20" s="149" customFormat="1" ht="33.75" customHeight="1" x14ac:dyDescent="0.25">
      <c r="A146" s="98">
        <v>100</v>
      </c>
      <c r="B146" s="1293" t="s">
        <v>748</v>
      </c>
      <c r="C146" s="1217" t="s">
        <v>344</v>
      </c>
      <c r="D146" s="1221"/>
      <c r="E146" s="1296">
        <v>44989</v>
      </c>
      <c r="F146" s="1009">
        <v>1034.5899999999999</v>
      </c>
      <c r="G146" s="707">
        <v>40</v>
      </c>
      <c r="H146" s="1207">
        <v>1045.7</v>
      </c>
      <c r="I146" s="1262">
        <f t="shared" si="26"/>
        <v>11.110000000000127</v>
      </c>
      <c r="J146" s="802"/>
      <c r="K146" s="680"/>
      <c r="L146" s="806"/>
      <c r="M146" s="680"/>
      <c r="N146" s="955"/>
      <c r="O146" s="1299">
        <v>20629</v>
      </c>
      <c r="P146" s="1076"/>
      <c r="Q146" s="500">
        <v>138032.4</v>
      </c>
      <c r="R146" s="1355" t="s">
        <v>746</v>
      </c>
      <c r="S146" s="65">
        <f t="shared" si="51"/>
        <v>138032.4</v>
      </c>
      <c r="T146" s="167">
        <f t="shared" si="52"/>
        <v>132</v>
      </c>
    </row>
    <row r="147" spans="1:20" s="149" customFormat="1" ht="35.25" customHeight="1" x14ac:dyDescent="0.25">
      <c r="A147" s="98">
        <v>101</v>
      </c>
      <c r="B147" s="1294"/>
      <c r="C147" s="1217" t="s">
        <v>700</v>
      </c>
      <c r="D147" s="1222"/>
      <c r="E147" s="1297"/>
      <c r="F147" s="1009">
        <v>4878.49</v>
      </c>
      <c r="G147" s="707">
        <v>215</v>
      </c>
      <c r="H147" s="1207">
        <v>4856.1499999999996</v>
      </c>
      <c r="I147" s="1206">
        <f t="shared" ref="I147:I150" si="53">H147-F147</f>
        <v>-22.340000000000146</v>
      </c>
      <c r="J147" s="802"/>
      <c r="K147" s="680"/>
      <c r="L147" s="806"/>
      <c r="M147" s="680"/>
      <c r="N147" s="955"/>
      <c r="O147" s="1300"/>
      <c r="P147" s="1024"/>
      <c r="Q147" s="500">
        <v>679861</v>
      </c>
      <c r="R147" s="1356"/>
      <c r="S147" s="65">
        <f t="shared" si="51"/>
        <v>679861</v>
      </c>
      <c r="T147" s="167">
        <f t="shared" si="52"/>
        <v>140</v>
      </c>
    </row>
    <row r="148" spans="1:20" s="149" customFormat="1" ht="30" customHeight="1" thickBot="1" x14ac:dyDescent="0.35">
      <c r="A148" s="98">
        <v>102</v>
      </c>
      <c r="B148" s="1295"/>
      <c r="C148" s="1219" t="s">
        <v>701</v>
      </c>
      <c r="D148" s="1049"/>
      <c r="E148" s="1298"/>
      <c r="F148" s="1223">
        <v>5161.33</v>
      </c>
      <c r="G148" s="661">
        <v>250</v>
      </c>
      <c r="H148" s="1208">
        <v>5183.05</v>
      </c>
      <c r="I148" s="1225">
        <f t="shared" si="53"/>
        <v>21.720000000000255</v>
      </c>
      <c r="J148" s="895"/>
      <c r="K148" s="680"/>
      <c r="L148" s="806"/>
      <c r="M148" s="680"/>
      <c r="N148" s="956"/>
      <c r="O148" s="1301"/>
      <c r="P148" s="1024"/>
      <c r="Q148" s="503">
        <v>658247.35</v>
      </c>
      <c r="R148" s="1357"/>
      <c r="S148" s="65">
        <f t="shared" si="51"/>
        <v>658247.35</v>
      </c>
      <c r="T148" s="167">
        <f t="shared" si="52"/>
        <v>126.99999999999999</v>
      </c>
    </row>
    <row r="149" spans="1:20" s="149" customFormat="1" ht="33" customHeight="1" thickBot="1" x14ac:dyDescent="0.35">
      <c r="A149" s="98">
        <v>103</v>
      </c>
      <c r="B149" s="1230" t="s">
        <v>697</v>
      </c>
      <c r="C149" s="705" t="s">
        <v>57</v>
      </c>
      <c r="D149" s="879"/>
      <c r="E149" s="1228">
        <v>44989</v>
      </c>
      <c r="F149" s="884">
        <v>1836.59</v>
      </c>
      <c r="G149" s="885">
        <v>2</v>
      </c>
      <c r="H149" s="1208">
        <v>1836.59</v>
      </c>
      <c r="I149" s="1209">
        <f t="shared" si="53"/>
        <v>0</v>
      </c>
      <c r="J149" s="896"/>
      <c r="K149" s="680"/>
      <c r="L149" s="806"/>
      <c r="M149" s="680"/>
      <c r="N149" s="810"/>
      <c r="O149" s="1254" t="s">
        <v>702</v>
      </c>
      <c r="P149" s="500"/>
      <c r="Q149" s="500">
        <v>45547.43</v>
      </c>
      <c r="R149" s="1249" t="s">
        <v>740</v>
      </c>
      <c r="S149" s="65">
        <f t="shared" si="51"/>
        <v>45547.43</v>
      </c>
      <c r="T149" s="167">
        <f t="shared" si="52"/>
        <v>24.799998911025327</v>
      </c>
    </row>
    <row r="150" spans="1:20" s="149" customFormat="1" ht="33" customHeight="1" x14ac:dyDescent="0.3">
      <c r="A150" s="98">
        <v>104</v>
      </c>
      <c r="B150" s="1284" t="s">
        <v>396</v>
      </c>
      <c r="C150" s="1229" t="s">
        <v>703</v>
      </c>
      <c r="D150" s="1226"/>
      <c r="E150" s="1286">
        <v>44989</v>
      </c>
      <c r="F150" s="1227">
        <v>1029.8699999999999</v>
      </c>
      <c r="G150" s="885">
        <v>43</v>
      </c>
      <c r="H150" s="1208">
        <v>1029.8699999999999</v>
      </c>
      <c r="I150" s="1209">
        <f t="shared" si="53"/>
        <v>0</v>
      </c>
      <c r="J150" s="896"/>
      <c r="K150" s="680"/>
      <c r="L150" s="806"/>
      <c r="M150" s="680"/>
      <c r="N150" s="955"/>
      <c r="O150" s="1288">
        <v>19972</v>
      </c>
      <c r="P150" s="1273" t="s">
        <v>404</v>
      </c>
      <c r="Q150" s="1248">
        <v>72090.899999999994</v>
      </c>
      <c r="R150" s="1271" t="s">
        <v>739</v>
      </c>
      <c r="S150" s="65">
        <f t="shared" ref="S150:S190" si="54">Q150+M150+K150</f>
        <v>72090.899999999994</v>
      </c>
      <c r="T150" s="167">
        <f t="shared" ref="T150:T190" si="55">S150/H150</f>
        <v>70</v>
      </c>
    </row>
    <row r="151" spans="1:20" s="149" customFormat="1" ht="34.5" customHeight="1" thickBot="1" x14ac:dyDescent="0.3">
      <c r="A151" s="98">
        <v>105</v>
      </c>
      <c r="B151" s="1285"/>
      <c r="C151" s="1217" t="s">
        <v>689</v>
      </c>
      <c r="D151" s="1017"/>
      <c r="E151" s="1287"/>
      <c r="F151" s="1227">
        <v>2036.85</v>
      </c>
      <c r="G151" s="885">
        <v>69</v>
      </c>
      <c r="H151" s="1208">
        <v>2036.85</v>
      </c>
      <c r="I151" s="1206">
        <f t="shared" ref="I151:I205" si="56">H151-F151</f>
        <v>0</v>
      </c>
      <c r="J151" s="802"/>
      <c r="K151" s="680"/>
      <c r="L151" s="806"/>
      <c r="M151" s="680"/>
      <c r="N151" s="955"/>
      <c r="O151" s="1289"/>
      <c r="P151" s="1274"/>
      <c r="Q151" s="1248">
        <v>114063.6</v>
      </c>
      <c r="R151" s="1272"/>
      <c r="S151" s="65">
        <f t="shared" si="54"/>
        <v>114063.6</v>
      </c>
      <c r="T151" s="167">
        <f t="shared" si="55"/>
        <v>56.000000000000007</v>
      </c>
    </row>
    <row r="152" spans="1:20" s="149" customFormat="1" ht="29.25" customHeight="1" x14ac:dyDescent="0.25">
      <c r="A152" s="98">
        <v>106</v>
      </c>
      <c r="B152" s="1231"/>
      <c r="C152" s="705"/>
      <c r="D152" s="886"/>
      <c r="E152" s="1020"/>
      <c r="F152" s="884"/>
      <c r="G152" s="885"/>
      <c r="H152" s="1208"/>
      <c r="I152" s="1206">
        <f t="shared" si="56"/>
        <v>0</v>
      </c>
      <c r="J152" s="802"/>
      <c r="K152" s="680"/>
      <c r="L152" s="806"/>
      <c r="M152" s="680"/>
      <c r="N152" s="810"/>
      <c r="O152" s="1255"/>
      <c r="P152" s="1026"/>
      <c r="Q152" s="894"/>
      <c r="R152" s="1250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107</v>
      </c>
      <c r="B153" s="892"/>
      <c r="C153" s="705"/>
      <c r="D153" s="886"/>
      <c r="E153" s="881"/>
      <c r="F153" s="884"/>
      <c r="G153" s="885"/>
      <c r="H153" s="1208"/>
      <c r="I153" s="1206">
        <f t="shared" si="56"/>
        <v>0</v>
      </c>
      <c r="J153" s="802"/>
      <c r="K153" s="680"/>
      <c r="L153" s="806"/>
      <c r="M153" s="680"/>
      <c r="N153" s="810"/>
      <c r="O153" s="1256"/>
      <c r="P153" s="1026"/>
      <c r="Q153" s="894"/>
      <c r="R153" s="897"/>
      <c r="S153" s="65">
        <f t="shared" si="54"/>
        <v>0</v>
      </c>
      <c r="T153" s="167" t="e">
        <f t="shared" si="55"/>
        <v>#DIV/0!</v>
      </c>
    </row>
    <row r="154" spans="1:20" s="149" customFormat="1" ht="31.5" customHeight="1" x14ac:dyDescent="0.25">
      <c r="A154" s="98">
        <v>108</v>
      </c>
      <c r="B154" s="705"/>
      <c r="C154" s="705"/>
      <c r="D154" s="886"/>
      <c r="E154" s="881"/>
      <c r="F154" s="884"/>
      <c r="G154" s="885"/>
      <c r="H154" s="884"/>
      <c r="I154" s="103">
        <f t="shared" si="56"/>
        <v>0</v>
      </c>
      <c r="J154" s="802"/>
      <c r="K154" s="680"/>
      <c r="L154" s="806"/>
      <c r="M154" s="680"/>
      <c r="N154" s="810"/>
      <c r="O154" s="684"/>
      <c r="P154" s="1026"/>
      <c r="Q154" s="894"/>
      <c r="R154" s="897"/>
      <c r="S154" s="65">
        <f t="shared" si="54"/>
        <v>0</v>
      </c>
      <c r="T154" s="167" t="e">
        <f t="shared" si="55"/>
        <v>#DIV/0!</v>
      </c>
    </row>
    <row r="155" spans="1:20" s="149" customFormat="1" ht="29.25" customHeight="1" x14ac:dyDescent="0.25">
      <c r="A155" s="98">
        <v>109</v>
      </c>
      <c r="B155" s="892"/>
      <c r="C155" s="705"/>
      <c r="D155" s="886"/>
      <c r="E155" s="881"/>
      <c r="F155" s="884"/>
      <c r="G155" s="885"/>
      <c r="H155" s="884"/>
      <c r="I155" s="103">
        <f t="shared" si="56"/>
        <v>0</v>
      </c>
      <c r="J155" s="802"/>
      <c r="K155" s="680"/>
      <c r="L155" s="806"/>
      <c r="M155" s="680"/>
      <c r="N155" s="810"/>
      <c r="O155" s="685"/>
      <c r="P155" s="1026"/>
      <c r="Q155" s="894"/>
      <c r="R155" s="897"/>
      <c r="S155" s="65">
        <f t="shared" si="54"/>
        <v>0</v>
      </c>
      <c r="T155" s="167" t="e">
        <f t="shared" si="55"/>
        <v>#DIV/0!</v>
      </c>
    </row>
    <row r="156" spans="1:20" s="149" customFormat="1" ht="37.5" customHeight="1" x14ac:dyDescent="0.25">
      <c r="A156" s="98">
        <v>110</v>
      </c>
      <c r="B156" s="892"/>
      <c r="C156" s="705"/>
      <c r="D156" s="886"/>
      <c r="E156" s="881"/>
      <c r="F156" s="884"/>
      <c r="G156" s="885"/>
      <c r="H156" s="884"/>
      <c r="I156" s="103">
        <f t="shared" si="56"/>
        <v>0</v>
      </c>
      <c r="J156" s="802"/>
      <c r="K156" s="680"/>
      <c r="L156" s="806"/>
      <c r="M156" s="680"/>
      <c r="N156" s="810"/>
      <c r="O156" s="685"/>
      <c r="P156" s="1026"/>
      <c r="Q156" s="894"/>
      <c r="R156" s="897"/>
      <c r="S156" s="65">
        <f t="shared" si="54"/>
        <v>0</v>
      </c>
      <c r="T156" s="167" t="e">
        <f t="shared" si="55"/>
        <v>#DIV/0!</v>
      </c>
    </row>
    <row r="157" spans="1:20" s="149" customFormat="1" ht="34.5" customHeight="1" x14ac:dyDescent="0.25">
      <c r="A157" s="98">
        <v>111</v>
      </c>
      <c r="B157" s="892"/>
      <c r="C157" s="705"/>
      <c r="D157" s="879"/>
      <c r="E157" s="881"/>
      <c r="F157" s="884"/>
      <c r="G157" s="885"/>
      <c r="H157" s="884"/>
      <c r="I157" s="103">
        <f t="shared" si="56"/>
        <v>0</v>
      </c>
      <c r="J157" s="802"/>
      <c r="K157" s="680"/>
      <c r="L157" s="806"/>
      <c r="M157" s="680"/>
      <c r="N157" s="810"/>
      <c r="O157" s="685"/>
      <c r="P157" s="500"/>
      <c r="Q157" s="894"/>
      <c r="R157" s="897"/>
      <c r="S157" s="65">
        <f t="shared" si="54"/>
        <v>0</v>
      </c>
      <c r="T157" s="167" t="e">
        <f t="shared" si="55"/>
        <v>#DIV/0!</v>
      </c>
    </row>
    <row r="158" spans="1:20" s="149" customFormat="1" ht="30.75" customHeight="1" x14ac:dyDescent="0.3">
      <c r="A158" s="98">
        <v>112</v>
      </c>
      <c r="B158" s="893"/>
      <c r="C158" s="856"/>
      <c r="D158" s="886"/>
      <c r="E158" s="881"/>
      <c r="F158" s="884"/>
      <c r="G158" s="885"/>
      <c r="H158" s="884"/>
      <c r="I158" s="103">
        <f t="shared" si="56"/>
        <v>0</v>
      </c>
      <c r="J158" s="898"/>
      <c r="K158" s="680"/>
      <c r="L158" s="806"/>
      <c r="M158" s="680"/>
      <c r="N158" s="810"/>
      <c r="O158" s="910"/>
      <c r="P158" s="1026"/>
      <c r="Q158" s="500"/>
      <c r="R158" s="683"/>
      <c r="S158" s="65">
        <f t="shared" si="54"/>
        <v>0</v>
      </c>
      <c r="T158" s="167" t="e">
        <f t="shared" si="55"/>
        <v>#DIV/0!</v>
      </c>
    </row>
    <row r="159" spans="1:20" s="149" customFormat="1" ht="30.75" customHeight="1" x14ac:dyDescent="0.25">
      <c r="A159" s="98">
        <v>113</v>
      </c>
      <c r="B159" s="892"/>
      <c r="C159" s="705"/>
      <c r="D159" s="886"/>
      <c r="E159" s="881"/>
      <c r="F159" s="884"/>
      <c r="G159" s="885"/>
      <c r="H159" s="884"/>
      <c r="I159" s="103">
        <f t="shared" si="56"/>
        <v>0</v>
      </c>
      <c r="J159" s="802"/>
      <c r="K159" s="680"/>
      <c r="L159" s="806"/>
      <c r="M159" s="680"/>
      <c r="N159" s="810"/>
      <c r="O159" s="685"/>
      <c r="P159" s="1026"/>
      <c r="Q159" s="894"/>
      <c r="R159" s="897"/>
      <c r="S159" s="65"/>
      <c r="T159" s="167"/>
    </row>
    <row r="160" spans="1:20" s="149" customFormat="1" ht="30.75" customHeight="1" x14ac:dyDescent="0.25">
      <c r="A160" s="98">
        <v>114</v>
      </c>
      <c r="B160" s="892"/>
      <c r="C160" s="705"/>
      <c r="D160" s="886"/>
      <c r="E160" s="881"/>
      <c r="F160" s="884"/>
      <c r="G160" s="885"/>
      <c r="H160" s="884"/>
      <c r="I160" s="103">
        <f t="shared" si="56"/>
        <v>0</v>
      </c>
      <c r="J160" s="802"/>
      <c r="K160" s="680"/>
      <c r="L160" s="806"/>
      <c r="M160" s="680"/>
      <c r="N160" s="810"/>
      <c r="O160" s="685"/>
      <c r="P160" s="1026"/>
      <c r="Q160" s="894"/>
      <c r="R160" s="897"/>
      <c r="S160" s="65"/>
      <c r="T160" s="167"/>
    </row>
    <row r="161" spans="1:20" s="149" customFormat="1" ht="24" customHeight="1" x14ac:dyDescent="0.25">
      <c r="A161" s="98">
        <v>115</v>
      </c>
      <c r="B161" s="892"/>
      <c r="C161" s="705"/>
      <c r="D161" s="886"/>
      <c r="E161" s="881"/>
      <c r="F161" s="884"/>
      <c r="G161" s="885"/>
      <c r="H161" s="884"/>
      <c r="I161" s="103">
        <f t="shared" si="56"/>
        <v>0</v>
      </c>
      <c r="J161" s="899"/>
      <c r="K161" s="680"/>
      <c r="L161" s="806"/>
      <c r="M161" s="680"/>
      <c r="N161" s="806"/>
      <c r="O161" s="685"/>
      <c r="P161" s="500"/>
      <c r="Q161" s="500"/>
      <c r="R161" s="683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116</v>
      </c>
      <c r="B162" s="892"/>
      <c r="C162" s="705"/>
      <c r="D162" s="879"/>
      <c r="E162" s="881"/>
      <c r="F162" s="884"/>
      <c r="G162" s="885"/>
      <c r="H162" s="884"/>
      <c r="I162" s="103">
        <f t="shared" si="56"/>
        <v>0</v>
      </c>
      <c r="J162" s="900"/>
      <c r="K162" s="680"/>
      <c r="L162" s="806"/>
      <c r="M162" s="680"/>
      <c r="N162" s="806"/>
      <c r="O162" s="685"/>
      <c r="P162" s="500"/>
      <c r="Q162" s="500"/>
      <c r="R162" s="683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117</v>
      </c>
      <c r="B163" s="892"/>
      <c r="C163" s="705"/>
      <c r="D163" s="879"/>
      <c r="E163" s="887"/>
      <c r="F163" s="884"/>
      <c r="G163" s="885"/>
      <c r="H163" s="884"/>
      <c r="I163" s="103">
        <f t="shared" si="56"/>
        <v>0</v>
      </c>
      <c r="J163" s="900"/>
      <c r="K163" s="680"/>
      <c r="L163" s="806"/>
      <c r="M163" s="680"/>
      <c r="N163" s="806"/>
      <c r="O163" s="902"/>
      <c r="P163" s="500"/>
      <c r="Q163" s="894"/>
      <c r="R163" s="897"/>
      <c r="S163" s="65">
        <f t="shared" si="54"/>
        <v>0</v>
      </c>
      <c r="T163" s="167" t="e">
        <f t="shared" si="55"/>
        <v>#DIV/0!</v>
      </c>
    </row>
    <row r="164" spans="1:20" s="149" customFormat="1" ht="22.5" x14ac:dyDescent="0.3">
      <c r="A164" s="98">
        <v>118</v>
      </c>
      <c r="B164" s="892"/>
      <c r="C164" s="705"/>
      <c r="D164" s="879"/>
      <c r="E164" s="887"/>
      <c r="F164" s="884"/>
      <c r="G164" s="885"/>
      <c r="H164" s="884"/>
      <c r="I164" s="103">
        <f t="shared" si="56"/>
        <v>0</v>
      </c>
      <c r="J164" s="900"/>
      <c r="K164" s="680"/>
      <c r="L164" s="806"/>
      <c r="M164" s="680"/>
      <c r="N164" s="806"/>
      <c r="O164" s="902"/>
      <c r="P164" s="500"/>
      <c r="Q164" s="894"/>
      <c r="R164" s="897"/>
      <c r="S164" s="65">
        <f t="shared" si="54"/>
        <v>0</v>
      </c>
      <c r="T164" s="167" t="e">
        <f t="shared" si="55"/>
        <v>#DIV/0!</v>
      </c>
    </row>
    <row r="165" spans="1:20" s="149" customFormat="1" ht="22.5" x14ac:dyDescent="0.3">
      <c r="A165" s="98">
        <v>119</v>
      </c>
      <c r="B165" s="705"/>
      <c r="C165" s="705"/>
      <c r="D165" s="879"/>
      <c r="E165" s="887"/>
      <c r="F165" s="884"/>
      <c r="G165" s="885"/>
      <c r="H165" s="884"/>
      <c r="I165" s="103">
        <f t="shared" si="56"/>
        <v>0</v>
      </c>
      <c r="J165" s="900"/>
      <c r="K165" s="680"/>
      <c r="L165" s="806"/>
      <c r="M165" s="680"/>
      <c r="N165" s="806"/>
      <c r="O165" s="902"/>
      <c r="P165" s="500"/>
      <c r="Q165" s="500"/>
      <c r="R165" s="683"/>
      <c r="S165" s="65">
        <f t="shared" si="54"/>
        <v>0</v>
      </c>
      <c r="T165" s="167" t="e">
        <f t="shared" si="55"/>
        <v>#DIV/0!</v>
      </c>
    </row>
    <row r="166" spans="1:20" s="149" customFormat="1" ht="21.75" customHeight="1" x14ac:dyDescent="0.25">
      <c r="A166" s="98">
        <v>120</v>
      </c>
      <c r="B166" s="705"/>
      <c r="C166" s="705"/>
      <c r="D166" s="886"/>
      <c r="E166" s="881"/>
      <c r="F166" s="884"/>
      <c r="G166" s="885"/>
      <c r="H166" s="884"/>
      <c r="I166" s="103">
        <f t="shared" ref="I166" si="57">H166-F166</f>
        <v>0</v>
      </c>
      <c r="J166" s="802"/>
      <c r="K166" s="680"/>
      <c r="L166" s="806"/>
      <c r="M166" s="680"/>
      <c r="N166" s="810"/>
      <c r="O166" s="685"/>
      <c r="P166" s="1026"/>
      <c r="Q166" s="500"/>
      <c r="R166" s="683"/>
      <c r="S166" s="65">
        <f t="shared" si="54"/>
        <v>0</v>
      </c>
      <c r="T166" s="167" t="e">
        <f t="shared" si="55"/>
        <v>#DIV/0!</v>
      </c>
    </row>
    <row r="167" spans="1:20" s="149" customFormat="1" ht="29.25" customHeight="1" x14ac:dyDescent="0.25">
      <c r="A167" s="98"/>
      <c r="B167" s="706"/>
      <c r="C167" s="705"/>
      <c r="D167" s="365"/>
      <c r="E167" s="535"/>
      <c r="F167" s="777"/>
      <c r="G167" s="547"/>
      <c r="H167" s="777"/>
      <c r="I167" s="626">
        <f t="shared" si="56"/>
        <v>0</v>
      </c>
      <c r="J167" s="899"/>
      <c r="K167" s="680"/>
      <c r="L167" s="806"/>
      <c r="M167" s="680"/>
      <c r="N167" s="806"/>
      <c r="O167" s="684"/>
      <c r="P167" s="500"/>
      <c r="Q167" s="500"/>
      <c r="R167" s="686"/>
      <c r="S167" s="65">
        <f t="shared" si="54"/>
        <v>0</v>
      </c>
      <c r="T167" s="167" t="e">
        <f t="shared" si="55"/>
        <v>#DIV/0!</v>
      </c>
    </row>
    <row r="168" spans="1:20" s="149" customFormat="1" ht="25.5" customHeight="1" x14ac:dyDescent="0.25">
      <c r="A168" s="98"/>
      <c r="B168" s="705"/>
      <c r="C168" s="705"/>
      <c r="D168" s="365"/>
      <c r="E168" s="535"/>
      <c r="F168" s="777"/>
      <c r="G168" s="547"/>
      <c r="H168" s="777"/>
      <c r="I168" s="103">
        <f t="shared" si="56"/>
        <v>0</v>
      </c>
      <c r="J168" s="899"/>
      <c r="K168" s="680"/>
      <c r="L168" s="806"/>
      <c r="M168" s="680"/>
      <c r="N168" s="806"/>
      <c r="O168" s="685"/>
      <c r="P168" s="500"/>
      <c r="Q168" s="500"/>
      <c r="R168" s="686"/>
      <c r="S168" s="65">
        <f t="shared" si="54"/>
        <v>0</v>
      </c>
      <c r="T168" s="167" t="e">
        <f t="shared" si="55"/>
        <v>#DIV/0!</v>
      </c>
    </row>
    <row r="169" spans="1:20" s="149" customFormat="1" ht="26.25" customHeight="1" x14ac:dyDescent="0.25">
      <c r="A169" s="98"/>
      <c r="B169" s="705"/>
      <c r="C169" s="705"/>
      <c r="D169" s="365"/>
      <c r="E169" s="535"/>
      <c r="F169" s="532"/>
      <c r="G169" s="547"/>
      <c r="H169" s="777"/>
      <c r="I169" s="103">
        <f t="shared" si="56"/>
        <v>0</v>
      </c>
      <c r="J169" s="899"/>
      <c r="K169" s="680"/>
      <c r="L169" s="806"/>
      <c r="M169" s="680"/>
      <c r="N169" s="806"/>
      <c r="O169" s="685"/>
      <c r="P169" s="500"/>
      <c r="Q169" s="500"/>
      <c r="R169" s="686"/>
      <c r="S169" s="65">
        <f t="shared" si="54"/>
        <v>0</v>
      </c>
      <c r="T169" s="167" t="e">
        <f t="shared" si="55"/>
        <v>#DIV/0!</v>
      </c>
    </row>
    <row r="170" spans="1:20" s="149" customFormat="1" ht="18.75" customHeight="1" x14ac:dyDescent="0.25">
      <c r="A170" s="98"/>
      <c r="B170" s="705"/>
      <c r="C170" s="705"/>
      <c r="D170" s="365"/>
      <c r="E170" s="535"/>
      <c r="F170" s="532"/>
      <c r="G170" s="547"/>
      <c r="H170" s="777"/>
      <c r="I170" s="103">
        <f t="shared" si="56"/>
        <v>0</v>
      </c>
      <c r="J170" s="899"/>
      <c r="K170" s="680"/>
      <c r="L170" s="806"/>
      <c r="M170" s="680"/>
      <c r="N170" s="806"/>
      <c r="O170" s="685"/>
      <c r="P170" s="1027"/>
      <c r="Q170" s="503"/>
      <c r="R170" s="686"/>
      <c r="S170" s="65">
        <f t="shared" si="54"/>
        <v>0</v>
      </c>
      <c r="T170" s="167" t="e">
        <f t="shared" si="55"/>
        <v>#DIV/0!</v>
      </c>
    </row>
    <row r="171" spans="1:20" s="149" customFormat="1" ht="24.75" customHeight="1" x14ac:dyDescent="0.25">
      <c r="A171" s="98"/>
      <c r="B171" s="705"/>
      <c r="C171" s="705"/>
      <c r="D171" s="365"/>
      <c r="E171" s="535"/>
      <c r="F171" s="532"/>
      <c r="G171" s="547"/>
      <c r="H171" s="532"/>
      <c r="I171" s="103">
        <f t="shared" si="56"/>
        <v>0</v>
      </c>
      <c r="J171" s="899"/>
      <c r="K171" s="680"/>
      <c r="L171" s="806"/>
      <c r="M171" s="680"/>
      <c r="N171" s="806"/>
      <c r="O171" s="685"/>
      <c r="P171" s="1027"/>
      <c r="Q171" s="503"/>
      <c r="R171" s="681"/>
      <c r="S171" s="65">
        <f t="shared" si="54"/>
        <v>0</v>
      </c>
      <c r="T171" s="167" t="e">
        <f t="shared" si="55"/>
        <v>#DIV/0!</v>
      </c>
    </row>
    <row r="172" spans="1:20" s="149" customFormat="1" ht="27" customHeight="1" x14ac:dyDescent="0.25">
      <c r="A172" s="98"/>
      <c r="B172" s="705"/>
      <c r="C172" s="705"/>
      <c r="D172" s="365"/>
      <c r="E172" s="535"/>
      <c r="F172" s="532"/>
      <c r="G172" s="547"/>
      <c r="H172" s="532"/>
      <c r="I172" s="103">
        <f t="shared" si="56"/>
        <v>0</v>
      </c>
      <c r="J172" s="899"/>
      <c r="K172" s="680"/>
      <c r="L172" s="806"/>
      <c r="M172" s="680"/>
      <c r="N172" s="806"/>
      <c r="O172" s="685"/>
      <c r="P172" s="1028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7" customHeight="1" x14ac:dyDescent="0.25">
      <c r="A173" s="98"/>
      <c r="B173" s="707"/>
      <c r="C173" s="705"/>
      <c r="D173" s="365"/>
      <c r="E173" s="535"/>
      <c r="F173" s="532"/>
      <c r="G173" s="547"/>
      <c r="H173" s="532"/>
      <c r="I173" s="103">
        <f t="shared" si="56"/>
        <v>0</v>
      </c>
      <c r="J173" s="899"/>
      <c r="K173" s="680"/>
      <c r="L173" s="806"/>
      <c r="M173" s="680"/>
      <c r="N173" s="806"/>
      <c r="O173" s="684"/>
      <c r="P173" s="1028"/>
      <c r="Q173" s="503"/>
      <c r="R173" s="901"/>
      <c r="S173" s="65">
        <f t="shared" si="54"/>
        <v>0</v>
      </c>
      <c r="T173" s="167" t="e">
        <f t="shared" si="55"/>
        <v>#DIV/0!</v>
      </c>
    </row>
    <row r="174" spans="1:20" s="149" customFormat="1" ht="29.25" customHeight="1" x14ac:dyDescent="0.25">
      <c r="A174" s="98"/>
      <c r="B174" s="552"/>
      <c r="C174" s="548"/>
      <c r="D174" s="365"/>
      <c r="E174" s="533"/>
      <c r="F174" s="532"/>
      <c r="G174" s="547"/>
      <c r="H174" s="532"/>
      <c r="I174" s="103">
        <f t="shared" si="56"/>
        <v>0</v>
      </c>
      <c r="J174" s="899"/>
      <c r="K174" s="680"/>
      <c r="L174" s="806"/>
      <c r="M174" s="680"/>
      <c r="N174" s="806"/>
      <c r="O174" s="688"/>
      <c r="P174" s="1028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24.75" customHeight="1" x14ac:dyDescent="0.25">
      <c r="A175" s="98"/>
      <c r="B175" s="365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899"/>
      <c r="K175" s="680"/>
      <c r="L175" s="806"/>
      <c r="M175" s="680"/>
      <c r="N175" s="806"/>
      <c r="O175" s="684"/>
      <c r="P175" s="1027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365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9"/>
      <c r="K176" s="680"/>
      <c r="L176" s="806"/>
      <c r="M176" s="680"/>
      <c r="N176" s="806"/>
      <c r="O176" s="902"/>
      <c r="P176" s="1027"/>
      <c r="Q176" s="503"/>
      <c r="R176" s="681"/>
      <c r="S176" s="65">
        <f t="shared" si="54"/>
        <v>0</v>
      </c>
      <c r="T176" s="167" t="e">
        <f t="shared" si="55"/>
        <v>#DIV/0!</v>
      </c>
    </row>
    <row r="177" spans="1:20" s="149" customFormat="1" ht="30.75" customHeight="1" x14ac:dyDescent="0.25">
      <c r="A177" s="98"/>
      <c r="B177" s="572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9"/>
      <c r="K177" s="680"/>
      <c r="L177" s="806"/>
      <c r="M177" s="680"/>
      <c r="N177" s="903"/>
      <c r="O177" s="902"/>
      <c r="P177" s="1027"/>
      <c r="Q177" s="503"/>
      <c r="R177" s="681"/>
      <c r="S177" s="65">
        <f t="shared" si="54"/>
        <v>0</v>
      </c>
      <c r="T177" s="167" t="e">
        <f t="shared" si="55"/>
        <v>#DIV/0!</v>
      </c>
    </row>
    <row r="178" spans="1:20" s="149" customFormat="1" ht="18.75" x14ac:dyDescent="0.25">
      <c r="A178" s="98"/>
      <c r="B178" s="547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890"/>
      <c r="K178" s="680"/>
      <c r="L178" s="806"/>
      <c r="M178" s="680"/>
      <c r="N178" s="904"/>
      <c r="O178" s="902"/>
      <c r="P178" s="1027"/>
      <c r="Q178" s="503"/>
      <c r="R178" s="905"/>
      <c r="S178" s="65">
        <f t="shared" si="54"/>
        <v>0</v>
      </c>
      <c r="T178" s="167" t="e">
        <f t="shared" si="55"/>
        <v>#DIV/0!</v>
      </c>
    </row>
    <row r="179" spans="1:20" s="149" customFormat="1" ht="18.75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890"/>
      <c r="K179" s="680"/>
      <c r="L179" s="806"/>
      <c r="M179" s="680"/>
      <c r="N179" s="906"/>
      <c r="O179" s="902"/>
      <c r="P179" s="1028"/>
      <c r="Q179" s="503"/>
      <c r="R179" s="905"/>
      <c r="S179" s="65">
        <f t="shared" si="54"/>
        <v>0</v>
      </c>
      <c r="T179" s="167" t="e">
        <f t="shared" si="55"/>
        <v>#DIV/0!</v>
      </c>
    </row>
    <row r="180" spans="1:20" s="149" customFormat="1" ht="27.7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06"/>
      <c r="M180" s="680"/>
      <c r="N180" s="811"/>
      <c r="O180" s="902"/>
      <c r="P180" s="1027"/>
      <c r="Q180" s="503"/>
      <c r="R180" s="905"/>
      <c r="S180" s="65">
        <f t="shared" si="54"/>
        <v>0</v>
      </c>
      <c r="T180" s="167" t="e">
        <f t="shared" si="55"/>
        <v>#DIV/0!</v>
      </c>
    </row>
    <row r="181" spans="1:20" s="149" customFormat="1" ht="32.25" customHeight="1" x14ac:dyDescent="0.25">
      <c r="A181" s="98"/>
      <c r="B181" s="365"/>
      <c r="C181" s="365"/>
      <c r="D181" s="365"/>
      <c r="E181" s="533"/>
      <c r="F181" s="532"/>
      <c r="G181" s="547"/>
      <c r="H181" s="532"/>
      <c r="I181" s="103">
        <f t="shared" si="56"/>
        <v>0</v>
      </c>
      <c r="J181" s="661"/>
      <c r="K181" s="680"/>
      <c r="L181" s="806"/>
      <c r="M181" s="680"/>
      <c r="N181" s="811"/>
      <c r="O181" s="902"/>
      <c r="P181" s="1027"/>
      <c r="Q181" s="503"/>
      <c r="R181" s="905"/>
      <c r="S181" s="65">
        <f t="shared" si="54"/>
        <v>0</v>
      </c>
      <c r="T181" s="167" t="e">
        <f t="shared" si="55"/>
        <v>#DIV/0!</v>
      </c>
    </row>
    <row r="182" spans="1:20" s="149" customFormat="1" ht="19.5" customHeight="1" x14ac:dyDescent="0.25">
      <c r="A182" s="98"/>
      <c r="B182" s="365"/>
      <c r="C182" s="365"/>
      <c r="D182" s="365"/>
      <c r="E182" s="533"/>
      <c r="F182" s="532"/>
      <c r="G182" s="547"/>
      <c r="H182" s="532"/>
      <c r="I182" s="103">
        <f t="shared" si="56"/>
        <v>0</v>
      </c>
      <c r="J182" s="661"/>
      <c r="K182" s="680"/>
      <c r="L182" s="806"/>
      <c r="M182" s="680"/>
      <c r="N182" s="811"/>
      <c r="O182" s="902"/>
      <c r="P182" s="1027"/>
      <c r="Q182" s="503"/>
      <c r="R182" s="905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39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3"/>
      <c r="O183" s="377"/>
      <c r="P183" s="1029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3"/>
      <c r="O184" s="377"/>
      <c r="P184" s="1029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3"/>
      <c r="O185" s="377"/>
      <c r="P185" s="1029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3"/>
      <c r="O186" s="377"/>
      <c r="P186" s="1029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3"/>
      <c r="O187" s="377"/>
      <c r="P187" s="1029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3"/>
      <c r="O188" s="377"/>
      <c r="P188" s="1029"/>
      <c r="Q188" s="504"/>
      <c r="R188" s="598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3"/>
      <c r="O189" s="377"/>
      <c r="P189" s="1029"/>
      <c r="Q189" s="504"/>
      <c r="R189" s="598"/>
      <c r="S189" s="65">
        <f t="shared" si="54"/>
        <v>0</v>
      </c>
      <c r="T189" s="167" t="e">
        <f t="shared" si="55"/>
        <v>#DIV/0!</v>
      </c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4"/>
      <c r="O190" s="377"/>
      <c r="P190" s="1029"/>
      <c r="Q190" s="505"/>
      <c r="R190" s="599"/>
      <c r="S190" s="65">
        <f t="shared" si="54"/>
        <v>0</v>
      </c>
      <c r="T190" s="167" t="e">
        <f t="shared" si="55"/>
        <v>#DIV/0!</v>
      </c>
    </row>
    <row r="191" spans="1:20" s="149" customFormat="1" x14ac:dyDescent="0.25">
      <c r="A191" s="98"/>
      <c r="B191" s="75"/>
      <c r="C191" s="73"/>
      <c r="D191" s="153"/>
      <c r="E191" s="146"/>
      <c r="F191" s="103"/>
      <c r="G191" s="98"/>
      <c r="H191" s="361"/>
      <c r="I191" s="103">
        <f t="shared" si="56"/>
        <v>0</v>
      </c>
      <c r="J191" s="174"/>
      <c r="K191" s="218"/>
      <c r="L191" s="592"/>
      <c r="M191" s="217"/>
      <c r="N191" s="784"/>
      <c r="O191" s="377"/>
      <c r="P191" s="1029"/>
      <c r="Q191" s="505"/>
      <c r="R191" s="599"/>
      <c r="S191" s="65"/>
      <c r="T191" s="65"/>
    </row>
    <row r="192" spans="1:20" s="149" customFormat="1" x14ac:dyDescent="0.25">
      <c r="A192" s="98"/>
      <c r="B192" s="75"/>
      <c r="C192" s="73"/>
      <c r="D192" s="153"/>
      <c r="E192" s="146"/>
      <c r="F192" s="103"/>
      <c r="G192" s="98"/>
      <c r="H192" s="361"/>
      <c r="I192" s="103">
        <f t="shared" si="56"/>
        <v>0</v>
      </c>
      <c r="J192" s="174"/>
      <c r="K192" s="218"/>
      <c r="L192" s="592"/>
      <c r="M192" s="217"/>
      <c r="N192" s="784"/>
      <c r="O192" s="377"/>
      <c r="P192" s="1029"/>
      <c r="Q192" s="505"/>
      <c r="R192" s="599"/>
      <c r="S192" s="65"/>
      <c r="T192" s="65"/>
    </row>
    <row r="193" spans="1:20" s="149" customFormat="1" ht="15.75" thickBot="1" x14ac:dyDescent="0.3">
      <c r="A193" s="98"/>
      <c r="B193" s="75"/>
      <c r="C193" s="143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4"/>
      <c r="O193" s="124"/>
      <c r="P193" s="391"/>
      <c r="Q193" s="506"/>
      <c r="R193" s="600"/>
      <c r="S193" s="65">
        <f t="shared" ref="S193:S198" si="58">Q193+M193+K193</f>
        <v>0</v>
      </c>
      <c r="T193" s="65" t="e">
        <f t="shared" ref="T193:T201" si="59">S193/H193+0.1</f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4"/>
      <c r="O194" s="124"/>
      <c r="P194" s="391"/>
      <c r="Q194" s="507"/>
      <c r="R194" s="601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4"/>
      <c r="O195" s="124"/>
      <c r="P195" s="391"/>
      <c r="Q195" s="507"/>
      <c r="R195" s="601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75"/>
      <c r="D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4"/>
      <c r="O196" s="124"/>
      <c r="P196" s="391"/>
      <c r="Q196" s="507"/>
      <c r="R196" s="602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75"/>
      <c r="D197" s="143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4"/>
      <c r="O197" s="124"/>
      <c r="P197" s="391"/>
      <c r="Q197" s="507"/>
      <c r="R197" s="602"/>
      <c r="S197" s="65">
        <f t="shared" si="58"/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3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4"/>
      <c r="O198" s="124"/>
      <c r="P198" s="391"/>
      <c r="Q198" s="381"/>
      <c r="R198" s="603"/>
      <c r="S198" s="65">
        <f t="shared" si="58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3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4"/>
      <c r="O199" s="124"/>
      <c r="P199" s="391"/>
      <c r="Q199" s="381"/>
      <c r="R199" s="603"/>
      <c r="S199" s="65">
        <f t="shared" ref="S199:S204" si="60">Q199+M199+K199</f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4"/>
      <c r="O200" s="124"/>
      <c r="P200" s="391"/>
      <c r="Q200" s="381"/>
      <c r="R200" s="603"/>
      <c r="S200" s="65">
        <f t="shared" si="60"/>
        <v>0</v>
      </c>
      <c r="T200" s="65" t="e">
        <f t="shared" si="59"/>
        <v>#DIV/0!</v>
      </c>
    </row>
    <row r="201" spans="1:20" s="149" customFormat="1" ht="15.75" hidden="1" thickBot="1" x14ac:dyDescent="0.3">
      <c r="A201" s="98"/>
      <c r="B201" s="75"/>
      <c r="C201" s="145"/>
      <c r="D201" s="99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4"/>
      <c r="O201" s="124"/>
      <c r="P201" s="391"/>
      <c r="Q201" s="381"/>
      <c r="R201" s="603"/>
      <c r="S201" s="65">
        <f t="shared" si="60"/>
        <v>0</v>
      </c>
      <c r="T201" s="65" t="e">
        <f t="shared" si="59"/>
        <v>#DIV/0!</v>
      </c>
    </row>
    <row r="202" spans="1:20" s="149" customFormat="1" ht="15.75" hidden="1" thickBot="1" x14ac:dyDescent="0.3">
      <c r="A202" s="98"/>
      <c r="B202" s="75"/>
      <c r="C202" s="145"/>
      <c r="D202" s="99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4"/>
      <c r="O202" s="124"/>
      <c r="P202" s="391"/>
      <c r="Q202" s="381"/>
      <c r="R202" s="603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145"/>
      <c r="D203" s="150"/>
      <c r="E203" s="131"/>
      <c r="F203" s="431"/>
      <c r="G203" s="98"/>
      <c r="H203" s="361"/>
      <c r="I203" s="103">
        <f t="shared" si="56"/>
        <v>0</v>
      </c>
      <c r="J203" s="174"/>
      <c r="K203" s="106"/>
      <c r="L203" s="592"/>
      <c r="M203" s="71"/>
      <c r="N203" s="784"/>
      <c r="O203" s="124"/>
      <c r="P203" s="391"/>
      <c r="Q203" s="508"/>
      <c r="R203" s="600"/>
      <c r="S203" s="65">
        <f t="shared" si="60"/>
        <v>0</v>
      </c>
      <c r="T203" s="65" t="e">
        <f>S203/H203</f>
        <v>#DIV/0!</v>
      </c>
    </row>
    <row r="204" spans="1:20" s="149" customFormat="1" ht="15.75" hidden="1" thickBot="1" x14ac:dyDescent="0.3">
      <c r="A204" s="98"/>
      <c r="B204" s="75"/>
      <c r="C204" s="145"/>
      <c r="D204" s="150"/>
      <c r="E204" s="131"/>
      <c r="F204" s="431"/>
      <c r="G204" s="98"/>
      <c r="H204" s="361"/>
      <c r="I204" s="103">
        <f t="shared" si="56"/>
        <v>0</v>
      </c>
      <c r="J204" s="174"/>
      <c r="K204" s="106"/>
      <c r="L204" s="592"/>
      <c r="M204" s="71"/>
      <c r="N204" s="784"/>
      <c r="O204" s="124"/>
      <c r="P204" s="391"/>
      <c r="Q204" s="508"/>
      <c r="R204" s="604"/>
      <c r="S204" s="65">
        <f t="shared" si="60"/>
        <v>0</v>
      </c>
      <c r="T204" s="65" t="e">
        <f>S204/H204</f>
        <v>#DIV/0!</v>
      </c>
    </row>
    <row r="205" spans="1:20" s="149" customFormat="1" ht="15.75" hidden="1" thickBot="1" x14ac:dyDescent="0.3">
      <c r="A205" s="98"/>
      <c r="B205" s="75"/>
      <c r="C205" s="95"/>
      <c r="D205" s="150"/>
      <c r="E205" s="438"/>
      <c r="F205" s="431"/>
      <c r="G205" s="98"/>
      <c r="H205" s="361"/>
      <c r="I205" s="103">
        <f t="shared" si="56"/>
        <v>0</v>
      </c>
      <c r="J205" s="126"/>
      <c r="K205" s="159"/>
      <c r="L205" s="593"/>
      <c r="M205" s="71"/>
      <c r="N205" s="785"/>
      <c r="O205" s="124"/>
      <c r="P205" s="391"/>
      <c r="Q205" s="381"/>
      <c r="R205" s="605"/>
      <c r="S205" s="65">
        <f>Q205+M205+K205</f>
        <v>0</v>
      </c>
      <c r="T205" s="65" t="e">
        <f>S205/H205+0.1</f>
        <v>#DIV/0!</v>
      </c>
    </row>
    <row r="206" spans="1:20" s="149" customFormat="1" ht="29.25" customHeight="1" thickTop="1" thickBot="1" x14ac:dyDescent="0.3">
      <c r="A206" s="98"/>
      <c r="B206" s="75"/>
      <c r="C206" s="95"/>
      <c r="D206" s="160"/>
      <c r="E206" s="131"/>
      <c r="F206" s="435" t="s">
        <v>31</v>
      </c>
      <c r="G206" s="72">
        <f>SUM(G5:G205)</f>
        <v>5003</v>
      </c>
      <c r="H206" s="362">
        <f>SUM(H3:H205)</f>
        <v>715999.74000000011</v>
      </c>
      <c r="I206" s="452">
        <f>PIERNA!I37</f>
        <v>0</v>
      </c>
      <c r="J206" s="46"/>
      <c r="K206" s="161">
        <f>SUM(K5:K205)</f>
        <v>337169.2</v>
      </c>
      <c r="L206" s="594"/>
      <c r="M206" s="161">
        <f>SUM(M5:M205)</f>
        <v>1067200</v>
      </c>
      <c r="N206" s="786"/>
      <c r="O206" s="378"/>
      <c r="P206" s="1030"/>
      <c r="Q206" s="509">
        <f>SUM(Q5:Q205)</f>
        <v>28051164.878549993</v>
      </c>
      <c r="R206" s="606"/>
      <c r="S206" s="164">
        <f>Q206+M206+K206</f>
        <v>29455534.078549992</v>
      </c>
      <c r="T206" s="65"/>
    </row>
    <row r="207" spans="1:20" s="149" customFormat="1" ht="15.75" thickTop="1" x14ac:dyDescent="0.25">
      <c r="B207" s="75"/>
      <c r="C207" s="75"/>
      <c r="D207" s="98"/>
      <c r="E207" s="131"/>
      <c r="F207" s="157"/>
      <c r="G207" s="98"/>
      <c r="H207" s="157"/>
      <c r="I207" s="75"/>
      <c r="J207" s="126"/>
      <c r="L207" s="595"/>
      <c r="N207" s="787"/>
      <c r="O207" s="158"/>
      <c r="P207" s="391"/>
      <c r="Q207" s="381"/>
      <c r="R207" s="464" t="s">
        <v>42</v>
      </c>
    </row>
  </sheetData>
  <sortState ref="A101:AC105">
    <sortCondition ref="E99:E100"/>
  </sortState>
  <mergeCells count="50">
    <mergeCell ref="R146:R148"/>
    <mergeCell ref="R134:R138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  <mergeCell ref="R118:R120"/>
    <mergeCell ref="R102:R111"/>
    <mergeCell ref="B112:B114"/>
    <mergeCell ref="E112:E114"/>
    <mergeCell ref="R112:R114"/>
    <mergeCell ref="B118:B120"/>
    <mergeCell ref="E118:E120"/>
    <mergeCell ref="O118:O120"/>
    <mergeCell ref="B102:B111"/>
    <mergeCell ref="E102:E111"/>
    <mergeCell ref="O102:O111"/>
    <mergeCell ref="E140:E142"/>
    <mergeCell ref="Q1:Q2"/>
    <mergeCell ref="K1:K2"/>
    <mergeCell ref="M1:M2"/>
    <mergeCell ref="O112:O114"/>
    <mergeCell ref="P112:P114"/>
    <mergeCell ref="O140:O142"/>
    <mergeCell ref="R140:R142"/>
    <mergeCell ref="R150:R151"/>
    <mergeCell ref="P150:P151"/>
    <mergeCell ref="B134:B138"/>
    <mergeCell ref="E134:E138"/>
    <mergeCell ref="O134:O138"/>
    <mergeCell ref="B150:B151"/>
    <mergeCell ref="E150:E151"/>
    <mergeCell ref="O150:O151"/>
    <mergeCell ref="B143:B144"/>
    <mergeCell ref="O143:O144"/>
    <mergeCell ref="B146:B148"/>
    <mergeCell ref="E146:E148"/>
    <mergeCell ref="O146:O148"/>
    <mergeCell ref="R143:R144"/>
    <mergeCell ref="B140:B14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F24" sqref="F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390" t="s">
        <v>394</v>
      </c>
      <c r="B1" s="1390"/>
      <c r="C1" s="1390"/>
      <c r="D1" s="1390"/>
      <c r="E1" s="1390"/>
      <c r="F1" s="1390"/>
      <c r="G1" s="1390"/>
      <c r="H1" s="11">
        <v>1</v>
      </c>
      <c r="L1" s="1390" t="s">
        <v>394</v>
      </c>
      <c r="M1" s="1390"/>
      <c r="N1" s="1390"/>
      <c r="O1" s="1390"/>
      <c r="P1" s="1390"/>
      <c r="Q1" s="1390"/>
      <c r="R1" s="1390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1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1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3"/>
      <c r="B4" s="1397" t="s">
        <v>72</v>
      </c>
      <c r="C4" s="237"/>
      <c r="D4" s="131"/>
      <c r="E4" s="461"/>
      <c r="F4" s="73"/>
      <c r="G4" s="152"/>
      <c r="H4" s="152"/>
      <c r="L4" s="433"/>
      <c r="M4" s="1397" t="s">
        <v>72</v>
      </c>
      <c r="N4" s="237"/>
      <c r="O4" s="131"/>
      <c r="P4" s="461"/>
      <c r="Q4" s="73"/>
      <c r="R4" s="152"/>
      <c r="S4" s="152"/>
    </row>
    <row r="5" spans="1:21" ht="21" customHeight="1" x14ac:dyDescent="0.25">
      <c r="A5" s="1399" t="s">
        <v>94</v>
      </c>
      <c r="B5" s="1398"/>
      <c r="C5" s="237">
        <v>119.5</v>
      </c>
      <c r="D5" s="131">
        <v>44974</v>
      </c>
      <c r="E5" s="461">
        <v>8848.7199999999993</v>
      </c>
      <c r="F5" s="73">
        <v>295</v>
      </c>
      <c r="G5" s="5"/>
      <c r="L5" s="1399" t="s">
        <v>94</v>
      </c>
      <c r="M5" s="1398"/>
      <c r="N5" s="237">
        <v>124</v>
      </c>
      <c r="O5" s="131">
        <v>44986</v>
      </c>
      <c r="P5" s="461">
        <v>9377.0400000000009</v>
      </c>
      <c r="Q5" s="73">
        <v>314</v>
      </c>
      <c r="R5" s="5"/>
    </row>
    <row r="6" spans="1:21" ht="21" customHeight="1" x14ac:dyDescent="0.25">
      <c r="A6" s="1399"/>
      <c r="B6" s="1398"/>
      <c r="C6" s="389"/>
      <c r="D6" s="131"/>
      <c r="E6" s="462"/>
      <c r="F6" s="73"/>
      <c r="G6" s="47">
        <f>F79</f>
        <v>8384.3610000000008</v>
      </c>
      <c r="H6" s="7">
        <f>E6-G6+E7+E5-G5+E4</f>
        <v>464.35899999999856</v>
      </c>
      <c r="L6" s="1399"/>
      <c r="M6" s="1398"/>
      <c r="N6" s="389"/>
      <c r="O6" s="131"/>
      <c r="P6" s="462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88"/>
      <c r="B7" s="1398"/>
      <c r="C7" s="227"/>
      <c r="D7" s="225"/>
      <c r="E7" s="461"/>
      <c r="F7" s="73"/>
      <c r="L7" s="788"/>
      <c r="M7" s="1398"/>
      <c r="N7" s="227"/>
      <c r="O7" s="225"/>
      <c r="P7" s="461"/>
      <c r="Q7" s="73"/>
    </row>
    <row r="8" spans="1:21" ht="15.75" thickBot="1" x14ac:dyDescent="0.3">
      <c r="A8" s="433"/>
      <c r="B8" s="145"/>
      <c r="C8" s="227"/>
      <c r="D8" s="225"/>
      <c r="E8" s="461"/>
      <c r="F8" s="73"/>
      <c r="L8" s="433"/>
      <c r="M8" s="145"/>
      <c r="N8" s="227"/>
      <c r="O8" s="225"/>
      <c r="P8" s="461"/>
      <c r="Q8" s="73"/>
    </row>
    <row r="9" spans="1:21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0" t="s">
        <v>3</v>
      </c>
      <c r="L9" s="117"/>
      <c r="M9" s="280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20" t="s">
        <v>3</v>
      </c>
    </row>
    <row r="10" spans="1:21" ht="15.75" thickTop="1" x14ac:dyDescent="0.25">
      <c r="A10" s="80" t="s">
        <v>32</v>
      </c>
      <c r="B10" s="769">
        <f>F6-C10+F5+F4+F7+F8</f>
        <v>260</v>
      </c>
      <c r="C10" s="714">
        <v>35</v>
      </c>
      <c r="D10" s="633">
        <v>994.9</v>
      </c>
      <c r="E10" s="662">
        <v>44974</v>
      </c>
      <c r="F10" s="633">
        <f t="shared" ref="F10:F57" si="0">D10</f>
        <v>994.9</v>
      </c>
      <c r="G10" s="631" t="s">
        <v>596</v>
      </c>
      <c r="H10" s="632">
        <v>137</v>
      </c>
      <c r="I10" s="666">
        <f>E6-F10+E5+E4+E7+E8</f>
        <v>7853.82</v>
      </c>
      <c r="J10" s="751">
        <f>F10*H10</f>
        <v>136301.29999999999</v>
      </c>
      <c r="L10" s="80" t="s">
        <v>32</v>
      </c>
      <c r="M10" s="769">
        <f>Q6-N10+Q5+Q4+Q7+Q8</f>
        <v>314</v>
      </c>
      <c r="N10" s="714"/>
      <c r="O10" s="633"/>
      <c r="P10" s="662"/>
      <c r="Q10" s="633">
        <f t="shared" ref="Q10:Q57" si="1">O10</f>
        <v>0</v>
      </c>
      <c r="R10" s="631"/>
      <c r="S10" s="632"/>
      <c r="T10" s="666">
        <f>P6-Q10+P5+P4+P7+P8</f>
        <v>9377.0400000000009</v>
      </c>
      <c r="U10" s="751">
        <f>Q10*S10</f>
        <v>0</v>
      </c>
    </row>
    <row r="11" spans="1:21" x14ac:dyDescent="0.25">
      <c r="A11" s="190"/>
      <c r="B11" s="769">
        <f>B10-C11</f>
        <v>259</v>
      </c>
      <c r="C11" s="714">
        <v>1</v>
      </c>
      <c r="D11" s="633">
        <v>24.04</v>
      </c>
      <c r="E11" s="662">
        <v>44974</v>
      </c>
      <c r="F11" s="633">
        <f t="shared" si="0"/>
        <v>24.04</v>
      </c>
      <c r="G11" s="631" t="s">
        <v>597</v>
      </c>
      <c r="H11" s="632">
        <v>137</v>
      </c>
      <c r="I11" s="666">
        <f>I10-F11</f>
        <v>7829.78</v>
      </c>
      <c r="J11" s="751">
        <f t="shared" ref="J11:J74" si="2">F11*H11</f>
        <v>3293.48</v>
      </c>
      <c r="L11" s="190"/>
      <c r="M11" s="769">
        <f>M10-N11</f>
        <v>314</v>
      </c>
      <c r="N11" s="714"/>
      <c r="O11" s="633"/>
      <c r="P11" s="662"/>
      <c r="Q11" s="633">
        <f t="shared" si="1"/>
        <v>0</v>
      </c>
      <c r="R11" s="631"/>
      <c r="S11" s="632"/>
      <c r="T11" s="666">
        <f>T10-Q11</f>
        <v>9377.0400000000009</v>
      </c>
      <c r="U11" s="751">
        <f t="shared" ref="U11:U74" si="3">Q11*S11</f>
        <v>0</v>
      </c>
    </row>
    <row r="12" spans="1:21" x14ac:dyDescent="0.25">
      <c r="A12" s="178"/>
      <c r="B12" s="769">
        <f t="shared" ref="B12:B75" si="4">B11-C12</f>
        <v>245</v>
      </c>
      <c r="C12" s="714">
        <v>14</v>
      </c>
      <c r="D12" s="633">
        <v>408.83</v>
      </c>
      <c r="E12" s="662">
        <v>44974</v>
      </c>
      <c r="F12" s="633">
        <f t="shared" si="0"/>
        <v>408.83</v>
      </c>
      <c r="G12" s="631" t="s">
        <v>598</v>
      </c>
      <c r="H12" s="632">
        <v>137</v>
      </c>
      <c r="I12" s="666">
        <f t="shared" ref="I12:I75" si="5">I11-F12</f>
        <v>7420.95</v>
      </c>
      <c r="J12" s="751">
        <f t="shared" si="2"/>
        <v>56009.71</v>
      </c>
      <c r="L12" s="178"/>
      <c r="M12" s="769">
        <f t="shared" ref="M12:M75" si="6">M11-N12</f>
        <v>314</v>
      </c>
      <c r="N12" s="714"/>
      <c r="O12" s="633"/>
      <c r="P12" s="662"/>
      <c r="Q12" s="633">
        <f t="shared" si="1"/>
        <v>0</v>
      </c>
      <c r="R12" s="631"/>
      <c r="S12" s="632"/>
      <c r="T12" s="666">
        <f t="shared" ref="T12:T75" si="7">T11-Q12</f>
        <v>9377.0400000000009</v>
      </c>
      <c r="U12" s="751">
        <f t="shared" si="3"/>
        <v>0</v>
      </c>
    </row>
    <row r="13" spans="1:21" x14ac:dyDescent="0.25">
      <c r="A13" s="178"/>
      <c r="B13" s="769">
        <f t="shared" si="4"/>
        <v>244</v>
      </c>
      <c r="C13" s="714">
        <v>1</v>
      </c>
      <c r="D13" s="633">
        <v>31.48</v>
      </c>
      <c r="E13" s="662">
        <v>44975</v>
      </c>
      <c r="F13" s="633">
        <f t="shared" si="0"/>
        <v>31.48</v>
      </c>
      <c r="G13" s="631" t="s">
        <v>602</v>
      </c>
      <c r="H13" s="632">
        <v>137</v>
      </c>
      <c r="I13" s="666">
        <f t="shared" si="5"/>
        <v>7389.47</v>
      </c>
      <c r="J13" s="751">
        <f t="shared" si="2"/>
        <v>4312.76</v>
      </c>
      <c r="L13" s="178"/>
      <c r="M13" s="769">
        <f t="shared" si="6"/>
        <v>314</v>
      </c>
      <c r="N13" s="714"/>
      <c r="O13" s="633"/>
      <c r="P13" s="662"/>
      <c r="Q13" s="633">
        <f t="shared" si="1"/>
        <v>0</v>
      </c>
      <c r="R13" s="631"/>
      <c r="S13" s="632"/>
      <c r="T13" s="666">
        <f t="shared" si="7"/>
        <v>9377.0400000000009</v>
      </c>
      <c r="U13" s="751">
        <f t="shared" si="3"/>
        <v>0</v>
      </c>
    </row>
    <row r="14" spans="1:21" x14ac:dyDescent="0.25">
      <c r="A14" s="82" t="s">
        <v>33</v>
      </c>
      <c r="B14" s="769">
        <f t="shared" si="4"/>
        <v>243</v>
      </c>
      <c r="C14" s="714">
        <v>1</v>
      </c>
      <c r="D14" s="633">
        <v>27.62</v>
      </c>
      <c r="E14" s="662">
        <v>44975</v>
      </c>
      <c r="F14" s="633">
        <f t="shared" si="0"/>
        <v>27.62</v>
      </c>
      <c r="G14" s="631" t="s">
        <v>602</v>
      </c>
      <c r="H14" s="632">
        <v>137</v>
      </c>
      <c r="I14" s="666">
        <f t="shared" si="5"/>
        <v>7361.85</v>
      </c>
      <c r="J14" s="751">
        <f t="shared" si="2"/>
        <v>3783.94</v>
      </c>
      <c r="L14" s="82" t="s">
        <v>33</v>
      </c>
      <c r="M14" s="769">
        <f t="shared" si="6"/>
        <v>314</v>
      </c>
      <c r="N14" s="714"/>
      <c r="O14" s="633"/>
      <c r="P14" s="662"/>
      <c r="Q14" s="633">
        <f t="shared" si="1"/>
        <v>0</v>
      </c>
      <c r="R14" s="631"/>
      <c r="S14" s="632"/>
      <c r="T14" s="666">
        <f t="shared" si="7"/>
        <v>9377.0400000000009</v>
      </c>
      <c r="U14" s="751">
        <f t="shared" si="3"/>
        <v>0</v>
      </c>
    </row>
    <row r="15" spans="1:21" x14ac:dyDescent="0.25">
      <c r="A15" s="73"/>
      <c r="B15" s="769">
        <f t="shared" si="4"/>
        <v>210</v>
      </c>
      <c r="C15" s="714">
        <v>33</v>
      </c>
      <c r="D15" s="633">
        <v>942.55</v>
      </c>
      <c r="E15" s="662">
        <v>44975</v>
      </c>
      <c r="F15" s="633">
        <f t="shared" si="0"/>
        <v>942.55</v>
      </c>
      <c r="G15" s="631" t="s">
        <v>606</v>
      </c>
      <c r="H15" s="632">
        <v>137</v>
      </c>
      <c r="I15" s="666">
        <f t="shared" si="5"/>
        <v>6419.3</v>
      </c>
      <c r="J15" s="751">
        <f t="shared" si="2"/>
        <v>129129.34999999999</v>
      </c>
      <c r="L15" s="73"/>
      <c r="M15" s="769">
        <f t="shared" si="6"/>
        <v>314</v>
      </c>
      <c r="N15" s="714"/>
      <c r="O15" s="633"/>
      <c r="P15" s="662"/>
      <c r="Q15" s="633">
        <f t="shared" si="1"/>
        <v>0</v>
      </c>
      <c r="R15" s="631"/>
      <c r="S15" s="632"/>
      <c r="T15" s="666">
        <f t="shared" si="7"/>
        <v>9377.0400000000009</v>
      </c>
      <c r="U15" s="751">
        <f t="shared" si="3"/>
        <v>0</v>
      </c>
    </row>
    <row r="16" spans="1:21" x14ac:dyDescent="0.25">
      <c r="A16" s="73"/>
      <c r="B16" s="769">
        <f t="shared" si="4"/>
        <v>175</v>
      </c>
      <c r="C16" s="714">
        <v>35</v>
      </c>
      <c r="D16" s="633">
        <v>1096.3499999999999</v>
      </c>
      <c r="E16" s="662">
        <v>44975</v>
      </c>
      <c r="F16" s="633">
        <f t="shared" si="0"/>
        <v>1096.3499999999999</v>
      </c>
      <c r="G16" s="631" t="s">
        <v>606</v>
      </c>
      <c r="H16" s="632">
        <v>137</v>
      </c>
      <c r="I16" s="666">
        <f t="shared" si="5"/>
        <v>5322.9500000000007</v>
      </c>
      <c r="J16" s="751">
        <f t="shared" si="2"/>
        <v>150199.94999999998</v>
      </c>
      <c r="L16" s="73"/>
      <c r="M16" s="769">
        <f t="shared" si="6"/>
        <v>314</v>
      </c>
      <c r="N16" s="714"/>
      <c r="O16" s="633"/>
      <c r="P16" s="662"/>
      <c r="Q16" s="633">
        <f t="shared" si="1"/>
        <v>0</v>
      </c>
      <c r="R16" s="631"/>
      <c r="S16" s="632"/>
      <c r="T16" s="666">
        <f t="shared" si="7"/>
        <v>9377.0400000000009</v>
      </c>
      <c r="U16" s="751">
        <f t="shared" si="3"/>
        <v>0</v>
      </c>
    </row>
    <row r="17" spans="1:21" x14ac:dyDescent="0.25">
      <c r="B17" s="769">
        <f t="shared" si="4"/>
        <v>134</v>
      </c>
      <c r="C17" s="714">
        <v>41</v>
      </c>
      <c r="D17" s="633">
        <v>1312.96</v>
      </c>
      <c r="E17" s="662">
        <v>44975</v>
      </c>
      <c r="F17" s="633">
        <f t="shared" si="0"/>
        <v>1312.96</v>
      </c>
      <c r="G17" s="631" t="s">
        <v>459</v>
      </c>
      <c r="H17" s="632">
        <v>137</v>
      </c>
      <c r="I17" s="666">
        <f t="shared" si="5"/>
        <v>4009.9900000000007</v>
      </c>
      <c r="J17" s="751">
        <f t="shared" si="2"/>
        <v>179875.52000000002</v>
      </c>
      <c r="M17" s="769">
        <f t="shared" si="6"/>
        <v>314</v>
      </c>
      <c r="N17" s="714"/>
      <c r="O17" s="633"/>
      <c r="P17" s="662"/>
      <c r="Q17" s="633">
        <f t="shared" si="1"/>
        <v>0</v>
      </c>
      <c r="R17" s="631"/>
      <c r="S17" s="632"/>
      <c r="T17" s="666">
        <f t="shared" si="7"/>
        <v>9377.0400000000009</v>
      </c>
      <c r="U17" s="751">
        <f t="shared" si="3"/>
        <v>0</v>
      </c>
    </row>
    <row r="18" spans="1:21" x14ac:dyDescent="0.25">
      <c r="B18" s="769">
        <f t="shared" si="4"/>
        <v>132</v>
      </c>
      <c r="C18" s="714">
        <v>2</v>
      </c>
      <c r="D18" s="633">
        <f>30.66+27.4</f>
        <v>58.06</v>
      </c>
      <c r="E18" s="662">
        <v>44978</v>
      </c>
      <c r="F18" s="633">
        <f t="shared" si="0"/>
        <v>58.06</v>
      </c>
      <c r="G18" s="631" t="s">
        <v>611</v>
      </c>
      <c r="H18" s="632">
        <v>137</v>
      </c>
      <c r="I18" s="666">
        <f t="shared" si="5"/>
        <v>3951.9300000000007</v>
      </c>
      <c r="J18" s="751">
        <f t="shared" si="2"/>
        <v>7954.22</v>
      </c>
      <c r="M18" s="769">
        <f t="shared" si="6"/>
        <v>314</v>
      </c>
      <c r="N18" s="714"/>
      <c r="O18" s="633"/>
      <c r="P18" s="662"/>
      <c r="Q18" s="633">
        <f t="shared" si="1"/>
        <v>0</v>
      </c>
      <c r="R18" s="631"/>
      <c r="S18" s="632"/>
      <c r="T18" s="666">
        <f t="shared" si="7"/>
        <v>9377.0400000000009</v>
      </c>
      <c r="U18" s="751">
        <f t="shared" si="3"/>
        <v>0</v>
      </c>
    </row>
    <row r="19" spans="1:21" x14ac:dyDescent="0.25">
      <c r="A19" s="119"/>
      <c r="B19" s="769">
        <f t="shared" si="4"/>
        <v>122</v>
      </c>
      <c r="C19" s="714">
        <v>10</v>
      </c>
      <c r="D19" s="633">
        <v>303.76</v>
      </c>
      <c r="E19" s="662">
        <v>44979</v>
      </c>
      <c r="F19" s="633">
        <f t="shared" si="0"/>
        <v>303.76</v>
      </c>
      <c r="G19" s="631" t="s">
        <v>624</v>
      </c>
      <c r="H19" s="632">
        <v>137</v>
      </c>
      <c r="I19" s="666">
        <f t="shared" si="5"/>
        <v>3648.170000000001</v>
      </c>
      <c r="J19" s="751">
        <f t="shared" si="2"/>
        <v>41615.119999999995</v>
      </c>
      <c r="L19" s="119"/>
      <c r="M19" s="769">
        <f t="shared" si="6"/>
        <v>314</v>
      </c>
      <c r="N19" s="714"/>
      <c r="O19" s="633"/>
      <c r="P19" s="662"/>
      <c r="Q19" s="633">
        <f t="shared" si="1"/>
        <v>0</v>
      </c>
      <c r="R19" s="631"/>
      <c r="S19" s="632"/>
      <c r="T19" s="666">
        <f t="shared" si="7"/>
        <v>9377.0400000000009</v>
      </c>
      <c r="U19" s="751">
        <f t="shared" si="3"/>
        <v>0</v>
      </c>
    </row>
    <row r="20" spans="1:21" x14ac:dyDescent="0.25">
      <c r="A20" s="119"/>
      <c r="B20" s="769">
        <f t="shared" si="4"/>
        <v>92</v>
      </c>
      <c r="C20" s="714">
        <v>30</v>
      </c>
      <c r="D20" s="633">
        <v>891.64</v>
      </c>
      <c r="E20" s="662">
        <v>44982</v>
      </c>
      <c r="F20" s="633">
        <f t="shared" si="0"/>
        <v>891.64</v>
      </c>
      <c r="G20" s="631" t="s">
        <v>663</v>
      </c>
      <c r="H20" s="632">
        <v>137</v>
      </c>
      <c r="I20" s="666">
        <f t="shared" si="5"/>
        <v>2756.5300000000011</v>
      </c>
      <c r="J20" s="751">
        <f t="shared" si="2"/>
        <v>122154.68</v>
      </c>
      <c r="L20" s="119"/>
      <c r="M20" s="769">
        <f t="shared" si="6"/>
        <v>314</v>
      </c>
      <c r="N20" s="714"/>
      <c r="O20" s="633"/>
      <c r="P20" s="662"/>
      <c r="Q20" s="633">
        <f t="shared" si="1"/>
        <v>0</v>
      </c>
      <c r="R20" s="631"/>
      <c r="S20" s="632"/>
      <c r="T20" s="666">
        <f t="shared" si="7"/>
        <v>9377.0400000000009</v>
      </c>
      <c r="U20" s="751">
        <f t="shared" si="3"/>
        <v>0</v>
      </c>
    </row>
    <row r="21" spans="1:21" x14ac:dyDescent="0.25">
      <c r="A21" s="119"/>
      <c r="B21" s="769">
        <f t="shared" si="4"/>
        <v>57</v>
      </c>
      <c r="C21" s="714">
        <v>35</v>
      </c>
      <c r="D21" s="633">
        <v>1058.0899999999999</v>
      </c>
      <c r="E21" s="662">
        <v>44985</v>
      </c>
      <c r="F21" s="633">
        <f t="shared" si="0"/>
        <v>1058.0899999999999</v>
      </c>
      <c r="G21" s="631" t="s">
        <v>645</v>
      </c>
      <c r="H21" s="632">
        <v>137</v>
      </c>
      <c r="I21" s="666">
        <f t="shared" si="5"/>
        <v>1698.4400000000012</v>
      </c>
      <c r="J21" s="751">
        <f t="shared" si="2"/>
        <v>144958.32999999999</v>
      </c>
      <c r="L21" s="119"/>
      <c r="M21" s="769">
        <f t="shared" si="6"/>
        <v>314</v>
      </c>
      <c r="N21" s="714"/>
      <c r="O21" s="633"/>
      <c r="P21" s="662"/>
      <c r="Q21" s="633">
        <f t="shared" si="1"/>
        <v>0</v>
      </c>
      <c r="R21" s="631"/>
      <c r="S21" s="632"/>
      <c r="T21" s="666">
        <f t="shared" si="7"/>
        <v>9377.0400000000009</v>
      </c>
      <c r="U21" s="751">
        <f t="shared" si="3"/>
        <v>0</v>
      </c>
    </row>
    <row r="22" spans="1:21" x14ac:dyDescent="0.25">
      <c r="A22" s="119"/>
      <c r="B22" s="769">
        <f t="shared" si="4"/>
        <v>52</v>
      </c>
      <c r="C22" s="714">
        <v>5</v>
      </c>
      <c r="D22" s="633">
        <v>153.32</v>
      </c>
      <c r="E22" s="662">
        <v>44987</v>
      </c>
      <c r="F22" s="633">
        <f t="shared" si="0"/>
        <v>153.32</v>
      </c>
      <c r="G22" s="631" t="s">
        <v>671</v>
      </c>
      <c r="H22" s="632">
        <v>137</v>
      </c>
      <c r="I22" s="666">
        <f t="shared" si="5"/>
        <v>1545.1200000000013</v>
      </c>
      <c r="J22" s="751">
        <f t="shared" si="2"/>
        <v>21004.84</v>
      </c>
      <c r="L22" s="119"/>
      <c r="M22" s="769">
        <f t="shared" si="6"/>
        <v>314</v>
      </c>
      <c r="N22" s="714"/>
      <c r="O22" s="633"/>
      <c r="P22" s="662"/>
      <c r="Q22" s="633">
        <f t="shared" si="1"/>
        <v>0</v>
      </c>
      <c r="R22" s="631"/>
      <c r="S22" s="632"/>
      <c r="T22" s="666">
        <f t="shared" si="7"/>
        <v>9377.0400000000009</v>
      </c>
      <c r="U22" s="751">
        <f t="shared" si="3"/>
        <v>0</v>
      </c>
    </row>
    <row r="23" spans="1:21" x14ac:dyDescent="0.25">
      <c r="A23" s="119"/>
      <c r="B23" s="178">
        <f t="shared" si="4"/>
        <v>51</v>
      </c>
      <c r="C23" s="15">
        <v>1</v>
      </c>
      <c r="D23" s="69">
        <v>31.890999999999998</v>
      </c>
      <c r="E23" s="662">
        <v>44987</v>
      </c>
      <c r="F23" s="633">
        <f t="shared" si="0"/>
        <v>31.890999999999998</v>
      </c>
      <c r="G23" s="631" t="s">
        <v>708</v>
      </c>
      <c r="H23" s="632">
        <v>137</v>
      </c>
      <c r="I23" s="666">
        <f t="shared" si="5"/>
        <v>1513.2290000000012</v>
      </c>
      <c r="J23" s="751">
        <f t="shared" si="2"/>
        <v>4369.067</v>
      </c>
      <c r="L23" s="119"/>
      <c r="M23" s="178">
        <f t="shared" si="6"/>
        <v>314</v>
      </c>
      <c r="N23" s="15"/>
      <c r="O23" s="69"/>
      <c r="P23" s="662"/>
      <c r="Q23" s="633">
        <f t="shared" si="1"/>
        <v>0</v>
      </c>
      <c r="R23" s="631"/>
      <c r="S23" s="632"/>
      <c r="T23" s="666">
        <f t="shared" si="7"/>
        <v>9377.0400000000009</v>
      </c>
      <c r="U23" s="751">
        <f t="shared" si="3"/>
        <v>0</v>
      </c>
    </row>
    <row r="24" spans="1:21" x14ac:dyDescent="0.25">
      <c r="A24" s="120"/>
      <c r="B24" s="178">
        <f t="shared" si="4"/>
        <v>16</v>
      </c>
      <c r="C24" s="15">
        <v>35</v>
      </c>
      <c r="D24" s="69">
        <v>1048.8699999999999</v>
      </c>
      <c r="E24" s="662">
        <v>44989</v>
      </c>
      <c r="F24" s="633">
        <f t="shared" si="0"/>
        <v>1048.8699999999999</v>
      </c>
      <c r="G24" s="631" t="s">
        <v>732</v>
      </c>
      <c r="H24" s="632">
        <v>137</v>
      </c>
      <c r="I24" s="666">
        <f t="shared" si="5"/>
        <v>464.35900000000129</v>
      </c>
      <c r="J24" s="751">
        <f t="shared" si="2"/>
        <v>143695.18999999997</v>
      </c>
      <c r="L24" s="120"/>
      <c r="M24" s="178">
        <f t="shared" si="6"/>
        <v>314</v>
      </c>
      <c r="N24" s="15"/>
      <c r="O24" s="69"/>
      <c r="P24" s="662"/>
      <c r="Q24" s="633">
        <f t="shared" si="1"/>
        <v>0</v>
      </c>
      <c r="R24" s="631"/>
      <c r="S24" s="632"/>
      <c r="T24" s="666">
        <f t="shared" si="7"/>
        <v>9377.0400000000009</v>
      </c>
      <c r="U24" s="751">
        <f t="shared" si="3"/>
        <v>0</v>
      </c>
    </row>
    <row r="25" spans="1:21" x14ac:dyDescent="0.25">
      <c r="A25" s="119"/>
      <c r="B25" s="178">
        <f t="shared" si="4"/>
        <v>16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5"/>
        <v>464.35900000000129</v>
      </c>
      <c r="J25" s="17">
        <f t="shared" si="2"/>
        <v>0</v>
      </c>
      <c r="L25" s="119"/>
      <c r="M25" s="178">
        <f t="shared" si="6"/>
        <v>314</v>
      </c>
      <c r="N25" s="15"/>
      <c r="O25" s="69"/>
      <c r="P25" s="198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8">
        <f t="shared" si="4"/>
        <v>16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5"/>
        <v>464.35900000000129</v>
      </c>
      <c r="J26" s="17">
        <f t="shared" si="2"/>
        <v>0</v>
      </c>
      <c r="L26" s="119"/>
      <c r="M26" s="178">
        <f t="shared" si="6"/>
        <v>314</v>
      </c>
      <c r="N26" s="15"/>
      <c r="O26" s="69"/>
      <c r="P26" s="198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8">
        <f t="shared" si="4"/>
        <v>16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5"/>
        <v>464.35900000000129</v>
      </c>
      <c r="J27" s="17">
        <f t="shared" si="2"/>
        <v>0</v>
      </c>
      <c r="L27" s="119"/>
      <c r="M27" s="178">
        <f t="shared" si="6"/>
        <v>314</v>
      </c>
      <c r="N27" s="15"/>
      <c r="O27" s="69"/>
      <c r="P27" s="198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8">
        <f t="shared" si="4"/>
        <v>16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5"/>
        <v>464.35900000000129</v>
      </c>
      <c r="J28" s="17">
        <f t="shared" si="2"/>
        <v>0</v>
      </c>
      <c r="L28" s="119"/>
      <c r="M28" s="178">
        <f t="shared" si="6"/>
        <v>314</v>
      </c>
      <c r="N28" s="15"/>
      <c r="O28" s="69"/>
      <c r="P28" s="198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8">
        <f t="shared" si="4"/>
        <v>16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5"/>
        <v>464.35900000000129</v>
      </c>
      <c r="J29" s="17">
        <f t="shared" si="2"/>
        <v>0</v>
      </c>
      <c r="L29" s="119"/>
      <c r="M29" s="178">
        <f t="shared" si="6"/>
        <v>314</v>
      </c>
      <c r="N29" s="15"/>
      <c r="O29" s="69"/>
      <c r="P29" s="198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8">
        <f t="shared" si="4"/>
        <v>16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5"/>
        <v>464.35900000000129</v>
      </c>
      <c r="J30" s="17">
        <f t="shared" si="2"/>
        <v>0</v>
      </c>
      <c r="L30" s="119"/>
      <c r="M30" s="178">
        <f t="shared" si="6"/>
        <v>314</v>
      </c>
      <c r="N30" s="15"/>
      <c r="O30" s="69"/>
      <c r="P30" s="198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8">
        <f t="shared" si="4"/>
        <v>16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5"/>
        <v>464.35900000000129</v>
      </c>
      <c r="J31" s="17">
        <f t="shared" si="2"/>
        <v>0</v>
      </c>
      <c r="L31" s="119"/>
      <c r="M31" s="178">
        <f t="shared" si="6"/>
        <v>314</v>
      </c>
      <c r="N31" s="15"/>
      <c r="O31" s="69"/>
      <c r="P31" s="198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8">
        <f t="shared" si="4"/>
        <v>16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5"/>
        <v>464.35900000000129</v>
      </c>
      <c r="J32" s="17">
        <f t="shared" si="2"/>
        <v>0</v>
      </c>
      <c r="L32" s="119"/>
      <c r="M32" s="178">
        <f t="shared" si="6"/>
        <v>314</v>
      </c>
      <c r="N32" s="15"/>
      <c r="O32" s="69"/>
      <c r="P32" s="198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8">
        <f t="shared" si="4"/>
        <v>16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5"/>
        <v>464.35900000000129</v>
      </c>
      <c r="J33" s="17">
        <f t="shared" si="2"/>
        <v>0</v>
      </c>
      <c r="L33" s="119"/>
      <c r="M33" s="178">
        <f t="shared" si="6"/>
        <v>314</v>
      </c>
      <c r="N33" s="15"/>
      <c r="O33" s="69"/>
      <c r="P33" s="198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8">
        <f t="shared" si="4"/>
        <v>16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5"/>
        <v>464.35900000000129</v>
      </c>
      <c r="J34" s="17">
        <f t="shared" si="2"/>
        <v>0</v>
      </c>
      <c r="L34" s="119"/>
      <c r="M34" s="178">
        <f t="shared" si="6"/>
        <v>314</v>
      </c>
      <c r="N34" s="15"/>
      <c r="O34" s="69"/>
      <c r="P34" s="198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8">
        <f t="shared" si="4"/>
        <v>16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5"/>
        <v>464.35900000000129</v>
      </c>
      <c r="J35" s="17">
        <f t="shared" si="2"/>
        <v>0</v>
      </c>
      <c r="L35" s="119"/>
      <c r="M35" s="178">
        <f t="shared" si="6"/>
        <v>314</v>
      </c>
      <c r="N35" s="15"/>
      <c r="O35" s="69"/>
      <c r="P35" s="198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8">
        <f t="shared" si="4"/>
        <v>16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5"/>
        <v>464.35900000000129</v>
      </c>
      <c r="J36" s="17">
        <f t="shared" si="2"/>
        <v>0</v>
      </c>
      <c r="L36" s="119"/>
      <c r="M36" s="178">
        <f t="shared" si="6"/>
        <v>314</v>
      </c>
      <c r="N36" s="15"/>
      <c r="O36" s="69"/>
      <c r="P36" s="198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8">
        <f t="shared" si="4"/>
        <v>16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5"/>
        <v>464.35900000000129</v>
      </c>
      <c r="J37" s="17">
        <f t="shared" si="2"/>
        <v>0</v>
      </c>
      <c r="L37" s="119" t="s">
        <v>22</v>
      </c>
      <c r="M37" s="178">
        <f t="shared" si="6"/>
        <v>314</v>
      </c>
      <c r="N37" s="15"/>
      <c r="O37" s="69"/>
      <c r="P37" s="198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8">
        <f t="shared" si="4"/>
        <v>16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5"/>
        <v>464.35900000000129</v>
      </c>
      <c r="J38" s="17">
        <f t="shared" si="2"/>
        <v>0</v>
      </c>
      <c r="L38" s="120"/>
      <c r="M38" s="178">
        <f t="shared" si="6"/>
        <v>314</v>
      </c>
      <c r="N38" s="15"/>
      <c r="O38" s="69"/>
      <c r="P38" s="198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8">
        <f t="shared" si="4"/>
        <v>16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5"/>
        <v>464.35900000000129</v>
      </c>
      <c r="J39" s="17">
        <f t="shared" si="2"/>
        <v>0</v>
      </c>
      <c r="L39" s="119"/>
      <c r="M39" s="178">
        <f t="shared" si="6"/>
        <v>314</v>
      </c>
      <c r="N39" s="15"/>
      <c r="O39" s="69"/>
      <c r="P39" s="198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8">
        <f t="shared" si="4"/>
        <v>16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5"/>
        <v>464.35900000000129</v>
      </c>
      <c r="J40" s="17">
        <f t="shared" si="2"/>
        <v>0</v>
      </c>
      <c r="L40" s="119"/>
      <c r="M40" s="178">
        <f t="shared" si="6"/>
        <v>314</v>
      </c>
      <c r="N40" s="15"/>
      <c r="O40" s="69"/>
      <c r="P40" s="198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8">
        <f t="shared" si="4"/>
        <v>16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5"/>
        <v>464.35900000000129</v>
      </c>
      <c r="J41" s="17">
        <f t="shared" si="2"/>
        <v>0</v>
      </c>
      <c r="L41" s="119"/>
      <c r="M41" s="178">
        <f t="shared" si="6"/>
        <v>314</v>
      </c>
      <c r="N41" s="15"/>
      <c r="O41" s="69"/>
      <c r="P41" s="198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8">
        <f t="shared" si="4"/>
        <v>16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5"/>
        <v>464.35900000000129</v>
      </c>
      <c r="J42" s="17">
        <f t="shared" si="2"/>
        <v>0</v>
      </c>
      <c r="L42" s="119"/>
      <c r="M42" s="178">
        <f t="shared" si="6"/>
        <v>314</v>
      </c>
      <c r="N42" s="15"/>
      <c r="O42" s="69"/>
      <c r="P42" s="198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8">
        <f t="shared" si="4"/>
        <v>16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5"/>
        <v>464.35900000000129</v>
      </c>
      <c r="J43" s="17">
        <f t="shared" si="2"/>
        <v>0</v>
      </c>
      <c r="L43" s="119"/>
      <c r="M43" s="178">
        <f t="shared" si="6"/>
        <v>314</v>
      </c>
      <c r="N43" s="15"/>
      <c r="O43" s="69"/>
      <c r="P43" s="198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8">
        <f t="shared" si="4"/>
        <v>16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8">
        <f t="shared" si="6"/>
        <v>314</v>
      </c>
      <c r="N44" s="15"/>
      <c r="O44" s="69"/>
      <c r="P44" s="198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8">
        <f t="shared" si="4"/>
        <v>16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8">
        <f t="shared" si="6"/>
        <v>314</v>
      </c>
      <c r="N45" s="15"/>
      <c r="O45" s="69"/>
      <c r="P45" s="198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8">
        <f t="shared" si="4"/>
        <v>16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8">
        <f t="shared" si="6"/>
        <v>314</v>
      </c>
      <c r="N46" s="15"/>
      <c r="O46" s="69"/>
      <c r="P46" s="198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8">
        <f t="shared" si="4"/>
        <v>16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8">
        <f t="shared" si="6"/>
        <v>314</v>
      </c>
      <c r="N47" s="15"/>
      <c r="O47" s="69"/>
      <c r="P47" s="198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8">
        <f t="shared" si="4"/>
        <v>16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8">
        <f t="shared" si="6"/>
        <v>314</v>
      </c>
      <c r="N48" s="15"/>
      <c r="O48" s="69"/>
      <c r="P48" s="198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8">
        <f t="shared" si="4"/>
        <v>16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8">
        <f t="shared" si="6"/>
        <v>314</v>
      </c>
      <c r="N49" s="15"/>
      <c r="O49" s="69"/>
      <c r="P49" s="198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8">
        <f t="shared" si="4"/>
        <v>16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8">
        <f t="shared" si="6"/>
        <v>314</v>
      </c>
      <c r="N50" s="15"/>
      <c r="O50" s="69"/>
      <c r="P50" s="198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8">
        <f t="shared" si="4"/>
        <v>16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8">
        <f t="shared" si="6"/>
        <v>314</v>
      </c>
      <c r="N51" s="15"/>
      <c r="O51" s="69"/>
      <c r="P51" s="198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8">
        <f t="shared" si="4"/>
        <v>16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8">
        <f t="shared" si="6"/>
        <v>314</v>
      </c>
      <c r="N52" s="15"/>
      <c r="O52" s="69"/>
      <c r="P52" s="198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8">
        <f t="shared" si="4"/>
        <v>16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8">
        <f t="shared" si="6"/>
        <v>314</v>
      </c>
      <c r="N53" s="15"/>
      <c r="O53" s="69"/>
      <c r="P53" s="198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8">
        <f t="shared" si="4"/>
        <v>16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8">
        <f t="shared" si="6"/>
        <v>314</v>
      </c>
      <c r="N54" s="15"/>
      <c r="O54" s="69"/>
      <c r="P54" s="198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8">
        <f t="shared" si="4"/>
        <v>16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8">
        <f t="shared" si="6"/>
        <v>314</v>
      </c>
      <c r="N55" s="15"/>
      <c r="O55" s="69"/>
      <c r="P55" s="198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8">
        <f t="shared" si="4"/>
        <v>16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8">
        <f t="shared" si="6"/>
        <v>314</v>
      </c>
      <c r="N56" s="15"/>
      <c r="O56" s="69"/>
      <c r="P56" s="198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8">
        <f t="shared" si="4"/>
        <v>16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8">
        <f t="shared" si="6"/>
        <v>314</v>
      </c>
      <c r="N57" s="15"/>
      <c r="O57" s="69"/>
      <c r="P57" s="198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8">
        <f t="shared" si="4"/>
        <v>16</v>
      </c>
      <c r="C58" s="15"/>
      <c r="D58" s="69"/>
      <c r="E58" s="198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8">
        <f t="shared" si="6"/>
        <v>314</v>
      </c>
      <c r="N58" s="15"/>
      <c r="O58" s="69"/>
      <c r="P58" s="198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8">
        <f t="shared" si="4"/>
        <v>16</v>
      </c>
      <c r="C59" s="15"/>
      <c r="D59" s="69"/>
      <c r="E59" s="198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8">
        <f t="shared" si="6"/>
        <v>314</v>
      </c>
      <c r="N59" s="15"/>
      <c r="O59" s="69"/>
      <c r="P59" s="198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8">
        <f t="shared" si="4"/>
        <v>16</v>
      </c>
      <c r="C60" s="15"/>
      <c r="D60" s="69"/>
      <c r="E60" s="198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8">
        <f t="shared" si="6"/>
        <v>314</v>
      </c>
      <c r="N60" s="15"/>
      <c r="O60" s="69"/>
      <c r="P60" s="198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8">
        <f t="shared" si="4"/>
        <v>16</v>
      </c>
      <c r="C61" s="15"/>
      <c r="D61" s="69"/>
      <c r="E61" s="198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8">
        <f t="shared" si="6"/>
        <v>314</v>
      </c>
      <c r="N61" s="15"/>
      <c r="O61" s="69"/>
      <c r="P61" s="198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8">
        <f t="shared" si="4"/>
        <v>16</v>
      </c>
      <c r="C62" s="15"/>
      <c r="D62" s="69"/>
      <c r="E62" s="198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8">
        <f t="shared" si="6"/>
        <v>314</v>
      </c>
      <c r="N62" s="15"/>
      <c r="O62" s="69"/>
      <c r="P62" s="198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8">
        <f t="shared" si="4"/>
        <v>16</v>
      </c>
      <c r="C63" s="15"/>
      <c r="D63" s="69"/>
      <c r="E63" s="198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8">
        <f t="shared" si="6"/>
        <v>314</v>
      </c>
      <c r="N63" s="15"/>
      <c r="O63" s="69"/>
      <c r="P63" s="198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8">
        <f t="shared" si="4"/>
        <v>16</v>
      </c>
      <c r="C64" s="15"/>
      <c r="D64" s="69"/>
      <c r="E64" s="198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8">
        <f t="shared" si="6"/>
        <v>314</v>
      </c>
      <c r="N64" s="15"/>
      <c r="O64" s="69"/>
      <c r="P64" s="198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8">
        <f t="shared" si="4"/>
        <v>16</v>
      </c>
      <c r="C65" s="15"/>
      <c r="D65" s="69"/>
      <c r="E65" s="198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8">
        <f t="shared" si="6"/>
        <v>314</v>
      </c>
      <c r="N65" s="15"/>
      <c r="O65" s="69"/>
      <c r="P65" s="198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8">
        <f t="shared" si="4"/>
        <v>16</v>
      </c>
      <c r="C66" s="15"/>
      <c r="D66" s="69"/>
      <c r="E66" s="198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8">
        <f t="shared" si="6"/>
        <v>314</v>
      </c>
      <c r="N66" s="15"/>
      <c r="O66" s="69"/>
      <c r="P66" s="198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8">
        <f t="shared" si="4"/>
        <v>16</v>
      </c>
      <c r="C67" s="15"/>
      <c r="D67" s="69"/>
      <c r="E67" s="198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8">
        <f t="shared" si="6"/>
        <v>314</v>
      </c>
      <c r="N67" s="15"/>
      <c r="O67" s="69"/>
      <c r="P67" s="198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8">
        <f t="shared" si="4"/>
        <v>16</v>
      </c>
      <c r="C68" s="15"/>
      <c r="D68" s="69"/>
      <c r="E68" s="198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8">
        <f t="shared" si="6"/>
        <v>314</v>
      </c>
      <c r="N68" s="15"/>
      <c r="O68" s="69"/>
      <c r="P68" s="198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8">
        <f t="shared" si="4"/>
        <v>16</v>
      </c>
      <c r="C69" s="15"/>
      <c r="D69" s="69"/>
      <c r="E69" s="198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8">
        <f t="shared" si="6"/>
        <v>314</v>
      </c>
      <c r="N69" s="15"/>
      <c r="O69" s="69"/>
      <c r="P69" s="198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8">
        <f t="shared" si="4"/>
        <v>16</v>
      </c>
      <c r="C70" s="15"/>
      <c r="D70" s="69"/>
      <c r="E70" s="198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8">
        <f t="shared" si="6"/>
        <v>314</v>
      </c>
      <c r="N70" s="15"/>
      <c r="O70" s="69"/>
      <c r="P70" s="198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8">
        <f t="shared" si="4"/>
        <v>16</v>
      </c>
      <c r="C71" s="15"/>
      <c r="D71" s="69"/>
      <c r="E71" s="198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8">
        <f t="shared" si="6"/>
        <v>314</v>
      </c>
      <c r="N71" s="15"/>
      <c r="O71" s="69"/>
      <c r="P71" s="198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8">
        <f t="shared" si="4"/>
        <v>16</v>
      </c>
      <c r="C72" s="15"/>
      <c r="D72" s="69"/>
      <c r="E72" s="198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8">
        <f t="shared" si="6"/>
        <v>314</v>
      </c>
      <c r="N72" s="15"/>
      <c r="O72" s="69"/>
      <c r="P72" s="198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8">
        <f t="shared" si="4"/>
        <v>16</v>
      </c>
      <c r="C73" s="15"/>
      <c r="D73" s="69"/>
      <c r="E73" s="198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8">
        <f t="shared" si="6"/>
        <v>314</v>
      </c>
      <c r="N73" s="15"/>
      <c r="O73" s="69"/>
      <c r="P73" s="198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8">
        <f t="shared" si="4"/>
        <v>16</v>
      </c>
      <c r="C74" s="15"/>
      <c r="D74" s="69"/>
      <c r="E74" s="198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8">
        <f t="shared" si="6"/>
        <v>314</v>
      </c>
      <c r="N74" s="15"/>
      <c r="O74" s="69"/>
      <c r="P74" s="198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8">
        <f t="shared" si="4"/>
        <v>16</v>
      </c>
      <c r="C75" s="15"/>
      <c r="D75" s="69"/>
      <c r="E75" s="198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8">
        <f t="shared" si="6"/>
        <v>314</v>
      </c>
      <c r="N75" s="15"/>
      <c r="O75" s="69"/>
      <c r="P75" s="198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8">
        <f t="shared" ref="B76" si="12">B75-C76</f>
        <v>16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8">
        <f t="shared" ref="M76" si="14">M75-N76</f>
        <v>314</v>
      </c>
      <c r="N76" s="15"/>
      <c r="O76" s="69"/>
      <c r="P76" s="198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8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1"/>
      <c r="C78" s="52"/>
      <c r="D78" s="105"/>
      <c r="E78" s="192"/>
      <c r="F78" s="101"/>
      <c r="G78" s="102"/>
      <c r="H78" s="60"/>
      <c r="L78" s="119"/>
      <c r="M78" s="221"/>
      <c r="N78" s="52"/>
      <c r="O78" s="105"/>
      <c r="P78" s="192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388" t="s">
        <v>11</v>
      </c>
      <c r="D84" s="1389"/>
      <c r="E84" s="57">
        <f>E5+E6-F79+E7+E4</f>
        <v>464.35899999999856</v>
      </c>
      <c r="F84" s="73"/>
      <c r="N84" s="1388" t="s">
        <v>11</v>
      </c>
      <c r="O84" s="1389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U22" sqref="U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86" t="s">
        <v>278</v>
      </c>
      <c r="B1" s="1386"/>
      <c r="C1" s="1386"/>
      <c r="D1" s="1386"/>
      <c r="E1" s="1386"/>
      <c r="F1" s="1386"/>
      <c r="G1" s="1386"/>
      <c r="H1" s="11">
        <v>1</v>
      </c>
      <c r="K1" s="1390" t="s">
        <v>391</v>
      </c>
      <c r="L1" s="1390"/>
      <c r="M1" s="1390"/>
      <c r="N1" s="1390"/>
      <c r="O1" s="1390"/>
      <c r="P1" s="1390"/>
      <c r="Q1" s="1390"/>
      <c r="R1" s="11">
        <v>2</v>
      </c>
      <c r="U1" s="1390" t="s">
        <v>391</v>
      </c>
      <c r="V1" s="1390"/>
      <c r="W1" s="1390"/>
      <c r="X1" s="1390"/>
      <c r="Y1" s="1390"/>
      <c r="Z1" s="1390"/>
      <c r="AA1" s="139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400" t="s">
        <v>52</v>
      </c>
      <c r="B5" s="1401" t="s">
        <v>142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400" t="s">
        <v>52</v>
      </c>
      <c r="L5" s="1401" t="s">
        <v>142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400" t="s">
        <v>52</v>
      </c>
      <c r="V5" s="1401" t="s">
        <v>142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400"/>
      <c r="B6" s="1401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400"/>
      <c r="L6" s="1401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400"/>
      <c r="V6" s="1401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400"/>
      <c r="B7" s="19"/>
      <c r="C7" s="224"/>
      <c r="D7" s="225"/>
      <c r="E7" s="78"/>
      <c r="F7" s="62"/>
      <c r="K7" s="1400"/>
      <c r="L7" s="19"/>
      <c r="M7" s="224"/>
      <c r="N7" s="225"/>
      <c r="O7" s="78"/>
      <c r="P7" s="62"/>
      <c r="U7" s="1400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0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242</v>
      </c>
      <c r="H9" s="71">
        <v>77</v>
      </c>
      <c r="I9" s="103">
        <f>E6-F9+E5+E7</f>
        <v>4863.7900000000009</v>
      </c>
      <c r="K9" s="80" t="s">
        <v>32</v>
      </c>
      <c r="L9" s="1071">
        <f>P4+P5+P6+P7-M9</f>
        <v>95</v>
      </c>
      <c r="M9" s="714">
        <v>5</v>
      </c>
      <c r="N9" s="633">
        <v>122.6</v>
      </c>
      <c r="O9" s="662">
        <v>44974</v>
      </c>
      <c r="P9" s="633">
        <f t="shared" ref="P9:P33" si="1">N9</f>
        <v>122.6</v>
      </c>
      <c r="Q9" s="631" t="s">
        <v>592</v>
      </c>
      <c r="R9" s="632">
        <v>80</v>
      </c>
      <c r="S9" s="666">
        <f>O6-P9+O5+O7</f>
        <v>2388.12</v>
      </c>
      <c r="T9" s="664"/>
      <c r="U9" s="80" t="s">
        <v>32</v>
      </c>
      <c r="V9" s="1071">
        <f>Z4+Z5+Z6+Z7-W9</f>
        <v>141</v>
      </c>
      <c r="W9" s="714">
        <v>20</v>
      </c>
      <c r="X9" s="633">
        <v>500.61</v>
      </c>
      <c r="Y9" s="662">
        <v>44988</v>
      </c>
      <c r="Z9" s="633">
        <f t="shared" ref="Z9:Z33" si="2">X9</f>
        <v>500.61</v>
      </c>
      <c r="AA9" s="631" t="s">
        <v>712</v>
      </c>
      <c r="AB9" s="632">
        <v>77</v>
      </c>
      <c r="AC9" s="666">
        <f>Y6-Z9+Y5+Y7+Y4</f>
        <v>3732.0299999999997</v>
      </c>
    </row>
    <row r="10" spans="1:29" x14ac:dyDescent="0.25">
      <c r="A10" s="190"/>
      <c r="B10" s="861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245</v>
      </c>
      <c r="H10" s="71">
        <v>77</v>
      </c>
      <c r="I10" s="103">
        <f>I9-F10</f>
        <v>4428.6600000000008</v>
      </c>
      <c r="K10" s="190"/>
      <c r="L10" s="1072">
        <f>L9-M10</f>
        <v>93</v>
      </c>
      <c r="M10" s="714">
        <v>2</v>
      </c>
      <c r="N10" s="633">
        <v>53.99</v>
      </c>
      <c r="O10" s="662">
        <v>44974</v>
      </c>
      <c r="P10" s="633">
        <f t="shared" si="1"/>
        <v>53.99</v>
      </c>
      <c r="Q10" s="631" t="s">
        <v>597</v>
      </c>
      <c r="R10" s="632">
        <v>80</v>
      </c>
      <c r="S10" s="666">
        <f>S9-P10</f>
        <v>2334.13</v>
      </c>
      <c r="T10" s="664"/>
      <c r="U10" s="190"/>
      <c r="V10" s="1072">
        <f>V9-W10</f>
        <v>120</v>
      </c>
      <c r="W10" s="714">
        <v>21</v>
      </c>
      <c r="X10" s="633">
        <v>518.78</v>
      </c>
      <c r="Y10" s="662">
        <v>44989</v>
      </c>
      <c r="Z10" s="633">
        <f t="shared" si="2"/>
        <v>518.78</v>
      </c>
      <c r="AA10" s="631" t="s">
        <v>732</v>
      </c>
      <c r="AB10" s="632">
        <v>78</v>
      </c>
      <c r="AC10" s="666">
        <f>AC9-Z10</f>
        <v>3213.25</v>
      </c>
    </row>
    <row r="11" spans="1:29" x14ac:dyDescent="0.25">
      <c r="A11" s="178"/>
      <c r="B11" s="861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247</v>
      </c>
      <c r="H11" s="71">
        <v>77</v>
      </c>
      <c r="I11" s="103">
        <f t="shared" ref="I11:I33" si="4">I10-F11</f>
        <v>4374.3500000000004</v>
      </c>
      <c r="K11" s="178"/>
      <c r="L11" s="1072">
        <f t="shared" ref="L11:L33" si="5">L10-M11</f>
        <v>73</v>
      </c>
      <c r="M11" s="714">
        <v>20</v>
      </c>
      <c r="N11" s="633">
        <v>502.58</v>
      </c>
      <c r="O11" s="662">
        <v>44975</v>
      </c>
      <c r="P11" s="633">
        <f t="shared" si="1"/>
        <v>502.58</v>
      </c>
      <c r="Q11" s="631" t="s">
        <v>458</v>
      </c>
      <c r="R11" s="632">
        <v>80</v>
      </c>
      <c r="S11" s="666">
        <f t="shared" ref="S11:S33" si="6">S10-P11</f>
        <v>1831.5500000000002</v>
      </c>
      <c r="T11" s="664"/>
      <c r="U11" s="178"/>
      <c r="V11" s="1072">
        <f t="shared" ref="V11:V33" si="7">V10-W11</f>
        <v>120</v>
      </c>
      <c r="W11" s="714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3213.25</v>
      </c>
    </row>
    <row r="12" spans="1:29" x14ac:dyDescent="0.25">
      <c r="A12" s="178"/>
      <c r="B12" s="861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249</v>
      </c>
      <c r="H12" s="71">
        <v>77</v>
      </c>
      <c r="I12" s="103">
        <f t="shared" si="4"/>
        <v>4345.8900000000003</v>
      </c>
      <c r="K12" s="178"/>
      <c r="L12" s="1072">
        <f t="shared" si="5"/>
        <v>50</v>
      </c>
      <c r="M12" s="714">
        <v>23</v>
      </c>
      <c r="N12" s="633">
        <v>512.29999999999995</v>
      </c>
      <c r="O12" s="662">
        <v>44975</v>
      </c>
      <c r="P12" s="633">
        <f t="shared" si="1"/>
        <v>512.29999999999995</v>
      </c>
      <c r="Q12" s="631" t="s">
        <v>605</v>
      </c>
      <c r="R12" s="632">
        <v>80</v>
      </c>
      <c r="S12" s="666">
        <f t="shared" si="6"/>
        <v>1319.2500000000002</v>
      </c>
      <c r="T12" s="664"/>
      <c r="U12" s="178"/>
      <c r="V12" s="1072">
        <f t="shared" si="7"/>
        <v>120</v>
      </c>
      <c r="W12" s="714"/>
      <c r="X12" s="633"/>
      <c r="Y12" s="662"/>
      <c r="Z12" s="633">
        <f t="shared" si="2"/>
        <v>0</v>
      </c>
      <c r="AA12" s="631"/>
      <c r="AB12" s="632"/>
      <c r="AC12" s="666">
        <f t="shared" si="8"/>
        <v>3213.25</v>
      </c>
    </row>
    <row r="13" spans="1:29" x14ac:dyDescent="0.25">
      <c r="A13" s="82" t="s">
        <v>33</v>
      </c>
      <c r="B13" s="861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250</v>
      </c>
      <c r="H13" s="71">
        <v>77</v>
      </c>
      <c r="I13" s="103">
        <f t="shared" si="4"/>
        <v>3847.9900000000002</v>
      </c>
      <c r="K13" s="82" t="s">
        <v>33</v>
      </c>
      <c r="L13" s="1072">
        <f t="shared" si="5"/>
        <v>45</v>
      </c>
      <c r="M13" s="714">
        <v>5</v>
      </c>
      <c r="N13" s="633">
        <v>122.82</v>
      </c>
      <c r="O13" s="662">
        <v>44977</v>
      </c>
      <c r="P13" s="633">
        <f t="shared" si="1"/>
        <v>122.82</v>
      </c>
      <c r="Q13" s="631" t="s">
        <v>614</v>
      </c>
      <c r="R13" s="632">
        <v>80</v>
      </c>
      <c r="S13" s="666">
        <f t="shared" si="6"/>
        <v>1196.4300000000003</v>
      </c>
      <c r="T13" s="664"/>
      <c r="U13" s="82" t="s">
        <v>33</v>
      </c>
      <c r="V13" s="1072">
        <f t="shared" si="7"/>
        <v>120</v>
      </c>
      <c r="W13" s="714"/>
      <c r="X13" s="633"/>
      <c r="Y13" s="662"/>
      <c r="Z13" s="633">
        <f t="shared" si="2"/>
        <v>0</v>
      </c>
      <c r="AA13" s="631"/>
      <c r="AB13" s="632"/>
      <c r="AC13" s="666">
        <f t="shared" si="8"/>
        <v>3213.25</v>
      </c>
    </row>
    <row r="14" spans="1:29" x14ac:dyDescent="0.25">
      <c r="A14" s="73"/>
      <c r="B14" s="861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253</v>
      </c>
      <c r="H14" s="71">
        <v>77</v>
      </c>
      <c r="I14" s="103">
        <f t="shared" si="4"/>
        <v>3820.19</v>
      </c>
      <c r="K14" s="73"/>
      <c r="L14" s="1072">
        <f t="shared" si="5"/>
        <v>43</v>
      </c>
      <c r="M14" s="714">
        <v>2</v>
      </c>
      <c r="N14" s="633">
        <v>49.35</v>
      </c>
      <c r="O14" s="662">
        <v>44982</v>
      </c>
      <c r="P14" s="633">
        <f t="shared" si="1"/>
        <v>49.35</v>
      </c>
      <c r="Q14" s="631" t="s">
        <v>659</v>
      </c>
      <c r="R14" s="632">
        <v>82</v>
      </c>
      <c r="S14" s="666">
        <f t="shared" si="6"/>
        <v>1147.0800000000004</v>
      </c>
      <c r="T14" s="664"/>
      <c r="U14" s="73"/>
      <c r="V14" s="1072">
        <f t="shared" si="7"/>
        <v>120</v>
      </c>
      <c r="W14" s="714"/>
      <c r="X14" s="633"/>
      <c r="Y14" s="662"/>
      <c r="Z14" s="633">
        <f t="shared" si="2"/>
        <v>0</v>
      </c>
      <c r="AA14" s="631"/>
      <c r="AB14" s="632"/>
      <c r="AC14" s="666">
        <f t="shared" si="8"/>
        <v>3213.25</v>
      </c>
    </row>
    <row r="15" spans="1:29" x14ac:dyDescent="0.25">
      <c r="A15" s="73"/>
      <c r="B15" s="861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259</v>
      </c>
      <c r="H15" s="71">
        <v>77</v>
      </c>
      <c r="I15" s="103">
        <f t="shared" si="4"/>
        <v>3370.57</v>
      </c>
      <c r="K15" s="73"/>
      <c r="L15" s="1072">
        <f t="shared" si="5"/>
        <v>20</v>
      </c>
      <c r="M15" s="714">
        <v>23</v>
      </c>
      <c r="N15" s="633">
        <v>597.94000000000005</v>
      </c>
      <c r="O15" s="662">
        <v>44984</v>
      </c>
      <c r="P15" s="633">
        <f t="shared" si="1"/>
        <v>597.94000000000005</v>
      </c>
      <c r="Q15" s="631" t="s">
        <v>462</v>
      </c>
      <c r="R15" s="632">
        <v>82</v>
      </c>
      <c r="S15" s="666">
        <f t="shared" si="6"/>
        <v>549.14000000000033</v>
      </c>
      <c r="T15" s="664"/>
      <c r="U15" s="73"/>
      <c r="V15" s="1072">
        <f t="shared" si="7"/>
        <v>120</v>
      </c>
      <c r="W15" s="714"/>
      <c r="X15" s="633"/>
      <c r="Y15" s="662"/>
      <c r="Z15" s="633">
        <f t="shared" si="2"/>
        <v>0</v>
      </c>
      <c r="AA15" s="631"/>
      <c r="AB15" s="632"/>
      <c r="AC15" s="666">
        <f t="shared" si="8"/>
        <v>3213.25</v>
      </c>
    </row>
    <row r="16" spans="1:29" x14ac:dyDescent="0.25">
      <c r="B16" s="861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260</v>
      </c>
      <c r="H16" s="71">
        <v>77</v>
      </c>
      <c r="I16" s="103">
        <f t="shared" si="4"/>
        <v>3342.88</v>
      </c>
      <c r="L16" s="1072">
        <f t="shared" si="5"/>
        <v>18</v>
      </c>
      <c r="M16" s="714">
        <v>2</v>
      </c>
      <c r="N16" s="633">
        <v>48.98</v>
      </c>
      <c r="O16" s="662">
        <v>44985</v>
      </c>
      <c r="P16" s="633">
        <f t="shared" si="1"/>
        <v>48.98</v>
      </c>
      <c r="Q16" s="631" t="s">
        <v>666</v>
      </c>
      <c r="R16" s="632">
        <v>82</v>
      </c>
      <c r="S16" s="666">
        <f t="shared" si="6"/>
        <v>500.16000000000031</v>
      </c>
      <c r="T16" s="664"/>
      <c r="V16" s="1072">
        <f t="shared" si="7"/>
        <v>120</v>
      </c>
      <c r="W16" s="714"/>
      <c r="X16" s="633"/>
      <c r="Y16" s="662"/>
      <c r="Z16" s="633">
        <f t="shared" si="2"/>
        <v>0</v>
      </c>
      <c r="AA16" s="631"/>
      <c r="AB16" s="632"/>
      <c r="AC16" s="666">
        <f t="shared" si="8"/>
        <v>3213.25</v>
      </c>
    </row>
    <row r="17" spans="1:29" x14ac:dyDescent="0.25">
      <c r="B17" s="861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241</v>
      </c>
      <c r="H17" s="574">
        <v>74</v>
      </c>
      <c r="I17" s="103">
        <f t="shared" si="4"/>
        <v>2929.6400000000003</v>
      </c>
      <c r="L17" s="1072">
        <f t="shared" si="5"/>
        <v>18</v>
      </c>
      <c r="M17" s="714"/>
      <c r="N17" s="633"/>
      <c r="O17" s="662"/>
      <c r="P17" s="633">
        <f t="shared" si="1"/>
        <v>0</v>
      </c>
      <c r="Q17" s="631"/>
      <c r="R17" s="632"/>
      <c r="S17" s="666">
        <f t="shared" si="6"/>
        <v>500.16000000000031</v>
      </c>
      <c r="T17" s="664"/>
      <c r="V17" s="1072">
        <f t="shared" si="7"/>
        <v>120</v>
      </c>
      <c r="W17" s="714"/>
      <c r="X17" s="633"/>
      <c r="Y17" s="662"/>
      <c r="Z17" s="633">
        <f t="shared" si="2"/>
        <v>0</v>
      </c>
      <c r="AA17" s="631"/>
      <c r="AB17" s="632"/>
      <c r="AC17" s="666">
        <f t="shared" si="8"/>
        <v>3213.25</v>
      </c>
    </row>
    <row r="18" spans="1:29" x14ac:dyDescent="0.25">
      <c r="B18" s="972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272</v>
      </c>
      <c r="H18" s="71">
        <v>77</v>
      </c>
      <c r="I18" s="716">
        <f t="shared" si="4"/>
        <v>2903.6400000000003</v>
      </c>
      <c r="L18" s="1072">
        <f t="shared" si="5"/>
        <v>18</v>
      </c>
      <c r="M18" s="714"/>
      <c r="N18" s="633"/>
      <c r="O18" s="662"/>
      <c r="P18" s="1157">
        <f t="shared" si="1"/>
        <v>0</v>
      </c>
      <c r="Q18" s="1158"/>
      <c r="R18" s="1159"/>
      <c r="S18" s="1150">
        <f t="shared" si="6"/>
        <v>500.16000000000031</v>
      </c>
      <c r="T18" s="664"/>
      <c r="V18" s="1072">
        <f t="shared" si="7"/>
        <v>120</v>
      </c>
      <c r="W18" s="714"/>
      <c r="X18" s="633"/>
      <c r="Y18" s="662"/>
      <c r="Z18" s="633">
        <f t="shared" si="2"/>
        <v>0</v>
      </c>
      <c r="AA18" s="631"/>
      <c r="AB18" s="632"/>
      <c r="AC18" s="666">
        <f t="shared" si="8"/>
        <v>3213.25</v>
      </c>
    </row>
    <row r="19" spans="1:29" x14ac:dyDescent="0.25">
      <c r="B19" s="861">
        <f t="shared" si="3"/>
        <v>100</v>
      </c>
      <c r="C19" s="15">
        <v>14</v>
      </c>
      <c r="D19" s="1110">
        <v>334.97</v>
      </c>
      <c r="E19" s="1126">
        <v>44957</v>
      </c>
      <c r="F19" s="1110">
        <f t="shared" si="0"/>
        <v>334.97</v>
      </c>
      <c r="G19" s="580" t="s">
        <v>488</v>
      </c>
      <c r="H19" s="372">
        <v>82</v>
      </c>
      <c r="I19" s="103">
        <f t="shared" si="4"/>
        <v>2568.67</v>
      </c>
      <c r="L19" s="1072">
        <f t="shared" si="5"/>
        <v>0</v>
      </c>
      <c r="M19" s="714">
        <v>18</v>
      </c>
      <c r="N19" s="633"/>
      <c r="O19" s="662"/>
      <c r="P19" s="1157">
        <v>500.16</v>
      </c>
      <c r="Q19" s="1158"/>
      <c r="R19" s="1159"/>
      <c r="S19" s="1150">
        <f t="shared" si="6"/>
        <v>0</v>
      </c>
      <c r="T19" s="664"/>
      <c r="V19" s="1072">
        <f t="shared" si="7"/>
        <v>120</v>
      </c>
      <c r="W19" s="714"/>
      <c r="X19" s="633"/>
      <c r="Y19" s="662"/>
      <c r="Z19" s="633">
        <f t="shared" si="2"/>
        <v>0</v>
      </c>
      <c r="AA19" s="631"/>
      <c r="AB19" s="632"/>
      <c r="AC19" s="666">
        <f t="shared" si="8"/>
        <v>3213.25</v>
      </c>
    </row>
    <row r="20" spans="1:29" x14ac:dyDescent="0.25">
      <c r="B20" s="861">
        <f t="shared" si="3"/>
        <v>80</v>
      </c>
      <c r="C20" s="15">
        <v>20</v>
      </c>
      <c r="D20" s="1110">
        <v>491.98</v>
      </c>
      <c r="E20" s="1126">
        <v>44959</v>
      </c>
      <c r="F20" s="1110">
        <f t="shared" si="0"/>
        <v>491.98</v>
      </c>
      <c r="G20" s="580" t="s">
        <v>502</v>
      </c>
      <c r="H20" s="372">
        <v>82</v>
      </c>
      <c r="I20" s="103">
        <f t="shared" si="4"/>
        <v>2076.69</v>
      </c>
      <c r="L20" s="1072">
        <f t="shared" si="5"/>
        <v>0</v>
      </c>
      <c r="M20" s="714"/>
      <c r="N20" s="633"/>
      <c r="O20" s="662"/>
      <c r="P20" s="1157">
        <f t="shared" si="1"/>
        <v>0</v>
      </c>
      <c r="Q20" s="1158"/>
      <c r="R20" s="1159"/>
      <c r="S20" s="1150">
        <f t="shared" si="6"/>
        <v>0</v>
      </c>
      <c r="T20" s="664"/>
      <c r="V20" s="1072">
        <f t="shared" si="7"/>
        <v>120</v>
      </c>
      <c r="W20" s="714"/>
      <c r="X20" s="633"/>
      <c r="Y20" s="662"/>
      <c r="Z20" s="633">
        <f t="shared" si="2"/>
        <v>0</v>
      </c>
      <c r="AA20" s="631"/>
      <c r="AB20" s="632"/>
      <c r="AC20" s="666">
        <f t="shared" si="8"/>
        <v>3213.25</v>
      </c>
    </row>
    <row r="21" spans="1:29" x14ac:dyDescent="0.25">
      <c r="A21" s="119"/>
      <c r="B21" s="861">
        <f t="shared" si="3"/>
        <v>77</v>
      </c>
      <c r="C21" s="482">
        <v>3</v>
      </c>
      <c r="D21" s="1110">
        <v>75.11</v>
      </c>
      <c r="E21" s="1126">
        <v>44959</v>
      </c>
      <c r="F21" s="1110">
        <f t="shared" si="0"/>
        <v>75.11</v>
      </c>
      <c r="G21" s="580" t="s">
        <v>508</v>
      </c>
      <c r="H21" s="372">
        <v>82</v>
      </c>
      <c r="I21" s="103">
        <f t="shared" si="4"/>
        <v>2001.5800000000002</v>
      </c>
      <c r="K21" s="119"/>
      <c r="L21" s="1072">
        <f t="shared" si="5"/>
        <v>0</v>
      </c>
      <c r="M21" s="1073"/>
      <c r="N21" s="633"/>
      <c r="O21" s="662"/>
      <c r="P21" s="1157">
        <f t="shared" si="1"/>
        <v>0</v>
      </c>
      <c r="Q21" s="1158"/>
      <c r="R21" s="1159"/>
      <c r="S21" s="1150">
        <f t="shared" si="6"/>
        <v>0</v>
      </c>
      <c r="T21" s="664"/>
      <c r="U21" s="119"/>
      <c r="V21" s="1072">
        <f t="shared" si="7"/>
        <v>120</v>
      </c>
      <c r="W21" s="1073"/>
      <c r="X21" s="633"/>
      <c r="Y21" s="662"/>
      <c r="Z21" s="633">
        <f t="shared" si="2"/>
        <v>0</v>
      </c>
      <c r="AA21" s="631"/>
      <c r="AB21" s="632"/>
      <c r="AC21" s="666">
        <f t="shared" si="8"/>
        <v>3213.25</v>
      </c>
    </row>
    <row r="22" spans="1:29" x14ac:dyDescent="0.25">
      <c r="A22" s="119"/>
      <c r="B22" s="861">
        <f t="shared" si="3"/>
        <v>74</v>
      </c>
      <c r="C22" s="482">
        <v>3</v>
      </c>
      <c r="D22" s="1110">
        <v>82.08</v>
      </c>
      <c r="E22" s="1126">
        <v>44961</v>
      </c>
      <c r="F22" s="1110">
        <f t="shared" si="0"/>
        <v>82.08</v>
      </c>
      <c r="G22" s="580" t="s">
        <v>520</v>
      </c>
      <c r="H22" s="372">
        <v>82</v>
      </c>
      <c r="I22" s="103">
        <f t="shared" si="4"/>
        <v>1919.5000000000002</v>
      </c>
      <c r="K22" s="119"/>
      <c r="L22" s="1072">
        <f t="shared" si="5"/>
        <v>0</v>
      </c>
      <c r="M22" s="1073"/>
      <c r="N22" s="633"/>
      <c r="O22" s="662"/>
      <c r="P22" s="633">
        <f t="shared" si="1"/>
        <v>0</v>
      </c>
      <c r="Q22" s="631"/>
      <c r="R22" s="632"/>
      <c r="S22" s="666">
        <f t="shared" si="6"/>
        <v>0</v>
      </c>
      <c r="T22" s="664"/>
      <c r="U22" s="119"/>
      <c r="V22" s="1072">
        <f t="shared" si="7"/>
        <v>120</v>
      </c>
      <c r="W22" s="1073"/>
      <c r="X22" s="633"/>
      <c r="Y22" s="662"/>
      <c r="Z22" s="633">
        <f t="shared" si="2"/>
        <v>0</v>
      </c>
      <c r="AA22" s="631"/>
      <c r="AB22" s="632"/>
      <c r="AC22" s="666">
        <f t="shared" si="8"/>
        <v>3213.25</v>
      </c>
    </row>
    <row r="23" spans="1:29" x14ac:dyDescent="0.25">
      <c r="A23" s="120"/>
      <c r="B23" s="861">
        <f t="shared" si="3"/>
        <v>53</v>
      </c>
      <c r="C23" s="482">
        <v>21</v>
      </c>
      <c r="D23" s="1110">
        <v>521.51</v>
      </c>
      <c r="E23" s="1126">
        <v>44961</v>
      </c>
      <c r="F23" s="1110">
        <f t="shared" si="0"/>
        <v>521.51</v>
      </c>
      <c r="G23" s="580" t="s">
        <v>522</v>
      </c>
      <c r="H23" s="372">
        <v>82</v>
      </c>
      <c r="I23" s="103">
        <f t="shared" si="4"/>
        <v>1397.9900000000002</v>
      </c>
      <c r="K23" s="120"/>
      <c r="L23" s="1072">
        <f t="shared" si="5"/>
        <v>0</v>
      </c>
      <c r="M23" s="1073"/>
      <c r="N23" s="633"/>
      <c r="O23" s="662"/>
      <c r="P23" s="633">
        <f t="shared" si="1"/>
        <v>0</v>
      </c>
      <c r="Q23" s="631"/>
      <c r="R23" s="632"/>
      <c r="S23" s="666">
        <f t="shared" si="6"/>
        <v>0</v>
      </c>
      <c r="T23" s="664"/>
      <c r="U23" s="120"/>
      <c r="V23" s="1072">
        <f t="shared" si="7"/>
        <v>120</v>
      </c>
      <c r="W23" s="1073"/>
      <c r="X23" s="633"/>
      <c r="Y23" s="662"/>
      <c r="Z23" s="633">
        <f t="shared" si="2"/>
        <v>0</v>
      </c>
      <c r="AA23" s="631"/>
      <c r="AB23" s="632"/>
      <c r="AC23" s="666">
        <f t="shared" si="8"/>
        <v>3213.25</v>
      </c>
    </row>
    <row r="24" spans="1:29" x14ac:dyDescent="0.25">
      <c r="A24" s="119"/>
      <c r="B24" s="861">
        <f t="shared" si="3"/>
        <v>51</v>
      </c>
      <c r="C24" s="482">
        <v>2</v>
      </c>
      <c r="D24" s="1110">
        <v>57.4</v>
      </c>
      <c r="E24" s="1126">
        <v>44963</v>
      </c>
      <c r="F24" s="1110">
        <f t="shared" si="0"/>
        <v>57.4</v>
      </c>
      <c r="G24" s="580" t="s">
        <v>528</v>
      </c>
      <c r="H24" s="372">
        <v>82</v>
      </c>
      <c r="I24" s="103">
        <f t="shared" si="4"/>
        <v>1340.5900000000001</v>
      </c>
      <c r="K24" s="119"/>
      <c r="L24" s="1072">
        <f t="shared" si="5"/>
        <v>0</v>
      </c>
      <c r="M24" s="1073"/>
      <c r="N24" s="633"/>
      <c r="O24" s="662"/>
      <c r="P24" s="633">
        <f t="shared" si="1"/>
        <v>0</v>
      </c>
      <c r="Q24" s="631"/>
      <c r="R24" s="632"/>
      <c r="S24" s="666">
        <f t="shared" si="6"/>
        <v>0</v>
      </c>
      <c r="T24" s="664"/>
      <c r="U24" s="119"/>
      <c r="V24" s="1072">
        <f t="shared" si="7"/>
        <v>120</v>
      </c>
      <c r="W24" s="1073"/>
      <c r="X24" s="633"/>
      <c r="Y24" s="662"/>
      <c r="Z24" s="633">
        <f t="shared" si="2"/>
        <v>0</v>
      </c>
      <c r="AA24" s="631"/>
      <c r="AB24" s="632"/>
      <c r="AC24" s="666">
        <f t="shared" si="8"/>
        <v>3213.25</v>
      </c>
    </row>
    <row r="25" spans="1:29" x14ac:dyDescent="0.25">
      <c r="A25" s="119"/>
      <c r="B25" s="861">
        <f t="shared" si="3"/>
        <v>50</v>
      </c>
      <c r="C25" s="482">
        <v>1</v>
      </c>
      <c r="D25" s="1110">
        <v>25.73</v>
      </c>
      <c r="E25" s="1126">
        <v>44964</v>
      </c>
      <c r="F25" s="1110">
        <f t="shared" si="0"/>
        <v>25.73</v>
      </c>
      <c r="G25" s="580" t="s">
        <v>532</v>
      </c>
      <c r="H25" s="372">
        <v>82</v>
      </c>
      <c r="I25" s="103">
        <f t="shared" si="4"/>
        <v>1314.8600000000001</v>
      </c>
      <c r="K25" s="119"/>
      <c r="L25" s="1072">
        <f t="shared" si="5"/>
        <v>0</v>
      </c>
      <c r="M25" s="1073"/>
      <c r="N25" s="633"/>
      <c r="O25" s="662"/>
      <c r="P25" s="633">
        <f t="shared" si="1"/>
        <v>0</v>
      </c>
      <c r="Q25" s="631"/>
      <c r="R25" s="632"/>
      <c r="S25" s="666">
        <f t="shared" si="6"/>
        <v>0</v>
      </c>
      <c r="T25" s="664"/>
      <c r="U25" s="119"/>
      <c r="V25" s="1072">
        <f t="shared" si="7"/>
        <v>120</v>
      </c>
      <c r="W25" s="1073"/>
      <c r="X25" s="633"/>
      <c r="Y25" s="662"/>
      <c r="Z25" s="633">
        <f t="shared" si="2"/>
        <v>0</v>
      </c>
      <c r="AA25" s="631"/>
      <c r="AB25" s="632"/>
      <c r="AC25" s="666">
        <f t="shared" si="8"/>
        <v>3213.25</v>
      </c>
    </row>
    <row r="26" spans="1:29" x14ac:dyDescent="0.25">
      <c r="A26" s="119"/>
      <c r="B26" s="861">
        <f t="shared" si="3"/>
        <v>30</v>
      </c>
      <c r="C26" s="482">
        <v>20</v>
      </c>
      <c r="D26" s="1110">
        <v>545.65</v>
      </c>
      <c r="E26" s="1126">
        <v>44964</v>
      </c>
      <c r="F26" s="1110">
        <f t="shared" si="0"/>
        <v>545.65</v>
      </c>
      <c r="G26" s="580" t="s">
        <v>534</v>
      </c>
      <c r="H26" s="372">
        <v>82</v>
      </c>
      <c r="I26" s="103">
        <f t="shared" si="4"/>
        <v>769.21000000000015</v>
      </c>
      <c r="K26" s="119"/>
      <c r="L26" s="1072">
        <f t="shared" si="5"/>
        <v>0</v>
      </c>
      <c r="M26" s="1073"/>
      <c r="N26" s="633"/>
      <c r="O26" s="662"/>
      <c r="P26" s="633">
        <f t="shared" si="1"/>
        <v>0</v>
      </c>
      <c r="Q26" s="631"/>
      <c r="R26" s="632"/>
      <c r="S26" s="666">
        <f t="shared" si="6"/>
        <v>0</v>
      </c>
      <c r="T26" s="664"/>
      <c r="U26" s="119"/>
      <c r="V26" s="1072">
        <f t="shared" si="7"/>
        <v>120</v>
      </c>
      <c r="W26" s="1073"/>
      <c r="X26" s="633"/>
      <c r="Y26" s="662"/>
      <c r="Z26" s="633">
        <f t="shared" si="2"/>
        <v>0</v>
      </c>
      <c r="AA26" s="631"/>
      <c r="AB26" s="632"/>
      <c r="AC26" s="666">
        <f t="shared" si="8"/>
        <v>3213.25</v>
      </c>
    </row>
    <row r="27" spans="1:29" x14ac:dyDescent="0.25">
      <c r="A27" s="119"/>
      <c r="B27" s="861">
        <f t="shared" si="3"/>
        <v>18</v>
      </c>
      <c r="C27" s="482">
        <v>12</v>
      </c>
      <c r="D27" s="1110">
        <v>323.27</v>
      </c>
      <c r="E27" s="1126">
        <v>44965</v>
      </c>
      <c r="F27" s="1110">
        <f t="shared" si="0"/>
        <v>323.27</v>
      </c>
      <c r="G27" s="580" t="s">
        <v>547</v>
      </c>
      <c r="H27" s="372">
        <v>82</v>
      </c>
      <c r="I27" s="103">
        <f t="shared" si="4"/>
        <v>445.94000000000017</v>
      </c>
      <c r="K27" s="119"/>
      <c r="L27" s="1072">
        <f t="shared" si="5"/>
        <v>0</v>
      </c>
      <c r="M27" s="1073"/>
      <c r="N27" s="633"/>
      <c r="O27" s="662"/>
      <c r="P27" s="633">
        <f t="shared" si="1"/>
        <v>0</v>
      </c>
      <c r="Q27" s="631"/>
      <c r="R27" s="632"/>
      <c r="S27" s="666">
        <f t="shared" si="6"/>
        <v>0</v>
      </c>
      <c r="T27" s="664"/>
      <c r="U27" s="119"/>
      <c r="V27" s="1072">
        <f t="shared" si="7"/>
        <v>120</v>
      </c>
      <c r="W27" s="1073"/>
      <c r="X27" s="633"/>
      <c r="Y27" s="662"/>
      <c r="Z27" s="633">
        <f t="shared" si="2"/>
        <v>0</v>
      </c>
      <c r="AA27" s="631"/>
      <c r="AB27" s="632"/>
      <c r="AC27" s="666">
        <f t="shared" si="8"/>
        <v>3213.25</v>
      </c>
    </row>
    <row r="28" spans="1:29" x14ac:dyDescent="0.25">
      <c r="A28" s="119"/>
      <c r="B28" s="861">
        <f t="shared" si="3"/>
        <v>10</v>
      </c>
      <c r="C28" s="482">
        <v>8</v>
      </c>
      <c r="D28" s="1110">
        <v>202.59</v>
      </c>
      <c r="E28" s="1126">
        <v>44966</v>
      </c>
      <c r="F28" s="1110">
        <f t="shared" si="0"/>
        <v>202.59</v>
      </c>
      <c r="G28" s="580" t="s">
        <v>548</v>
      </c>
      <c r="H28" s="372">
        <v>82</v>
      </c>
      <c r="I28" s="103">
        <f t="shared" si="4"/>
        <v>243.35000000000016</v>
      </c>
      <c r="K28" s="119"/>
      <c r="L28" s="1072">
        <f t="shared" si="5"/>
        <v>0</v>
      </c>
      <c r="M28" s="1073"/>
      <c r="N28" s="633"/>
      <c r="O28" s="662"/>
      <c r="P28" s="633">
        <f t="shared" si="1"/>
        <v>0</v>
      </c>
      <c r="Q28" s="631"/>
      <c r="R28" s="632"/>
      <c r="S28" s="666">
        <f t="shared" si="6"/>
        <v>0</v>
      </c>
      <c r="T28" s="664"/>
      <c r="U28" s="119"/>
      <c r="V28" s="1072">
        <f t="shared" si="7"/>
        <v>120</v>
      </c>
      <c r="W28" s="1073"/>
      <c r="X28" s="633"/>
      <c r="Y28" s="662"/>
      <c r="Z28" s="633">
        <f t="shared" si="2"/>
        <v>0</v>
      </c>
      <c r="AA28" s="631"/>
      <c r="AB28" s="632"/>
      <c r="AC28" s="666">
        <f t="shared" si="8"/>
        <v>3213.25</v>
      </c>
    </row>
    <row r="29" spans="1:29" x14ac:dyDescent="0.25">
      <c r="A29" s="119"/>
      <c r="B29" s="861">
        <f t="shared" si="3"/>
        <v>0</v>
      </c>
      <c r="C29" s="482">
        <v>10</v>
      </c>
      <c r="D29" s="1110">
        <v>244.06</v>
      </c>
      <c r="E29" s="1126">
        <v>44968</v>
      </c>
      <c r="F29" s="1110">
        <f t="shared" si="0"/>
        <v>244.06</v>
      </c>
      <c r="G29" s="580" t="s">
        <v>561</v>
      </c>
      <c r="H29" s="372">
        <v>82</v>
      </c>
      <c r="I29" s="103">
        <f t="shared" si="4"/>
        <v>-0.70999999999983743</v>
      </c>
      <c r="K29" s="119"/>
      <c r="L29" s="861">
        <f t="shared" si="5"/>
        <v>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0</v>
      </c>
      <c r="U29" s="119"/>
      <c r="V29" s="861">
        <f t="shared" si="7"/>
        <v>120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61">
        <f t="shared" si="3"/>
        <v>0</v>
      </c>
      <c r="C30" s="482"/>
      <c r="D30" s="1110"/>
      <c r="E30" s="1125"/>
      <c r="F30" s="1167">
        <f t="shared" si="0"/>
        <v>0</v>
      </c>
      <c r="G30" s="1168"/>
      <c r="H30" s="1169"/>
      <c r="I30" s="1170">
        <f t="shared" si="4"/>
        <v>-0.70999999999983743</v>
      </c>
      <c r="K30" s="119"/>
      <c r="L30" s="861">
        <f t="shared" si="5"/>
        <v>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0</v>
      </c>
      <c r="U30" s="119"/>
      <c r="V30" s="861">
        <f t="shared" si="7"/>
        <v>120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3213.25</v>
      </c>
    </row>
    <row r="31" spans="1:29" x14ac:dyDescent="0.25">
      <c r="A31" s="119"/>
      <c r="B31" s="861">
        <f t="shared" si="3"/>
        <v>0</v>
      </c>
      <c r="C31" s="482"/>
      <c r="D31" s="69"/>
      <c r="E31" s="662"/>
      <c r="F31" s="1171">
        <f t="shared" si="0"/>
        <v>0</v>
      </c>
      <c r="G31" s="1172"/>
      <c r="H31" s="1173"/>
      <c r="I31" s="1170">
        <f t="shared" si="4"/>
        <v>-0.70999999999983743</v>
      </c>
      <c r="K31" s="119"/>
      <c r="L31" s="861">
        <f t="shared" si="5"/>
        <v>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0</v>
      </c>
      <c r="U31" s="119"/>
      <c r="V31" s="861">
        <f t="shared" si="7"/>
        <v>120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3213.25</v>
      </c>
    </row>
    <row r="32" spans="1:29" x14ac:dyDescent="0.25">
      <c r="A32" s="119"/>
      <c r="B32" s="861">
        <f t="shared" si="3"/>
        <v>0</v>
      </c>
      <c r="C32" s="482"/>
      <c r="D32" s="69"/>
      <c r="E32" s="662"/>
      <c r="F32" s="1171">
        <f t="shared" si="0"/>
        <v>0</v>
      </c>
      <c r="G32" s="1172"/>
      <c r="H32" s="1173"/>
      <c r="I32" s="1170">
        <f t="shared" si="4"/>
        <v>-0.70999999999983743</v>
      </c>
      <c r="K32" s="119"/>
      <c r="L32" s="861">
        <f t="shared" si="5"/>
        <v>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0</v>
      </c>
      <c r="U32" s="119"/>
      <c r="V32" s="861">
        <f t="shared" si="7"/>
        <v>120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3213.25</v>
      </c>
    </row>
    <row r="33" spans="1:29" x14ac:dyDescent="0.25">
      <c r="A33" s="119"/>
      <c r="B33" s="861">
        <f t="shared" si="3"/>
        <v>0</v>
      </c>
      <c r="C33" s="15"/>
      <c r="D33" s="69"/>
      <c r="E33" s="662"/>
      <c r="F33" s="1171">
        <f t="shared" si="0"/>
        <v>0</v>
      </c>
      <c r="G33" s="1172"/>
      <c r="H33" s="1173"/>
      <c r="I33" s="1170">
        <f t="shared" si="4"/>
        <v>-0.70999999999983743</v>
      </c>
      <c r="K33" s="119"/>
      <c r="L33" s="861">
        <f t="shared" si="5"/>
        <v>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0</v>
      </c>
      <c r="U33" s="119"/>
      <c r="V33" s="861">
        <f t="shared" si="7"/>
        <v>120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3213.25</v>
      </c>
    </row>
    <row r="34" spans="1:29" ht="15.75" thickBot="1" x14ac:dyDescent="0.3">
      <c r="A34" s="119"/>
      <c r="B34" s="862"/>
      <c r="C34" s="52"/>
      <c r="D34" s="105"/>
      <c r="E34" s="917"/>
      <c r="F34" s="918"/>
      <c r="G34" s="919"/>
      <c r="H34" s="665"/>
      <c r="I34" s="920"/>
      <c r="K34" s="119"/>
      <c r="L34" s="862"/>
      <c r="M34" s="52"/>
      <c r="N34" s="105"/>
      <c r="O34" s="917"/>
      <c r="P34" s="918"/>
      <c r="Q34" s="919"/>
      <c r="R34" s="665"/>
      <c r="S34" s="920"/>
      <c r="U34" s="119"/>
      <c r="V34" s="862"/>
      <c r="W34" s="52"/>
      <c r="X34" s="105"/>
      <c r="Y34" s="917"/>
      <c r="Z34" s="918"/>
      <c r="AA34" s="919"/>
      <c r="AB34" s="665"/>
      <c r="AC34" s="920"/>
    </row>
    <row r="35" spans="1:29" ht="15.75" x14ac:dyDescent="0.25">
      <c r="C35" s="53">
        <f>SUM(C9:C34)</f>
        <v>190</v>
      </c>
      <c r="D35" s="483">
        <f>SUM(D9:D34)</f>
        <v>5066.6000000000013</v>
      </c>
      <c r="F35" s="6">
        <f>SUM(F9:F34)</f>
        <v>5066.6000000000013</v>
      </c>
      <c r="M35" s="53">
        <f>SUM(M9:M34)</f>
        <v>100</v>
      </c>
      <c r="N35" s="483">
        <f>SUM(N9:N34)</f>
        <v>2010.5599999999997</v>
      </c>
      <c r="P35" s="6">
        <f>SUM(P9:P34)</f>
        <v>2510.7199999999998</v>
      </c>
      <c r="W35" s="53">
        <f>SUM(W9:W34)</f>
        <v>41</v>
      </c>
      <c r="X35" s="483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388" t="s">
        <v>11</v>
      </c>
      <c r="D40" s="1389"/>
      <c r="E40" s="57">
        <f>E5+E6-F35+E7</f>
        <v>-0.71000000000094587</v>
      </c>
      <c r="F40" s="73"/>
      <c r="M40" s="1388" t="s">
        <v>11</v>
      </c>
      <c r="N40" s="1389"/>
      <c r="O40" s="57">
        <f>O5+O6-P35+O7</f>
        <v>0</v>
      </c>
      <c r="P40" s="73"/>
      <c r="W40" s="1388" t="s">
        <v>11</v>
      </c>
      <c r="X40" s="1389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0" t="s">
        <v>109</v>
      </c>
      <c r="B1" s="1390"/>
      <c r="C1" s="1390"/>
      <c r="D1" s="1390"/>
      <c r="E1" s="1390"/>
      <c r="F1" s="1390"/>
      <c r="G1" s="1390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400"/>
      <c r="B5" s="1402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400"/>
      <c r="B6" s="1402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88" t="s">
        <v>11</v>
      </c>
      <c r="D40" s="13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B1" workbookViewId="0">
      <pane ySplit="9" topLeftCell="A10" activePane="bottomLeft" state="frozen"/>
      <selection pane="bottomLeft" activeCell="K26" sqref="K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41"/>
  </cols>
  <sheetData>
    <row r="1" spans="1:19" ht="40.5" x14ac:dyDescent="0.55000000000000004">
      <c r="A1" s="1386" t="s">
        <v>279</v>
      </c>
      <c r="B1" s="1386"/>
      <c r="C1" s="1386"/>
      <c r="D1" s="1386"/>
      <c r="E1" s="1386"/>
      <c r="F1" s="1386"/>
      <c r="G1" s="1386"/>
      <c r="H1" s="11">
        <v>1</v>
      </c>
      <c r="I1" s="540"/>
      <c r="K1" s="1390" t="s">
        <v>688</v>
      </c>
      <c r="L1" s="1390"/>
      <c r="M1" s="1390"/>
      <c r="N1" s="1390"/>
      <c r="O1" s="1390"/>
      <c r="P1" s="1390"/>
      <c r="Q1" s="1390"/>
      <c r="R1" s="11">
        <v>2</v>
      </c>
      <c r="S1" s="540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42"/>
    </row>
    <row r="4" spans="1:19" ht="15.75" thickTop="1" x14ac:dyDescent="0.25">
      <c r="A4" s="12"/>
      <c r="B4" s="1403" t="s">
        <v>106</v>
      </c>
      <c r="C4" s="12"/>
      <c r="D4" s="73"/>
      <c r="E4" s="59"/>
      <c r="F4" s="62"/>
      <c r="G4" s="152"/>
      <c r="H4" s="152"/>
      <c r="I4" s="542"/>
      <c r="K4" s="12"/>
      <c r="L4" s="1403" t="s">
        <v>106</v>
      </c>
      <c r="M4" s="12"/>
      <c r="N4" s="73"/>
      <c r="O4" s="59"/>
      <c r="P4" s="62"/>
      <c r="Q4" s="152"/>
      <c r="R4" s="152"/>
      <c r="S4" s="542"/>
    </row>
    <row r="5" spans="1:19" ht="15" customHeight="1" x14ac:dyDescent="0.25">
      <c r="A5" s="1395" t="s">
        <v>52</v>
      </c>
      <c r="B5" s="1404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395" t="s">
        <v>52</v>
      </c>
      <c r="L5" s="1404"/>
      <c r="M5" s="227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395"/>
      <c r="B6" s="1404"/>
      <c r="C6" s="453"/>
      <c r="D6" s="222"/>
      <c r="E6" s="78"/>
      <c r="F6" s="62"/>
      <c r="G6" s="47">
        <f>F35</f>
        <v>1436.12</v>
      </c>
      <c r="H6" s="7">
        <f>E6-G6+E7+E5-G5+E4+E8</f>
        <v>545.70000000000005</v>
      </c>
      <c r="I6" s="543"/>
      <c r="K6" s="1395"/>
      <c r="L6" s="1404"/>
      <c r="M6" s="453"/>
      <c r="N6" s="222"/>
      <c r="O6" s="78"/>
      <c r="P6" s="62"/>
      <c r="Q6" s="47">
        <f>P35</f>
        <v>0</v>
      </c>
      <c r="R6" s="7">
        <f>O6-Q6+O7+O5-Q5+O4+O8</f>
        <v>1029.8699999999999</v>
      </c>
      <c r="S6" s="543"/>
    </row>
    <row r="7" spans="1:19" x14ac:dyDescent="0.25">
      <c r="B7" s="145"/>
      <c r="C7" s="227"/>
      <c r="D7" s="131"/>
      <c r="E7" s="78"/>
      <c r="F7" s="62"/>
      <c r="L7" s="145"/>
      <c r="M7" s="227"/>
      <c r="N7" s="131"/>
      <c r="O7" s="78"/>
      <c r="P7" s="62"/>
    </row>
    <row r="8" spans="1:19" ht="15.75" thickBot="1" x14ac:dyDescent="0.3">
      <c r="B8" s="145"/>
      <c r="C8" s="227"/>
      <c r="D8" s="131"/>
      <c r="E8" s="78"/>
      <c r="F8" s="62"/>
      <c r="L8" s="145"/>
      <c r="M8" s="227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33" si="0">D10</f>
        <v>27.18</v>
      </c>
      <c r="G10" s="70" t="s">
        <v>117</v>
      </c>
      <c r="H10" s="71">
        <v>86</v>
      </c>
      <c r="I10" s="60">
        <f>E4+E5+E6+E7-F10+E8</f>
        <v>1954.6399999999999</v>
      </c>
      <c r="K10" s="80" t="s">
        <v>32</v>
      </c>
      <c r="L10" s="1204">
        <f>P4+P5+P6+P7-M10+P8</f>
        <v>43</v>
      </c>
      <c r="M10" s="714"/>
      <c r="N10" s="633"/>
      <c r="O10" s="662"/>
      <c r="P10" s="633">
        <f t="shared" ref="P10:P26" si="1">N10</f>
        <v>0</v>
      </c>
      <c r="Q10" s="631"/>
      <c r="R10" s="632"/>
      <c r="S10" s="665">
        <f>O4+O5+O6+O7-P10+O8</f>
        <v>1029.8699999999999</v>
      </c>
    </row>
    <row r="11" spans="1:1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118</v>
      </c>
      <c r="H11" s="71">
        <v>86</v>
      </c>
      <c r="I11" s="60">
        <f>I10-F11</f>
        <v>1852.1399999999999</v>
      </c>
      <c r="K11" s="190"/>
      <c r="L11" s="1204">
        <f>L10-M11</f>
        <v>43</v>
      </c>
      <c r="M11" s="714"/>
      <c r="N11" s="633"/>
      <c r="O11" s="662"/>
      <c r="P11" s="633">
        <f t="shared" si="1"/>
        <v>0</v>
      </c>
      <c r="Q11" s="631"/>
      <c r="R11" s="632"/>
      <c r="S11" s="665">
        <f>S10-P11</f>
        <v>1029.8699999999999</v>
      </c>
    </row>
    <row r="12" spans="1:19" x14ac:dyDescent="0.25">
      <c r="A12" s="178"/>
      <c r="B12" s="228">
        <f t="shared" ref="B12:B28" si="2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119</v>
      </c>
      <c r="H12" s="71">
        <v>86</v>
      </c>
      <c r="I12" s="60">
        <f t="shared" ref="I12:I30" si="3">I11-F12</f>
        <v>1750.8999999999999</v>
      </c>
      <c r="K12" s="178"/>
      <c r="L12" s="1204">
        <f t="shared" ref="L12:L28" si="4">L11-M12</f>
        <v>43</v>
      </c>
      <c r="M12" s="714"/>
      <c r="N12" s="633"/>
      <c r="O12" s="662"/>
      <c r="P12" s="633">
        <f t="shared" si="1"/>
        <v>0</v>
      </c>
      <c r="Q12" s="631"/>
      <c r="R12" s="632"/>
      <c r="S12" s="665">
        <f t="shared" ref="S12:S30" si="5">S11-P12</f>
        <v>1029.8699999999999</v>
      </c>
    </row>
    <row r="13" spans="1:19" x14ac:dyDescent="0.25">
      <c r="A13" s="82" t="s">
        <v>33</v>
      </c>
      <c r="B13" s="737">
        <f t="shared" si="2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120</v>
      </c>
      <c r="H13" s="71">
        <v>84</v>
      </c>
      <c r="I13" s="736">
        <f t="shared" si="3"/>
        <v>1727.08</v>
      </c>
      <c r="K13" s="82" t="s">
        <v>33</v>
      </c>
      <c r="L13" s="1204">
        <f t="shared" si="4"/>
        <v>43</v>
      </c>
      <c r="M13" s="714"/>
      <c r="N13" s="633"/>
      <c r="O13" s="662"/>
      <c r="P13" s="633">
        <f t="shared" si="1"/>
        <v>0</v>
      </c>
      <c r="Q13" s="631"/>
      <c r="R13" s="632"/>
      <c r="S13" s="665">
        <f t="shared" si="5"/>
        <v>1029.8699999999999</v>
      </c>
    </row>
    <row r="14" spans="1:19" x14ac:dyDescent="0.25">
      <c r="A14" s="73"/>
      <c r="B14" s="228">
        <f t="shared" si="2"/>
        <v>65</v>
      </c>
      <c r="C14" s="15">
        <v>4</v>
      </c>
      <c r="D14" s="731">
        <v>106</v>
      </c>
      <c r="E14" s="732">
        <v>44869</v>
      </c>
      <c r="F14" s="731">
        <f t="shared" si="0"/>
        <v>106</v>
      </c>
      <c r="G14" s="733" t="s">
        <v>126</v>
      </c>
      <c r="H14" s="734">
        <v>86</v>
      </c>
      <c r="I14" s="60">
        <f t="shared" si="3"/>
        <v>1621.08</v>
      </c>
      <c r="K14" s="73"/>
      <c r="L14" s="1204">
        <f t="shared" si="4"/>
        <v>43</v>
      </c>
      <c r="M14" s="714"/>
      <c r="N14" s="633"/>
      <c r="O14" s="662"/>
      <c r="P14" s="633">
        <f t="shared" si="1"/>
        <v>0</v>
      </c>
      <c r="Q14" s="631"/>
      <c r="R14" s="632"/>
      <c r="S14" s="665">
        <f t="shared" si="5"/>
        <v>1029.8699999999999</v>
      </c>
    </row>
    <row r="15" spans="1:19" x14ac:dyDescent="0.25">
      <c r="A15" s="73"/>
      <c r="B15" s="737">
        <f t="shared" si="2"/>
        <v>61</v>
      </c>
      <c r="C15" s="15">
        <v>4</v>
      </c>
      <c r="D15" s="731">
        <v>102.73</v>
      </c>
      <c r="E15" s="732">
        <v>44877</v>
      </c>
      <c r="F15" s="731">
        <f t="shared" si="0"/>
        <v>102.73</v>
      </c>
      <c r="G15" s="733" t="s">
        <v>134</v>
      </c>
      <c r="H15" s="734">
        <v>86</v>
      </c>
      <c r="I15" s="736">
        <f t="shared" si="3"/>
        <v>1518.35</v>
      </c>
      <c r="K15" s="73"/>
      <c r="L15" s="1204">
        <f t="shared" si="4"/>
        <v>43</v>
      </c>
      <c r="M15" s="714"/>
      <c r="N15" s="633"/>
      <c r="O15" s="662"/>
      <c r="P15" s="633">
        <f t="shared" si="1"/>
        <v>0</v>
      </c>
      <c r="Q15" s="631"/>
      <c r="R15" s="632"/>
      <c r="S15" s="665">
        <f t="shared" si="5"/>
        <v>1029.8699999999999</v>
      </c>
    </row>
    <row r="16" spans="1:19" x14ac:dyDescent="0.25">
      <c r="B16" s="228">
        <f t="shared" si="2"/>
        <v>52</v>
      </c>
      <c r="C16" s="15">
        <v>9</v>
      </c>
      <c r="D16" s="514">
        <v>235.66</v>
      </c>
      <c r="E16" s="822">
        <v>44905</v>
      </c>
      <c r="F16" s="818">
        <f t="shared" si="0"/>
        <v>235.66</v>
      </c>
      <c r="G16" s="819" t="s">
        <v>161</v>
      </c>
      <c r="H16" s="820">
        <v>86</v>
      </c>
      <c r="I16" s="665">
        <f t="shared" si="3"/>
        <v>1282.6899999999998</v>
      </c>
      <c r="L16" s="1204">
        <f t="shared" si="4"/>
        <v>43</v>
      </c>
      <c r="M16" s="714"/>
      <c r="N16" s="633"/>
      <c r="O16" s="662"/>
      <c r="P16" s="633">
        <f t="shared" si="1"/>
        <v>0</v>
      </c>
      <c r="Q16" s="631"/>
      <c r="R16" s="632"/>
      <c r="S16" s="665">
        <f t="shared" si="5"/>
        <v>1029.8699999999999</v>
      </c>
    </row>
    <row r="17" spans="1:19" x14ac:dyDescent="0.25">
      <c r="B17" s="737">
        <f t="shared" si="2"/>
        <v>47</v>
      </c>
      <c r="C17" s="15">
        <v>5</v>
      </c>
      <c r="D17" s="514">
        <v>120.08</v>
      </c>
      <c r="E17" s="822">
        <v>44910</v>
      </c>
      <c r="F17" s="818">
        <f t="shared" si="0"/>
        <v>120.08</v>
      </c>
      <c r="G17" s="819" t="s">
        <v>169</v>
      </c>
      <c r="H17" s="820">
        <v>86</v>
      </c>
      <c r="I17" s="736">
        <f t="shared" si="3"/>
        <v>1162.6099999999999</v>
      </c>
      <c r="L17" s="1204">
        <f t="shared" si="4"/>
        <v>43</v>
      </c>
      <c r="M17" s="714"/>
      <c r="N17" s="633"/>
      <c r="O17" s="662"/>
      <c r="P17" s="633">
        <f t="shared" si="1"/>
        <v>0</v>
      </c>
      <c r="Q17" s="631"/>
      <c r="R17" s="632"/>
      <c r="S17" s="665">
        <f t="shared" si="5"/>
        <v>1029.8699999999999</v>
      </c>
    </row>
    <row r="18" spans="1:19" x14ac:dyDescent="0.25">
      <c r="A18" s="119"/>
      <c r="B18" s="228">
        <f t="shared" si="2"/>
        <v>43</v>
      </c>
      <c r="C18" s="15">
        <v>4</v>
      </c>
      <c r="D18" s="617">
        <v>99.96</v>
      </c>
      <c r="E18" s="913">
        <v>44949</v>
      </c>
      <c r="F18" s="912">
        <f t="shared" si="0"/>
        <v>99.96</v>
      </c>
      <c r="G18" s="914" t="s">
        <v>257</v>
      </c>
      <c r="H18" s="663">
        <v>80</v>
      </c>
      <c r="I18" s="665">
        <f t="shared" si="3"/>
        <v>1062.6499999999999</v>
      </c>
      <c r="K18" s="119"/>
      <c r="L18" s="1204">
        <f t="shared" si="4"/>
        <v>43</v>
      </c>
      <c r="M18" s="714"/>
      <c r="N18" s="633"/>
      <c r="O18" s="662"/>
      <c r="P18" s="633">
        <f t="shared" si="1"/>
        <v>0</v>
      </c>
      <c r="Q18" s="631"/>
      <c r="R18" s="632"/>
      <c r="S18" s="665">
        <f t="shared" si="5"/>
        <v>1029.8699999999999</v>
      </c>
    </row>
    <row r="19" spans="1:19" x14ac:dyDescent="0.25">
      <c r="A19" s="119"/>
      <c r="B19" s="737">
        <f t="shared" si="2"/>
        <v>40</v>
      </c>
      <c r="C19" s="15">
        <v>3</v>
      </c>
      <c r="D19" s="617">
        <v>71.599999999999994</v>
      </c>
      <c r="E19" s="913">
        <v>44949</v>
      </c>
      <c r="F19" s="912">
        <f t="shared" si="0"/>
        <v>71.599999999999994</v>
      </c>
      <c r="G19" s="914" t="s">
        <v>240</v>
      </c>
      <c r="H19" s="663">
        <v>86</v>
      </c>
      <c r="I19" s="736">
        <f t="shared" si="3"/>
        <v>991.04999999999984</v>
      </c>
      <c r="K19" s="119"/>
      <c r="L19" s="1204">
        <f t="shared" si="4"/>
        <v>43</v>
      </c>
      <c r="M19" s="714"/>
      <c r="N19" s="633"/>
      <c r="O19" s="662"/>
      <c r="P19" s="633">
        <f t="shared" si="1"/>
        <v>0</v>
      </c>
      <c r="Q19" s="631"/>
      <c r="R19" s="632"/>
      <c r="S19" s="665">
        <f t="shared" si="5"/>
        <v>1029.8699999999999</v>
      </c>
    </row>
    <row r="20" spans="1:19" x14ac:dyDescent="0.25">
      <c r="A20" s="119"/>
      <c r="B20" s="228">
        <f t="shared" si="2"/>
        <v>38</v>
      </c>
      <c r="C20" s="15">
        <v>2</v>
      </c>
      <c r="D20" s="1110">
        <v>50.23</v>
      </c>
      <c r="E20" s="1125">
        <v>44967</v>
      </c>
      <c r="F20" s="1112">
        <f t="shared" si="0"/>
        <v>50.23</v>
      </c>
      <c r="G20" s="1113" t="s">
        <v>450</v>
      </c>
      <c r="H20" s="1114">
        <v>86</v>
      </c>
      <c r="I20" s="665">
        <f t="shared" si="3"/>
        <v>940.81999999999982</v>
      </c>
      <c r="K20" s="119"/>
      <c r="L20" s="1204">
        <f t="shared" si="4"/>
        <v>43</v>
      </c>
      <c r="M20" s="714"/>
      <c r="N20" s="633"/>
      <c r="O20" s="662"/>
      <c r="P20" s="633">
        <f t="shared" si="1"/>
        <v>0</v>
      </c>
      <c r="Q20" s="631"/>
      <c r="R20" s="632"/>
      <c r="S20" s="665">
        <f t="shared" si="5"/>
        <v>1029.8699999999999</v>
      </c>
    </row>
    <row r="21" spans="1:19" x14ac:dyDescent="0.25">
      <c r="A21" s="119"/>
      <c r="B21" s="228">
        <f t="shared" si="2"/>
        <v>36</v>
      </c>
      <c r="C21" s="15">
        <v>2</v>
      </c>
      <c r="D21" s="1110">
        <v>51.51</v>
      </c>
      <c r="E21" s="1125">
        <v>44968</v>
      </c>
      <c r="F21" s="1112">
        <f t="shared" si="0"/>
        <v>51.51</v>
      </c>
      <c r="G21" s="1113" t="s">
        <v>559</v>
      </c>
      <c r="H21" s="1114">
        <v>86</v>
      </c>
      <c r="I21" s="665">
        <f t="shared" si="3"/>
        <v>889.30999999999983</v>
      </c>
      <c r="K21" s="119"/>
      <c r="L21" s="1204">
        <f t="shared" si="4"/>
        <v>43</v>
      </c>
      <c r="M21" s="714"/>
      <c r="N21" s="633"/>
      <c r="O21" s="662"/>
      <c r="P21" s="633">
        <f t="shared" si="1"/>
        <v>0</v>
      </c>
      <c r="Q21" s="631"/>
      <c r="R21" s="632"/>
      <c r="S21" s="665">
        <f t="shared" si="5"/>
        <v>1029.8699999999999</v>
      </c>
    </row>
    <row r="22" spans="1:19" x14ac:dyDescent="0.25">
      <c r="A22" s="119"/>
      <c r="B22" s="228">
        <f t="shared" si="2"/>
        <v>32</v>
      </c>
      <c r="C22" s="15">
        <v>4</v>
      </c>
      <c r="D22" s="1110">
        <v>101.03</v>
      </c>
      <c r="E22" s="1125">
        <v>44971</v>
      </c>
      <c r="F22" s="1112">
        <f t="shared" si="0"/>
        <v>101.03</v>
      </c>
      <c r="G22" s="1113" t="s">
        <v>567</v>
      </c>
      <c r="H22" s="1114">
        <v>86</v>
      </c>
      <c r="I22" s="665">
        <f t="shared" si="3"/>
        <v>788.27999999999986</v>
      </c>
      <c r="K22" s="119"/>
      <c r="L22" s="1204">
        <f t="shared" si="4"/>
        <v>43</v>
      </c>
      <c r="M22" s="714"/>
      <c r="N22" s="633"/>
      <c r="O22" s="662"/>
      <c r="P22" s="633">
        <f t="shared" si="1"/>
        <v>0</v>
      </c>
      <c r="Q22" s="631"/>
      <c r="R22" s="632"/>
      <c r="S22" s="665">
        <f t="shared" si="5"/>
        <v>1029.8699999999999</v>
      </c>
    </row>
    <row r="23" spans="1:19" x14ac:dyDescent="0.25">
      <c r="A23" s="120"/>
      <c r="B23" s="228">
        <f t="shared" si="2"/>
        <v>30</v>
      </c>
      <c r="C23" s="15">
        <v>2</v>
      </c>
      <c r="D23" s="1110">
        <v>48.53</v>
      </c>
      <c r="E23" s="1125">
        <v>44972</v>
      </c>
      <c r="F23" s="1112">
        <f t="shared" si="0"/>
        <v>48.53</v>
      </c>
      <c r="G23" s="1113" t="s">
        <v>573</v>
      </c>
      <c r="H23" s="1114">
        <v>86</v>
      </c>
      <c r="I23" s="665">
        <f t="shared" si="3"/>
        <v>739.74999999999989</v>
      </c>
      <c r="K23" s="120"/>
      <c r="L23" s="1204">
        <f t="shared" si="4"/>
        <v>43</v>
      </c>
      <c r="M23" s="714"/>
      <c r="N23" s="633"/>
      <c r="O23" s="662"/>
      <c r="P23" s="633">
        <f t="shared" si="1"/>
        <v>0</v>
      </c>
      <c r="Q23" s="631"/>
      <c r="R23" s="632"/>
      <c r="S23" s="665">
        <f t="shared" si="5"/>
        <v>1029.8699999999999</v>
      </c>
    </row>
    <row r="24" spans="1:19" x14ac:dyDescent="0.25">
      <c r="A24" s="119"/>
      <c r="B24" s="228">
        <f t="shared" si="2"/>
        <v>28</v>
      </c>
      <c r="C24" s="15">
        <v>2</v>
      </c>
      <c r="D24" s="1110">
        <v>46.13</v>
      </c>
      <c r="E24" s="1125">
        <v>44974</v>
      </c>
      <c r="F24" s="1112">
        <f t="shared" si="0"/>
        <v>46.13</v>
      </c>
      <c r="G24" s="1113" t="s">
        <v>593</v>
      </c>
      <c r="H24" s="1114">
        <v>86</v>
      </c>
      <c r="I24" s="665">
        <f t="shared" si="3"/>
        <v>693.61999999999989</v>
      </c>
      <c r="K24" s="119"/>
      <c r="L24" s="1204">
        <f t="shared" si="4"/>
        <v>43</v>
      </c>
      <c r="M24" s="714"/>
      <c r="N24" s="633"/>
      <c r="O24" s="662"/>
      <c r="P24" s="633">
        <f t="shared" si="1"/>
        <v>0</v>
      </c>
      <c r="Q24" s="631"/>
      <c r="R24" s="632"/>
      <c r="S24" s="665">
        <f t="shared" si="5"/>
        <v>1029.8699999999999</v>
      </c>
    </row>
    <row r="25" spans="1:19" x14ac:dyDescent="0.25">
      <c r="A25" s="119"/>
      <c r="B25" s="228">
        <f t="shared" si="2"/>
        <v>27</v>
      </c>
      <c r="C25" s="15">
        <v>1</v>
      </c>
      <c r="D25" s="1110">
        <v>21.57</v>
      </c>
      <c r="E25" s="1125">
        <v>44974</v>
      </c>
      <c r="F25" s="1112">
        <f t="shared" si="0"/>
        <v>21.57</v>
      </c>
      <c r="G25" s="1113" t="s">
        <v>594</v>
      </c>
      <c r="H25" s="1114">
        <v>86</v>
      </c>
      <c r="I25" s="665">
        <f t="shared" si="3"/>
        <v>672.04999999999984</v>
      </c>
      <c r="K25" s="119"/>
      <c r="L25" s="1204">
        <f t="shared" si="4"/>
        <v>43</v>
      </c>
      <c r="M25" s="714"/>
      <c r="N25" s="633"/>
      <c r="O25" s="662"/>
      <c r="P25" s="633">
        <f t="shared" si="1"/>
        <v>0</v>
      </c>
      <c r="Q25" s="631"/>
      <c r="R25" s="632"/>
      <c r="S25" s="665">
        <f t="shared" si="5"/>
        <v>1029.8699999999999</v>
      </c>
    </row>
    <row r="26" spans="1:19" x14ac:dyDescent="0.25">
      <c r="A26" s="119"/>
      <c r="B26" s="228">
        <f t="shared" si="2"/>
        <v>26</v>
      </c>
      <c r="C26" s="15">
        <v>1</v>
      </c>
      <c r="D26" s="1110">
        <v>24.52</v>
      </c>
      <c r="E26" s="1125">
        <v>44980</v>
      </c>
      <c r="F26" s="1112">
        <f t="shared" si="0"/>
        <v>24.52</v>
      </c>
      <c r="G26" s="1113" t="s">
        <v>638</v>
      </c>
      <c r="H26" s="1114">
        <v>86</v>
      </c>
      <c r="I26" s="665">
        <f t="shared" si="3"/>
        <v>647.52999999999986</v>
      </c>
      <c r="K26" s="119"/>
      <c r="L26" s="1204">
        <f t="shared" si="4"/>
        <v>43</v>
      </c>
      <c r="M26" s="714"/>
      <c r="N26" s="633"/>
      <c r="O26" s="662"/>
      <c r="P26" s="633">
        <f t="shared" si="1"/>
        <v>0</v>
      </c>
      <c r="Q26" s="631"/>
      <c r="R26" s="632"/>
      <c r="S26" s="665">
        <f t="shared" si="5"/>
        <v>1029.8699999999999</v>
      </c>
    </row>
    <row r="27" spans="1:19" x14ac:dyDescent="0.25">
      <c r="A27" s="119"/>
      <c r="B27" s="228">
        <f t="shared" si="2"/>
        <v>22</v>
      </c>
      <c r="C27" s="15">
        <v>4</v>
      </c>
      <c r="D27" s="1110">
        <v>101.83</v>
      </c>
      <c r="E27" s="1125">
        <v>44984</v>
      </c>
      <c r="F27" s="1112">
        <f t="shared" si="0"/>
        <v>101.83</v>
      </c>
      <c r="G27" s="1113" t="s">
        <v>462</v>
      </c>
      <c r="H27" s="1114">
        <v>86</v>
      </c>
      <c r="I27" s="665">
        <f t="shared" si="3"/>
        <v>545.69999999999982</v>
      </c>
      <c r="K27" s="119"/>
      <c r="L27" s="1204">
        <f t="shared" si="4"/>
        <v>43</v>
      </c>
      <c r="M27" s="714"/>
      <c r="N27" s="633"/>
      <c r="O27" s="662"/>
      <c r="P27" s="633">
        <v>0</v>
      </c>
      <c r="Q27" s="631"/>
      <c r="R27" s="632"/>
      <c r="S27" s="665">
        <f t="shared" si="5"/>
        <v>1029.8699999999999</v>
      </c>
    </row>
    <row r="28" spans="1:19" x14ac:dyDescent="0.25">
      <c r="A28" s="119"/>
      <c r="B28" s="228">
        <f t="shared" si="2"/>
        <v>22</v>
      </c>
      <c r="C28" s="15"/>
      <c r="D28" s="1110"/>
      <c r="E28" s="1126"/>
      <c r="F28" s="1112">
        <f t="shared" si="0"/>
        <v>0</v>
      </c>
      <c r="G28" s="580"/>
      <c r="H28" s="372"/>
      <c r="I28" s="60">
        <f t="shared" si="3"/>
        <v>545.69999999999982</v>
      </c>
      <c r="K28" s="119"/>
      <c r="L28" s="1204">
        <f t="shared" si="4"/>
        <v>43</v>
      </c>
      <c r="M28" s="714"/>
      <c r="N28" s="633"/>
      <c r="O28" s="662"/>
      <c r="P28" s="633">
        <f t="shared" ref="P28:P33" si="6">N28</f>
        <v>0</v>
      </c>
      <c r="Q28" s="631"/>
      <c r="R28" s="632"/>
      <c r="S28" s="665">
        <f t="shared" si="5"/>
        <v>1029.8699999999999</v>
      </c>
    </row>
    <row r="29" spans="1:19" x14ac:dyDescent="0.25">
      <c r="A29" s="119"/>
      <c r="B29" s="228"/>
      <c r="C29" s="15"/>
      <c r="D29" s="1110"/>
      <c r="E29" s="1126"/>
      <c r="F29" s="1112">
        <f t="shared" si="0"/>
        <v>0</v>
      </c>
      <c r="G29" s="580"/>
      <c r="H29" s="372"/>
      <c r="I29" s="60">
        <f t="shared" si="3"/>
        <v>545.69999999999982</v>
      </c>
      <c r="K29" s="119"/>
      <c r="L29" s="1204"/>
      <c r="M29" s="714"/>
      <c r="N29" s="633"/>
      <c r="O29" s="662"/>
      <c r="P29" s="633">
        <f t="shared" si="6"/>
        <v>0</v>
      </c>
      <c r="Q29" s="631"/>
      <c r="R29" s="632"/>
      <c r="S29" s="665">
        <f t="shared" si="5"/>
        <v>1029.8699999999999</v>
      </c>
    </row>
    <row r="30" spans="1:19" x14ac:dyDescent="0.25">
      <c r="A30" s="119"/>
      <c r="B30" s="228"/>
      <c r="C30" s="15"/>
      <c r="D30" s="1110"/>
      <c r="E30" s="1126"/>
      <c r="F30" s="1112">
        <f t="shared" si="0"/>
        <v>0</v>
      </c>
      <c r="G30" s="580"/>
      <c r="H30" s="372"/>
      <c r="I30" s="60">
        <f t="shared" si="3"/>
        <v>545.69999999999982</v>
      </c>
      <c r="K30" s="119"/>
      <c r="L30" s="228"/>
      <c r="M30" s="15"/>
      <c r="N30" s="69"/>
      <c r="O30" s="198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8"/>
      <c r="C31" s="15"/>
      <c r="D31" s="1110"/>
      <c r="E31" s="1126"/>
      <c r="F31" s="1112">
        <f t="shared" si="0"/>
        <v>0</v>
      </c>
      <c r="G31" s="580"/>
      <c r="H31" s="372"/>
      <c r="I31" s="60"/>
      <c r="K31" s="119"/>
      <c r="L31" s="228"/>
      <c r="M31" s="15"/>
      <c r="N31" s="69"/>
      <c r="O31" s="198"/>
      <c r="P31" s="69">
        <f t="shared" si="6"/>
        <v>0</v>
      </c>
      <c r="Q31" s="70"/>
      <c r="R31" s="71"/>
      <c r="S31" s="60"/>
    </row>
    <row r="32" spans="1:19" x14ac:dyDescent="0.25">
      <c r="A32" s="119"/>
      <c r="B32" s="228"/>
      <c r="C32" s="15"/>
      <c r="D32" s="617"/>
      <c r="E32" s="911"/>
      <c r="F32" s="1112">
        <f t="shared" si="0"/>
        <v>0</v>
      </c>
      <c r="G32" s="619"/>
      <c r="H32" s="201"/>
      <c r="I32" s="60"/>
      <c r="K32" s="119"/>
      <c r="L32" s="228"/>
      <c r="M32" s="15"/>
      <c r="N32" s="69"/>
      <c r="O32" s="198"/>
      <c r="P32" s="69">
        <f t="shared" si="6"/>
        <v>0</v>
      </c>
      <c r="Q32" s="70"/>
      <c r="R32" s="71"/>
      <c r="S32" s="60"/>
    </row>
    <row r="33" spans="1:19" x14ac:dyDescent="0.25">
      <c r="A33" s="119"/>
      <c r="B33" s="83"/>
      <c r="C33" s="15"/>
      <c r="D33" s="69"/>
      <c r="E33" s="198"/>
      <c r="F33" s="1112">
        <f t="shared" si="0"/>
        <v>0</v>
      </c>
      <c r="G33" s="70"/>
      <c r="H33" s="71"/>
      <c r="I33" s="60"/>
      <c r="K33" s="119"/>
      <c r="L33" s="83"/>
      <c r="M33" s="15"/>
      <c r="N33" s="69"/>
      <c r="O33" s="198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  <c r="K34" s="119"/>
      <c r="L34" s="16"/>
      <c r="M34" s="52"/>
      <c r="N34" s="105"/>
      <c r="O34" s="192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388" t="s">
        <v>11</v>
      </c>
      <c r="D40" s="1389"/>
      <c r="E40" s="57">
        <f>E4+E5+E6+E7-F35</f>
        <v>545.70000000000005</v>
      </c>
      <c r="F40" s="73"/>
      <c r="M40" s="1388" t="s">
        <v>11</v>
      </c>
      <c r="N40" s="1389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395"/>
      <c r="B5" s="1405"/>
      <c r="C5" s="227"/>
      <c r="D5" s="131"/>
      <c r="E5" s="78"/>
      <c r="F5" s="62"/>
      <c r="G5" s="5"/>
      <c r="H5" t="s">
        <v>41</v>
      </c>
    </row>
    <row r="6" spans="1:9" ht="15.75" x14ac:dyDescent="0.25">
      <c r="A6" s="1395"/>
      <c r="B6" s="1405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88" t="s">
        <v>11</v>
      </c>
      <c r="D40" s="13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T1" workbookViewId="0">
      <pane ySplit="7" topLeftCell="A8" activePane="bottomLeft" state="frozen"/>
      <selection pane="bottomLeft" activeCell="AE13" sqref="AE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386" t="s">
        <v>280</v>
      </c>
      <c r="B1" s="1386"/>
      <c r="C1" s="1386"/>
      <c r="D1" s="1386"/>
      <c r="E1" s="1386"/>
      <c r="F1" s="1386"/>
      <c r="G1" s="1386"/>
      <c r="H1" s="11">
        <v>1</v>
      </c>
      <c r="K1" s="1386" t="str">
        <f>A1</f>
        <v>INVENTARIO    DEL MES DE   ENERO     2023</v>
      </c>
      <c r="L1" s="1386"/>
      <c r="M1" s="1386"/>
      <c r="N1" s="1386"/>
      <c r="O1" s="1386"/>
      <c r="P1" s="1386"/>
      <c r="Q1" s="1386"/>
      <c r="R1" s="11">
        <v>2</v>
      </c>
      <c r="U1" s="1390" t="s">
        <v>391</v>
      </c>
      <c r="V1" s="1390"/>
      <c r="W1" s="1390"/>
      <c r="X1" s="1390"/>
      <c r="Y1" s="1390"/>
      <c r="Z1" s="1390"/>
      <c r="AA1" s="1390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400" t="s">
        <v>78</v>
      </c>
      <c r="B5" s="1405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400" t="s">
        <v>78</v>
      </c>
      <c r="L5" s="1405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573.38</v>
      </c>
      <c r="R5" s="7">
        <f>O5-Q5+O4+O6</f>
        <v>18.759999999999991</v>
      </c>
      <c r="U5" s="1400" t="s">
        <v>78</v>
      </c>
      <c r="V5" s="1405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400"/>
      <c r="B6" s="1406"/>
      <c r="C6" s="153"/>
      <c r="D6" s="146"/>
      <c r="E6" s="129"/>
      <c r="F6" s="73"/>
      <c r="K6" s="1400"/>
      <c r="L6" s="1406"/>
      <c r="M6" s="153"/>
      <c r="N6" s="146"/>
      <c r="O6" s="129"/>
      <c r="P6" s="73"/>
      <c r="U6" s="1400"/>
      <c r="V6" s="1406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182</v>
      </c>
      <c r="H8" s="71">
        <v>40</v>
      </c>
      <c r="I8" s="210">
        <f>E5-F8+E4+E6</f>
        <v>426.06</v>
      </c>
      <c r="K8" s="465"/>
      <c r="L8" s="813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498</v>
      </c>
      <c r="R8" s="71">
        <v>40</v>
      </c>
      <c r="S8" s="812">
        <f>O5-P8+O4+O6</f>
        <v>501</v>
      </c>
      <c r="U8" s="465"/>
      <c r="V8" s="512">
        <f>Z4+Z5+Z6-W8</f>
        <v>54</v>
      </c>
      <c r="W8" s="714"/>
      <c r="X8" s="633">
        <v>0</v>
      </c>
      <c r="Y8" s="738"/>
      <c r="Z8" s="666">
        <f t="shared" ref="Z8:Z21" si="2">X8</f>
        <v>0</v>
      </c>
      <c r="AA8" s="631"/>
      <c r="AB8" s="632"/>
      <c r="AC8" s="739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207</v>
      </c>
      <c r="H9" s="71">
        <v>40</v>
      </c>
      <c r="I9" s="210">
        <f>I8-F9</f>
        <v>373.13</v>
      </c>
      <c r="L9" s="512">
        <f>L8-M9</f>
        <v>17</v>
      </c>
      <c r="M9" s="814">
        <v>10</v>
      </c>
      <c r="N9" s="1110">
        <v>185.5</v>
      </c>
      <c r="O9" s="1184">
        <v>44959</v>
      </c>
      <c r="P9" s="1185">
        <f t="shared" si="1"/>
        <v>185.5</v>
      </c>
      <c r="Q9" s="1113" t="s">
        <v>502</v>
      </c>
      <c r="R9" s="1114">
        <v>40</v>
      </c>
      <c r="S9" s="739">
        <f>S8-P9</f>
        <v>315.5</v>
      </c>
      <c r="T9" s="664"/>
      <c r="V9" s="512">
        <f>V8-W9</f>
        <v>54</v>
      </c>
      <c r="W9" s="814"/>
      <c r="X9" s="69">
        <v>0</v>
      </c>
      <c r="Y9" s="738"/>
      <c r="Z9" s="666">
        <f t="shared" si="2"/>
        <v>0</v>
      </c>
      <c r="AA9" s="631"/>
      <c r="AB9" s="632"/>
      <c r="AC9" s="739">
        <f>AC8-Z9</f>
        <v>1031.53</v>
      </c>
      <c r="AD9" s="664"/>
    </row>
    <row r="10" spans="1:30" ht="15" customHeight="1" x14ac:dyDescent="0.25">
      <c r="B10" s="813">
        <f t="shared" ref="B10:B35" si="4">B9-C10</f>
        <v>13</v>
      </c>
      <c r="C10" s="714">
        <v>8</v>
      </c>
      <c r="D10" s="633">
        <v>136.93</v>
      </c>
      <c r="E10" s="738">
        <v>44932</v>
      </c>
      <c r="F10" s="666">
        <f t="shared" si="3"/>
        <v>136.93</v>
      </c>
      <c r="G10" s="631" t="s">
        <v>209</v>
      </c>
      <c r="H10" s="632">
        <v>40</v>
      </c>
      <c r="I10" s="812">
        <f>I9-F10</f>
        <v>236.2</v>
      </c>
      <c r="L10" s="512">
        <f t="shared" ref="L10:L35" si="5">L9-M10</f>
        <v>16</v>
      </c>
      <c r="M10" s="714">
        <v>1</v>
      </c>
      <c r="N10" s="1110">
        <v>18.13</v>
      </c>
      <c r="O10" s="1184">
        <v>44972</v>
      </c>
      <c r="P10" s="1185">
        <f t="shared" si="1"/>
        <v>18.13</v>
      </c>
      <c r="Q10" s="1113" t="s">
        <v>579</v>
      </c>
      <c r="R10" s="1114">
        <v>40</v>
      </c>
      <c r="S10" s="739">
        <f>S9-P10</f>
        <v>297.37</v>
      </c>
      <c r="T10" s="664"/>
      <c r="V10" s="512">
        <f t="shared" ref="V10:V35" si="6">V9-W10</f>
        <v>54</v>
      </c>
      <c r="W10" s="714"/>
      <c r="X10" s="69">
        <v>0</v>
      </c>
      <c r="Y10" s="738"/>
      <c r="Z10" s="666">
        <f t="shared" si="2"/>
        <v>0</v>
      </c>
      <c r="AA10" s="631"/>
      <c r="AB10" s="632"/>
      <c r="AC10" s="739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4">
        <v>2</v>
      </c>
      <c r="D11" s="912">
        <v>39.14</v>
      </c>
      <c r="E11" s="921">
        <v>44935</v>
      </c>
      <c r="F11" s="922">
        <f t="shared" si="3"/>
        <v>39.14</v>
      </c>
      <c r="G11" s="914" t="s">
        <v>219</v>
      </c>
      <c r="H11" s="663">
        <v>40</v>
      </c>
      <c r="I11" s="739">
        <f t="shared" ref="I11:I34" si="7">I10-F11</f>
        <v>197.06</v>
      </c>
      <c r="K11" s="55" t="s">
        <v>33</v>
      </c>
      <c r="L11" s="512">
        <f t="shared" si="5"/>
        <v>10</v>
      </c>
      <c r="M11" s="814">
        <v>6</v>
      </c>
      <c r="N11" s="1110">
        <v>111.44</v>
      </c>
      <c r="O11" s="1184">
        <v>44973</v>
      </c>
      <c r="P11" s="1185">
        <f t="shared" si="1"/>
        <v>111.44</v>
      </c>
      <c r="Q11" s="1113" t="s">
        <v>456</v>
      </c>
      <c r="R11" s="1114">
        <v>40</v>
      </c>
      <c r="S11" s="739">
        <f t="shared" ref="S11:S34" si="8">S10-P11</f>
        <v>185.93</v>
      </c>
      <c r="T11" s="664"/>
      <c r="U11" s="55" t="s">
        <v>33</v>
      </c>
      <c r="V11" s="512">
        <f t="shared" si="6"/>
        <v>54</v>
      </c>
      <c r="W11" s="814"/>
      <c r="X11" s="69">
        <v>0</v>
      </c>
      <c r="Y11" s="921"/>
      <c r="Z11" s="922">
        <f t="shared" si="2"/>
        <v>0</v>
      </c>
      <c r="AA11" s="914"/>
      <c r="AB11" s="663"/>
      <c r="AC11" s="739">
        <f t="shared" ref="AC11:AC34" si="9">AC10-Z11</f>
        <v>1031.53</v>
      </c>
      <c r="AD11" s="664"/>
    </row>
    <row r="12" spans="1:30" ht="15" customHeight="1" x14ac:dyDescent="0.25">
      <c r="A12" s="19"/>
      <c r="B12" s="813">
        <f t="shared" si="4"/>
        <v>5</v>
      </c>
      <c r="C12" s="714">
        <v>6</v>
      </c>
      <c r="D12" s="912">
        <v>111.13</v>
      </c>
      <c r="E12" s="921">
        <v>44942</v>
      </c>
      <c r="F12" s="922">
        <f t="shared" si="3"/>
        <v>111.13</v>
      </c>
      <c r="G12" s="914" t="s">
        <v>230</v>
      </c>
      <c r="H12" s="663">
        <v>40</v>
      </c>
      <c r="I12" s="812">
        <f t="shared" si="7"/>
        <v>85.93</v>
      </c>
      <c r="K12" s="19"/>
      <c r="L12" s="512">
        <f t="shared" si="5"/>
        <v>1</v>
      </c>
      <c r="M12" s="714">
        <v>9</v>
      </c>
      <c r="N12" s="1110">
        <v>167.17</v>
      </c>
      <c r="O12" s="1184">
        <v>44984</v>
      </c>
      <c r="P12" s="1185">
        <f t="shared" si="1"/>
        <v>167.17</v>
      </c>
      <c r="Q12" s="1113" t="s">
        <v>462</v>
      </c>
      <c r="R12" s="1114">
        <v>40</v>
      </c>
      <c r="S12" s="739">
        <f t="shared" si="8"/>
        <v>18.760000000000019</v>
      </c>
      <c r="T12" s="664"/>
      <c r="U12" s="19"/>
      <c r="V12" s="512">
        <f t="shared" si="6"/>
        <v>54</v>
      </c>
      <c r="W12" s="714"/>
      <c r="X12" s="69">
        <v>0</v>
      </c>
      <c r="Y12" s="921"/>
      <c r="Z12" s="922">
        <f t="shared" si="2"/>
        <v>0</v>
      </c>
      <c r="AA12" s="914"/>
      <c r="AB12" s="663"/>
      <c r="AC12" s="739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4"/>
      <c r="D13" s="912"/>
      <c r="E13" s="921"/>
      <c r="F13" s="922">
        <f t="shared" si="3"/>
        <v>0</v>
      </c>
      <c r="G13" s="914"/>
      <c r="H13" s="663"/>
      <c r="I13" s="739">
        <f t="shared" si="7"/>
        <v>85.93</v>
      </c>
      <c r="L13" s="512">
        <f t="shared" si="5"/>
        <v>1</v>
      </c>
      <c r="M13" s="714"/>
      <c r="N13" s="1110">
        <v>0</v>
      </c>
      <c r="O13" s="1184"/>
      <c r="P13" s="1185">
        <f t="shared" si="1"/>
        <v>0</v>
      </c>
      <c r="Q13" s="1113"/>
      <c r="R13" s="1114"/>
      <c r="S13" s="739">
        <f t="shared" si="8"/>
        <v>18.760000000000019</v>
      </c>
      <c r="T13" s="664"/>
      <c r="V13" s="512">
        <f t="shared" si="6"/>
        <v>54</v>
      </c>
      <c r="W13" s="714"/>
      <c r="X13" s="69">
        <v>0</v>
      </c>
      <c r="Y13" s="921"/>
      <c r="Z13" s="922">
        <f t="shared" si="2"/>
        <v>0</v>
      </c>
      <c r="AA13" s="914"/>
      <c r="AB13" s="663"/>
      <c r="AC13" s="739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4"/>
      <c r="D14" s="912"/>
      <c r="E14" s="921"/>
      <c r="F14" s="1134">
        <f t="shared" si="3"/>
        <v>0</v>
      </c>
      <c r="G14" s="1135"/>
      <c r="H14" s="1136"/>
      <c r="I14" s="1137">
        <f t="shared" si="7"/>
        <v>85.93</v>
      </c>
      <c r="L14" s="512">
        <f t="shared" si="5"/>
        <v>1</v>
      </c>
      <c r="M14" s="814"/>
      <c r="N14" s="1110">
        <v>0</v>
      </c>
      <c r="O14" s="1184"/>
      <c r="P14" s="1185">
        <f t="shared" si="1"/>
        <v>0</v>
      </c>
      <c r="Q14" s="1113"/>
      <c r="R14" s="1114"/>
      <c r="S14" s="739">
        <f t="shared" si="8"/>
        <v>18.760000000000019</v>
      </c>
      <c r="V14" s="512">
        <f t="shared" si="6"/>
        <v>54</v>
      </c>
      <c r="W14" s="814"/>
      <c r="X14" s="69">
        <v>0</v>
      </c>
      <c r="Y14" s="921"/>
      <c r="Z14" s="922">
        <f t="shared" si="2"/>
        <v>0</v>
      </c>
      <c r="AA14" s="914"/>
      <c r="AB14" s="663"/>
      <c r="AC14" s="739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57"/>
      <c r="F15" s="1134">
        <v>85.93</v>
      </c>
      <c r="G15" s="1135"/>
      <c r="H15" s="1136"/>
      <c r="I15" s="1137">
        <f t="shared" si="7"/>
        <v>0</v>
      </c>
      <c r="L15" s="513">
        <f t="shared" si="5"/>
        <v>1</v>
      </c>
      <c r="M15" s="53"/>
      <c r="N15" s="1110">
        <v>0</v>
      </c>
      <c r="O15" s="1127"/>
      <c r="P15" s="1133">
        <f t="shared" si="1"/>
        <v>0</v>
      </c>
      <c r="Q15" s="580"/>
      <c r="R15" s="372"/>
      <c r="S15" s="210">
        <f t="shared" si="8"/>
        <v>18.760000000000019</v>
      </c>
      <c r="V15" s="513">
        <f t="shared" si="6"/>
        <v>54</v>
      </c>
      <c r="W15" s="53"/>
      <c r="X15" s="69">
        <v>0</v>
      </c>
      <c r="Y15" s="857"/>
      <c r="Z15" s="858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57"/>
      <c r="F16" s="1134">
        <f t="shared" si="3"/>
        <v>0</v>
      </c>
      <c r="G16" s="1135"/>
      <c r="H16" s="1136"/>
      <c r="I16" s="1137">
        <f t="shared" si="7"/>
        <v>0</v>
      </c>
      <c r="L16" s="513">
        <f t="shared" si="5"/>
        <v>1</v>
      </c>
      <c r="M16" s="15"/>
      <c r="N16" s="1110">
        <v>0</v>
      </c>
      <c r="O16" s="1127"/>
      <c r="P16" s="1133">
        <f t="shared" si="1"/>
        <v>0</v>
      </c>
      <c r="Q16" s="580"/>
      <c r="R16" s="372"/>
      <c r="S16" s="210">
        <f t="shared" si="8"/>
        <v>18.760000000000019</v>
      </c>
      <c r="V16" s="513">
        <f t="shared" si="6"/>
        <v>54</v>
      </c>
      <c r="W16" s="15"/>
      <c r="X16" s="69">
        <v>0</v>
      </c>
      <c r="Y16" s="857"/>
      <c r="Z16" s="858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57"/>
      <c r="F17" s="1134">
        <f t="shared" si="3"/>
        <v>0</v>
      </c>
      <c r="G17" s="1135"/>
      <c r="H17" s="1136"/>
      <c r="I17" s="1137">
        <f t="shared" si="7"/>
        <v>0</v>
      </c>
      <c r="L17" s="513">
        <f t="shared" si="5"/>
        <v>1</v>
      </c>
      <c r="M17" s="15"/>
      <c r="N17" s="1110">
        <v>0</v>
      </c>
      <c r="O17" s="1127"/>
      <c r="P17" s="1133">
        <f t="shared" si="1"/>
        <v>0</v>
      </c>
      <c r="Q17" s="580"/>
      <c r="R17" s="372"/>
      <c r="S17" s="210">
        <f t="shared" si="8"/>
        <v>18.760000000000019</v>
      </c>
      <c r="V17" s="513">
        <f t="shared" si="6"/>
        <v>54</v>
      </c>
      <c r="W17" s="15"/>
      <c r="X17" s="69">
        <v>0</v>
      </c>
      <c r="Y17" s="857"/>
      <c r="Z17" s="858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57"/>
      <c r="F18" s="1134">
        <f t="shared" si="3"/>
        <v>0</v>
      </c>
      <c r="G18" s="1135"/>
      <c r="H18" s="1136"/>
      <c r="I18" s="1137">
        <f t="shared" si="7"/>
        <v>0</v>
      </c>
      <c r="L18" s="513">
        <f t="shared" si="5"/>
        <v>1</v>
      </c>
      <c r="M18" s="15"/>
      <c r="N18" s="1110">
        <v>0</v>
      </c>
      <c r="O18" s="1127"/>
      <c r="P18" s="1133">
        <f t="shared" si="1"/>
        <v>0</v>
      </c>
      <c r="Q18" s="580"/>
      <c r="R18" s="372"/>
      <c r="S18" s="210">
        <f t="shared" si="8"/>
        <v>18.760000000000019</v>
      </c>
      <c r="V18" s="513">
        <f t="shared" si="6"/>
        <v>54</v>
      </c>
      <c r="W18" s="15"/>
      <c r="X18" s="69">
        <v>0</v>
      </c>
      <c r="Y18" s="857"/>
      <c r="Z18" s="858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57"/>
      <c r="F19" s="858">
        <f t="shared" si="3"/>
        <v>0</v>
      </c>
      <c r="G19" s="619"/>
      <c r="H19" s="201"/>
      <c r="I19" s="210">
        <f t="shared" si="7"/>
        <v>0</v>
      </c>
      <c r="L19" s="513">
        <f t="shared" si="5"/>
        <v>1</v>
      </c>
      <c r="M19" s="15"/>
      <c r="N19" s="1110">
        <v>0</v>
      </c>
      <c r="O19" s="1127"/>
      <c r="P19" s="1133">
        <f t="shared" si="1"/>
        <v>0</v>
      </c>
      <c r="Q19" s="580"/>
      <c r="R19" s="372"/>
      <c r="S19" s="210">
        <f t="shared" si="8"/>
        <v>18.760000000000019</v>
      </c>
      <c r="V19" s="513">
        <f t="shared" si="6"/>
        <v>54</v>
      </c>
      <c r="W19" s="15"/>
      <c r="X19" s="69">
        <v>0</v>
      </c>
      <c r="Y19" s="857"/>
      <c r="Z19" s="858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57"/>
      <c r="F20" s="858">
        <f t="shared" si="3"/>
        <v>0</v>
      </c>
      <c r="G20" s="619"/>
      <c r="H20" s="201"/>
      <c r="I20" s="210">
        <f t="shared" si="7"/>
        <v>0</v>
      </c>
      <c r="L20" s="513">
        <f t="shared" si="5"/>
        <v>1</v>
      </c>
      <c r="M20" s="15"/>
      <c r="N20" s="1110">
        <v>0</v>
      </c>
      <c r="O20" s="1127"/>
      <c r="P20" s="1133">
        <f t="shared" si="1"/>
        <v>0</v>
      </c>
      <c r="Q20" s="580"/>
      <c r="R20" s="372"/>
      <c r="S20" s="210">
        <f t="shared" si="8"/>
        <v>18.760000000000019</v>
      </c>
      <c r="V20" s="513">
        <f t="shared" si="6"/>
        <v>54</v>
      </c>
      <c r="W20" s="15"/>
      <c r="X20" s="69">
        <v>0</v>
      </c>
      <c r="Y20" s="857"/>
      <c r="Z20" s="858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57"/>
      <c r="F21" s="858">
        <f t="shared" si="3"/>
        <v>0</v>
      </c>
      <c r="G21" s="619"/>
      <c r="H21" s="201"/>
      <c r="I21" s="210">
        <f t="shared" si="7"/>
        <v>0</v>
      </c>
      <c r="L21" s="513">
        <f t="shared" si="5"/>
        <v>1</v>
      </c>
      <c r="M21" s="15"/>
      <c r="N21" s="1110">
        <v>0</v>
      </c>
      <c r="O21" s="1127"/>
      <c r="P21" s="1133">
        <f t="shared" si="1"/>
        <v>0</v>
      </c>
      <c r="Q21" s="580"/>
      <c r="R21" s="372"/>
      <c r="S21" s="210">
        <f t="shared" si="8"/>
        <v>18.760000000000019</v>
      </c>
      <c r="V21" s="513">
        <f t="shared" si="6"/>
        <v>54</v>
      </c>
      <c r="W21" s="15"/>
      <c r="X21" s="69">
        <v>0</v>
      </c>
      <c r="Y21" s="857"/>
      <c r="Z21" s="858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57"/>
      <c r="F22" s="858">
        <f>D22</f>
        <v>0</v>
      </c>
      <c r="G22" s="619"/>
      <c r="H22" s="201"/>
      <c r="I22" s="210">
        <f t="shared" si="7"/>
        <v>0</v>
      </c>
      <c r="L22" s="513">
        <f t="shared" si="5"/>
        <v>1</v>
      </c>
      <c r="M22" s="15"/>
      <c r="N22" s="1110">
        <v>0</v>
      </c>
      <c r="O22" s="1127"/>
      <c r="P22" s="1133">
        <f>N22</f>
        <v>0</v>
      </c>
      <c r="Q22" s="580"/>
      <c r="R22" s="372"/>
      <c r="S22" s="210">
        <f t="shared" si="8"/>
        <v>18.760000000000019</v>
      </c>
      <c r="V22" s="513">
        <f t="shared" si="6"/>
        <v>54</v>
      </c>
      <c r="W22" s="15"/>
      <c r="X22" s="69">
        <v>0</v>
      </c>
      <c r="Y22" s="857"/>
      <c r="Z22" s="858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57"/>
      <c r="F23" s="858">
        <f>D23</f>
        <v>0</v>
      </c>
      <c r="G23" s="619"/>
      <c r="H23" s="201"/>
      <c r="I23" s="210">
        <f t="shared" si="7"/>
        <v>0</v>
      </c>
      <c r="L23" s="513">
        <f t="shared" si="5"/>
        <v>1</v>
      </c>
      <c r="M23" s="15"/>
      <c r="N23" s="1110">
        <v>0</v>
      </c>
      <c r="O23" s="1127"/>
      <c r="P23" s="1133">
        <f>N23</f>
        <v>0</v>
      </c>
      <c r="Q23" s="580"/>
      <c r="R23" s="372"/>
      <c r="S23" s="210">
        <f t="shared" si="8"/>
        <v>18.760000000000019</v>
      </c>
      <c r="V23" s="513">
        <f t="shared" si="6"/>
        <v>54</v>
      </c>
      <c r="W23" s="15"/>
      <c r="X23" s="69">
        <v>0</v>
      </c>
      <c r="Y23" s="857"/>
      <c r="Z23" s="858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57"/>
      <c r="F24" s="858">
        <f>D24</f>
        <v>0</v>
      </c>
      <c r="G24" s="619"/>
      <c r="H24" s="201"/>
      <c r="I24" s="210">
        <f t="shared" si="7"/>
        <v>0</v>
      </c>
      <c r="L24" s="513">
        <f t="shared" si="5"/>
        <v>1</v>
      </c>
      <c r="M24" s="15"/>
      <c r="N24" s="1110">
        <v>0</v>
      </c>
      <c r="O24" s="1127"/>
      <c r="P24" s="1133">
        <f>N24</f>
        <v>0</v>
      </c>
      <c r="Q24" s="580"/>
      <c r="R24" s="372"/>
      <c r="S24" s="210">
        <f t="shared" si="8"/>
        <v>18.760000000000019</v>
      </c>
      <c r="V24" s="513">
        <f t="shared" si="6"/>
        <v>54</v>
      </c>
      <c r="W24" s="15"/>
      <c r="X24" s="69">
        <v>0</v>
      </c>
      <c r="Y24" s="857"/>
      <c r="Z24" s="858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57"/>
      <c r="F25" s="858">
        <f>D25</f>
        <v>0</v>
      </c>
      <c r="G25" s="619"/>
      <c r="H25" s="201"/>
      <c r="I25" s="210">
        <f t="shared" si="7"/>
        <v>0</v>
      </c>
      <c r="L25" s="513">
        <f t="shared" si="5"/>
        <v>1</v>
      </c>
      <c r="M25" s="15"/>
      <c r="N25" s="69">
        <v>0</v>
      </c>
      <c r="O25" s="857"/>
      <c r="P25" s="858">
        <f>N25</f>
        <v>0</v>
      </c>
      <c r="Q25" s="619"/>
      <c r="R25" s="201"/>
      <c r="S25" s="210">
        <f t="shared" si="8"/>
        <v>18.760000000000019</v>
      </c>
      <c r="V25" s="513">
        <f t="shared" si="6"/>
        <v>54</v>
      </c>
      <c r="W25" s="15"/>
      <c r="X25" s="69">
        <v>0</v>
      </c>
      <c r="Y25" s="857"/>
      <c r="Z25" s="858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21"/>
      <c r="F26" s="922">
        <f>D26</f>
        <v>0</v>
      </c>
      <c r="G26" s="914"/>
      <c r="H26" s="663"/>
      <c r="I26" s="739">
        <f t="shared" si="7"/>
        <v>0</v>
      </c>
      <c r="L26" s="513">
        <f t="shared" si="5"/>
        <v>1</v>
      </c>
      <c r="M26" s="15"/>
      <c r="N26" s="69">
        <v>0</v>
      </c>
      <c r="O26" s="921"/>
      <c r="P26" s="922">
        <f>N26</f>
        <v>0</v>
      </c>
      <c r="Q26" s="914"/>
      <c r="R26" s="663"/>
      <c r="S26" s="739">
        <f t="shared" si="8"/>
        <v>18.760000000000019</v>
      </c>
      <c r="V26" s="513">
        <f t="shared" si="6"/>
        <v>54</v>
      </c>
      <c r="W26" s="15"/>
      <c r="X26" s="69">
        <v>0</v>
      </c>
      <c r="Y26" s="921"/>
      <c r="Z26" s="922">
        <f>X26</f>
        <v>0</v>
      </c>
      <c r="AA26" s="914"/>
      <c r="AB26" s="663"/>
      <c r="AC26" s="739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38"/>
      <c r="F27" s="666">
        <f t="shared" ref="F27:F35" si="10">D27</f>
        <v>0</v>
      </c>
      <c r="G27" s="631"/>
      <c r="H27" s="632"/>
      <c r="I27" s="739">
        <f t="shared" si="7"/>
        <v>0</v>
      </c>
      <c r="L27" s="513">
        <f t="shared" si="5"/>
        <v>1</v>
      </c>
      <c r="M27" s="15"/>
      <c r="N27" s="69">
        <v>0</v>
      </c>
      <c r="O27" s="738"/>
      <c r="P27" s="666">
        <f t="shared" ref="P27:P35" si="11">N27</f>
        <v>0</v>
      </c>
      <c r="Q27" s="631"/>
      <c r="R27" s="632"/>
      <c r="S27" s="739">
        <f t="shared" si="8"/>
        <v>18.760000000000019</v>
      </c>
      <c r="V27" s="513">
        <f t="shared" si="6"/>
        <v>54</v>
      </c>
      <c r="W27" s="15"/>
      <c r="X27" s="69">
        <v>0</v>
      </c>
      <c r="Y27" s="738"/>
      <c r="Z27" s="666">
        <f t="shared" ref="Z27:Z35" si="12">X27</f>
        <v>0</v>
      </c>
      <c r="AA27" s="631"/>
      <c r="AB27" s="632"/>
      <c r="AC27" s="739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38"/>
      <c r="F28" s="666">
        <f t="shared" si="10"/>
        <v>0</v>
      </c>
      <c r="G28" s="631"/>
      <c r="H28" s="632"/>
      <c r="I28" s="739">
        <f t="shared" si="7"/>
        <v>0</v>
      </c>
      <c r="K28" s="47"/>
      <c r="L28" s="513">
        <f t="shared" si="5"/>
        <v>1</v>
      </c>
      <c r="M28" s="15"/>
      <c r="N28" s="69">
        <v>0</v>
      </c>
      <c r="O28" s="738"/>
      <c r="P28" s="666">
        <f t="shared" si="11"/>
        <v>0</v>
      </c>
      <c r="Q28" s="631"/>
      <c r="R28" s="632"/>
      <c r="S28" s="739">
        <f t="shared" si="8"/>
        <v>18.760000000000019</v>
      </c>
      <c r="U28" s="47"/>
      <c r="V28" s="513">
        <f t="shared" si="6"/>
        <v>54</v>
      </c>
      <c r="W28" s="15"/>
      <c r="X28" s="69">
        <v>0</v>
      </c>
      <c r="Y28" s="738"/>
      <c r="Z28" s="666">
        <f t="shared" si="12"/>
        <v>0</v>
      </c>
      <c r="AA28" s="631"/>
      <c r="AB28" s="632"/>
      <c r="AC28" s="739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38"/>
      <c r="F29" s="666">
        <f t="shared" si="10"/>
        <v>0</v>
      </c>
      <c r="G29" s="631"/>
      <c r="H29" s="632"/>
      <c r="I29" s="739">
        <f t="shared" si="7"/>
        <v>0</v>
      </c>
      <c r="K29" s="47"/>
      <c r="L29" s="513">
        <f t="shared" si="5"/>
        <v>1</v>
      </c>
      <c r="M29" s="15"/>
      <c r="N29" s="69">
        <v>0</v>
      </c>
      <c r="O29" s="738"/>
      <c r="P29" s="666">
        <f t="shared" si="11"/>
        <v>0</v>
      </c>
      <c r="Q29" s="631"/>
      <c r="R29" s="632"/>
      <c r="S29" s="739">
        <f t="shared" si="8"/>
        <v>18.760000000000019</v>
      </c>
      <c r="U29" s="47"/>
      <c r="V29" s="513">
        <f t="shared" si="6"/>
        <v>54</v>
      </c>
      <c r="W29" s="15"/>
      <c r="X29" s="69">
        <v>0</v>
      </c>
      <c r="Y29" s="738"/>
      <c r="Z29" s="666">
        <f t="shared" si="12"/>
        <v>0</v>
      </c>
      <c r="AA29" s="631"/>
      <c r="AB29" s="632"/>
      <c r="AC29" s="739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38"/>
      <c r="F30" s="666">
        <f t="shared" si="10"/>
        <v>0</v>
      </c>
      <c r="G30" s="631"/>
      <c r="H30" s="632"/>
      <c r="I30" s="739">
        <f t="shared" si="7"/>
        <v>0</v>
      </c>
      <c r="K30" s="47"/>
      <c r="L30" s="513">
        <f t="shared" si="5"/>
        <v>1</v>
      </c>
      <c r="M30" s="15"/>
      <c r="N30" s="69">
        <v>0</v>
      </c>
      <c r="O30" s="738"/>
      <c r="P30" s="666">
        <f t="shared" si="11"/>
        <v>0</v>
      </c>
      <c r="Q30" s="631"/>
      <c r="R30" s="632"/>
      <c r="S30" s="739">
        <f t="shared" si="8"/>
        <v>18.760000000000019</v>
      </c>
      <c r="U30" s="47"/>
      <c r="V30" s="513">
        <f t="shared" si="6"/>
        <v>54</v>
      </c>
      <c r="W30" s="15"/>
      <c r="X30" s="69">
        <v>0</v>
      </c>
      <c r="Y30" s="738"/>
      <c r="Z30" s="666">
        <f t="shared" si="12"/>
        <v>0</v>
      </c>
      <c r="AA30" s="631"/>
      <c r="AB30" s="632"/>
      <c r="AC30" s="739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18.760000000000019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18.760000000000019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18.760000000000019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18.760000000000019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31</v>
      </c>
      <c r="N36" s="103">
        <f>SUM(N8:N35)</f>
        <v>573.38</v>
      </c>
      <c r="O36" s="75"/>
      <c r="P36" s="103">
        <f>SUM(P8:P35)</f>
        <v>573.38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376" t="s">
        <v>21</v>
      </c>
      <c r="E38" s="1377"/>
      <c r="F38" s="138">
        <f>E4+E5-F36+E6</f>
        <v>0</v>
      </c>
      <c r="L38" s="511"/>
      <c r="N38" s="1376" t="s">
        <v>21</v>
      </c>
      <c r="O38" s="1377"/>
      <c r="P38" s="138">
        <f>O4+O5-P36+O6</f>
        <v>18.759999999999991</v>
      </c>
      <c r="V38" s="511"/>
      <c r="X38" s="1376" t="s">
        <v>21</v>
      </c>
      <c r="Y38" s="1377"/>
      <c r="Z38" s="138">
        <f>Y4+Y5-Z36+Y6</f>
        <v>1031.53</v>
      </c>
    </row>
    <row r="39" spans="1:29" ht="15.75" thickBot="1" x14ac:dyDescent="0.3">
      <c r="A39" s="122"/>
      <c r="D39" s="845" t="s">
        <v>4</v>
      </c>
      <c r="E39" s="846"/>
      <c r="F39" s="49">
        <f>F4+F5-C36+F6</f>
        <v>0</v>
      </c>
      <c r="K39" s="122"/>
      <c r="N39" s="865" t="s">
        <v>4</v>
      </c>
      <c r="O39" s="866"/>
      <c r="P39" s="49">
        <f>P4+P5-M36+P6</f>
        <v>1</v>
      </c>
      <c r="U39" s="122"/>
      <c r="X39" s="1101" t="s">
        <v>4</v>
      </c>
      <c r="Y39" s="1102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13" sqref="B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90" t="s">
        <v>391</v>
      </c>
      <c r="B1" s="1390"/>
      <c r="C1" s="1390"/>
      <c r="D1" s="1390"/>
      <c r="E1" s="1390"/>
      <c r="F1" s="1390"/>
      <c r="G1" s="13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395" t="s">
        <v>62</v>
      </c>
      <c r="B5" s="1407" t="s">
        <v>479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</row>
    <row r="6" spans="1:10" ht="15.75" customHeight="1" thickBot="1" x14ac:dyDescent="0.3">
      <c r="A6" s="1395"/>
      <c r="B6" s="1408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>
        <f>F5-C8</f>
        <v>132</v>
      </c>
      <c r="C8" s="15">
        <v>15</v>
      </c>
      <c r="D8" s="69">
        <v>300</v>
      </c>
      <c r="E8" s="238">
        <v>44989</v>
      </c>
      <c r="F8" s="103">
        <f t="shared" ref="F8:F15" si="0">D8</f>
        <v>300</v>
      </c>
      <c r="G8" s="70" t="s">
        <v>732</v>
      </c>
      <c r="H8" s="71">
        <v>75</v>
      </c>
      <c r="I8" s="458">
        <f>E4+E5+E6-F8</f>
        <v>2640</v>
      </c>
      <c r="J8" s="446">
        <f>H8*F8</f>
        <v>22500</v>
      </c>
    </row>
    <row r="9" spans="1:10" ht="15.75" x14ac:dyDescent="0.25">
      <c r="B9" s="178">
        <f>B8-C9</f>
        <v>132</v>
      </c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2640</v>
      </c>
      <c r="J9" s="668">
        <f t="shared" ref="J9:J39" si="2">H9*F9</f>
        <v>0</v>
      </c>
    </row>
    <row r="10" spans="1:10" ht="15.75" x14ac:dyDescent="0.25">
      <c r="B10" s="178">
        <f t="shared" ref="B10:B39" si="3">B9-C10</f>
        <v>132</v>
      </c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4">I9-F10</f>
        <v>2640</v>
      </c>
      <c r="J10" s="668">
        <f t="shared" si="2"/>
        <v>0</v>
      </c>
    </row>
    <row r="11" spans="1:10" ht="15.75" x14ac:dyDescent="0.25">
      <c r="A11" s="55" t="s">
        <v>33</v>
      </c>
      <c r="B11" s="178">
        <f t="shared" si="3"/>
        <v>132</v>
      </c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4"/>
        <v>2640</v>
      </c>
      <c r="J11" s="668">
        <f t="shared" si="2"/>
        <v>0</v>
      </c>
    </row>
    <row r="12" spans="1:10" ht="15.75" x14ac:dyDescent="0.25">
      <c r="B12" s="178">
        <f t="shared" si="3"/>
        <v>132</v>
      </c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4"/>
        <v>2640</v>
      </c>
      <c r="J12" s="668">
        <f t="shared" si="2"/>
        <v>0</v>
      </c>
    </row>
    <row r="13" spans="1:10" ht="15.75" x14ac:dyDescent="0.25">
      <c r="A13" s="19"/>
      <c r="B13" s="178">
        <f t="shared" si="3"/>
        <v>132</v>
      </c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4"/>
        <v>2640</v>
      </c>
      <c r="J13" s="668">
        <f t="shared" si="2"/>
        <v>0</v>
      </c>
    </row>
    <row r="14" spans="1:10" ht="15.75" x14ac:dyDescent="0.25">
      <c r="B14" s="178">
        <f t="shared" si="3"/>
        <v>132</v>
      </c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4"/>
        <v>2640</v>
      </c>
      <c r="J14" s="668">
        <f t="shared" si="2"/>
        <v>0</v>
      </c>
    </row>
    <row r="15" spans="1:10" ht="15.75" x14ac:dyDescent="0.25">
      <c r="B15" s="178">
        <f t="shared" si="3"/>
        <v>132</v>
      </c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4"/>
        <v>2640</v>
      </c>
      <c r="J15" s="447">
        <f t="shared" si="2"/>
        <v>0</v>
      </c>
    </row>
    <row r="16" spans="1:10" ht="15.75" x14ac:dyDescent="0.25">
      <c r="B16" s="178">
        <f t="shared" si="3"/>
        <v>132</v>
      </c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4"/>
        <v>2640</v>
      </c>
      <c r="J16" s="447">
        <f t="shared" si="2"/>
        <v>0</v>
      </c>
    </row>
    <row r="17" spans="1:10" ht="15.75" x14ac:dyDescent="0.25">
      <c r="B17" s="178">
        <f t="shared" si="3"/>
        <v>132</v>
      </c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4"/>
        <v>2640</v>
      </c>
      <c r="J17" s="447">
        <f t="shared" si="2"/>
        <v>0</v>
      </c>
    </row>
    <row r="18" spans="1:10" ht="15.75" x14ac:dyDescent="0.25">
      <c r="B18" s="178">
        <f t="shared" si="3"/>
        <v>132</v>
      </c>
      <c r="C18" s="73"/>
      <c r="D18" s="69">
        <f t="shared" si="1"/>
        <v>0</v>
      </c>
      <c r="E18" s="238"/>
      <c r="F18" s="103">
        <f t="shared" ref="F18:F39" si="5">D18</f>
        <v>0</v>
      </c>
      <c r="G18" s="70"/>
      <c r="H18" s="372"/>
      <c r="I18" s="459">
        <f t="shared" si="4"/>
        <v>2640</v>
      </c>
      <c r="J18" s="447">
        <f t="shared" si="2"/>
        <v>0</v>
      </c>
    </row>
    <row r="19" spans="1:10" ht="15.75" x14ac:dyDescent="0.25">
      <c r="B19" s="178">
        <f t="shared" si="3"/>
        <v>132</v>
      </c>
      <c r="C19" s="73"/>
      <c r="D19" s="69">
        <f t="shared" si="1"/>
        <v>0</v>
      </c>
      <c r="E19" s="238"/>
      <c r="F19" s="103">
        <f t="shared" si="5"/>
        <v>0</v>
      </c>
      <c r="G19" s="70"/>
      <c r="H19" s="372"/>
      <c r="I19" s="459">
        <f t="shared" si="4"/>
        <v>2640</v>
      </c>
      <c r="J19" s="447">
        <f t="shared" si="2"/>
        <v>0</v>
      </c>
    </row>
    <row r="20" spans="1:10" ht="15.75" x14ac:dyDescent="0.25">
      <c r="B20" s="178">
        <f t="shared" si="3"/>
        <v>132</v>
      </c>
      <c r="C20" s="73"/>
      <c r="D20" s="69">
        <f t="shared" si="1"/>
        <v>0</v>
      </c>
      <c r="E20" s="238"/>
      <c r="F20" s="103">
        <f t="shared" si="5"/>
        <v>0</v>
      </c>
      <c r="G20" s="70"/>
      <c r="H20" s="372"/>
      <c r="I20" s="459">
        <f t="shared" si="4"/>
        <v>2640</v>
      </c>
      <c r="J20" s="447">
        <f t="shared" si="2"/>
        <v>0</v>
      </c>
    </row>
    <row r="21" spans="1:10" ht="15.75" x14ac:dyDescent="0.25">
      <c r="B21" s="178">
        <f t="shared" si="3"/>
        <v>132</v>
      </c>
      <c r="C21" s="73"/>
      <c r="D21" s="69">
        <f t="shared" si="1"/>
        <v>0</v>
      </c>
      <c r="E21" s="238"/>
      <c r="F21" s="103">
        <f t="shared" si="5"/>
        <v>0</v>
      </c>
      <c r="G21" s="70"/>
      <c r="H21" s="372"/>
      <c r="I21" s="459">
        <f t="shared" si="4"/>
        <v>2640</v>
      </c>
      <c r="J21" s="447">
        <f t="shared" si="2"/>
        <v>0</v>
      </c>
    </row>
    <row r="22" spans="1:10" ht="15.75" x14ac:dyDescent="0.25">
      <c r="B22" s="178">
        <f t="shared" si="3"/>
        <v>132</v>
      </c>
      <c r="C22" s="73"/>
      <c r="D22" s="69">
        <f t="shared" si="1"/>
        <v>0</v>
      </c>
      <c r="E22" s="238"/>
      <c r="F22" s="103">
        <f t="shared" si="5"/>
        <v>0</v>
      </c>
      <c r="G22" s="70"/>
      <c r="H22" s="372"/>
      <c r="I22" s="459">
        <f t="shared" si="4"/>
        <v>2640</v>
      </c>
      <c r="J22" s="447">
        <f t="shared" si="2"/>
        <v>0</v>
      </c>
    </row>
    <row r="23" spans="1:10" ht="15.75" x14ac:dyDescent="0.25">
      <c r="B23" s="178">
        <f t="shared" si="3"/>
        <v>132</v>
      </c>
      <c r="C23" s="73"/>
      <c r="D23" s="69">
        <f t="shared" si="1"/>
        <v>0</v>
      </c>
      <c r="E23" s="238"/>
      <c r="F23" s="103">
        <f t="shared" si="5"/>
        <v>0</v>
      </c>
      <c r="G23" s="70"/>
      <c r="H23" s="324"/>
      <c r="I23" s="459">
        <f t="shared" si="4"/>
        <v>2640</v>
      </c>
      <c r="J23" s="447">
        <f t="shared" si="2"/>
        <v>0</v>
      </c>
    </row>
    <row r="24" spans="1:10" ht="15.75" x14ac:dyDescent="0.25">
      <c r="B24" s="178">
        <f t="shared" si="3"/>
        <v>132</v>
      </c>
      <c r="C24" s="73"/>
      <c r="D24" s="69">
        <f t="shared" si="1"/>
        <v>0</v>
      </c>
      <c r="E24" s="238"/>
      <c r="F24" s="103">
        <f t="shared" si="5"/>
        <v>0</v>
      </c>
      <c r="G24" s="70"/>
      <c r="H24" s="324"/>
      <c r="I24" s="459">
        <f t="shared" si="4"/>
        <v>2640</v>
      </c>
      <c r="J24" s="447">
        <f t="shared" si="2"/>
        <v>0</v>
      </c>
    </row>
    <row r="25" spans="1:10" ht="15.75" x14ac:dyDescent="0.25">
      <c r="B25" s="178">
        <f t="shared" si="3"/>
        <v>132</v>
      </c>
      <c r="C25" s="73"/>
      <c r="D25" s="69">
        <f t="shared" si="1"/>
        <v>0</v>
      </c>
      <c r="E25" s="238"/>
      <c r="F25" s="103">
        <f t="shared" si="5"/>
        <v>0</v>
      </c>
      <c r="G25" s="70"/>
      <c r="H25" s="324"/>
      <c r="I25" s="459">
        <f t="shared" si="4"/>
        <v>2640</v>
      </c>
      <c r="J25" s="447">
        <f t="shared" si="2"/>
        <v>0</v>
      </c>
    </row>
    <row r="26" spans="1:10" ht="15.75" x14ac:dyDescent="0.25">
      <c r="B26" s="178">
        <f t="shared" si="3"/>
        <v>132</v>
      </c>
      <c r="C26" s="73"/>
      <c r="D26" s="69">
        <f t="shared" si="1"/>
        <v>0</v>
      </c>
      <c r="E26" s="238"/>
      <c r="F26" s="103">
        <f t="shared" si="5"/>
        <v>0</v>
      </c>
      <c r="G26" s="70"/>
      <c r="H26" s="324"/>
      <c r="I26" s="459">
        <f t="shared" si="4"/>
        <v>2640</v>
      </c>
      <c r="J26" s="447">
        <f t="shared" si="2"/>
        <v>0</v>
      </c>
    </row>
    <row r="27" spans="1:10" ht="15.75" x14ac:dyDescent="0.25">
      <c r="B27" s="178">
        <f t="shared" si="3"/>
        <v>132</v>
      </c>
      <c r="C27" s="73"/>
      <c r="D27" s="69">
        <f t="shared" si="1"/>
        <v>0</v>
      </c>
      <c r="E27" s="238"/>
      <c r="F27" s="103">
        <f t="shared" si="5"/>
        <v>0</v>
      </c>
      <c r="G27" s="70"/>
      <c r="H27" s="324"/>
      <c r="I27" s="459">
        <f t="shared" si="4"/>
        <v>2640</v>
      </c>
      <c r="J27" s="447">
        <f t="shared" si="2"/>
        <v>0</v>
      </c>
    </row>
    <row r="28" spans="1:10" ht="15.75" x14ac:dyDescent="0.25">
      <c r="B28" s="178">
        <f t="shared" si="3"/>
        <v>132</v>
      </c>
      <c r="C28" s="73"/>
      <c r="D28" s="69">
        <f t="shared" si="1"/>
        <v>0</v>
      </c>
      <c r="E28" s="238"/>
      <c r="F28" s="103">
        <f t="shared" si="5"/>
        <v>0</v>
      </c>
      <c r="G28" s="70"/>
      <c r="H28" s="324"/>
      <c r="I28" s="459">
        <f t="shared" si="4"/>
        <v>2640</v>
      </c>
      <c r="J28" s="447">
        <f t="shared" si="2"/>
        <v>0</v>
      </c>
    </row>
    <row r="29" spans="1:10" ht="15.75" x14ac:dyDescent="0.25">
      <c r="A29" s="47"/>
      <c r="B29" s="178">
        <f t="shared" si="3"/>
        <v>132</v>
      </c>
      <c r="C29" s="73"/>
      <c r="D29" s="69">
        <f t="shared" si="1"/>
        <v>0</v>
      </c>
      <c r="E29" s="238"/>
      <c r="F29" s="103">
        <f t="shared" si="5"/>
        <v>0</v>
      </c>
      <c r="G29" s="70"/>
      <c r="H29" s="324"/>
      <c r="I29" s="459">
        <f t="shared" si="4"/>
        <v>2640</v>
      </c>
      <c r="J29" s="447">
        <f t="shared" si="2"/>
        <v>0</v>
      </c>
    </row>
    <row r="30" spans="1:10" ht="15.75" x14ac:dyDescent="0.25">
      <c r="A30" s="47"/>
      <c r="B30" s="178">
        <f t="shared" si="3"/>
        <v>132</v>
      </c>
      <c r="C30" s="73"/>
      <c r="D30" s="69">
        <f t="shared" si="1"/>
        <v>0</v>
      </c>
      <c r="E30" s="238"/>
      <c r="F30" s="103">
        <f t="shared" si="5"/>
        <v>0</v>
      </c>
      <c r="G30" s="70"/>
      <c r="H30" s="324"/>
      <c r="I30" s="459">
        <f t="shared" si="4"/>
        <v>2640</v>
      </c>
      <c r="J30" s="447">
        <f t="shared" si="2"/>
        <v>0</v>
      </c>
    </row>
    <row r="31" spans="1:10" ht="15.75" x14ac:dyDescent="0.25">
      <c r="A31" s="47"/>
      <c r="B31" s="178">
        <f t="shared" si="3"/>
        <v>132</v>
      </c>
      <c r="C31" s="73"/>
      <c r="D31" s="69">
        <f t="shared" si="1"/>
        <v>0</v>
      </c>
      <c r="E31" s="238"/>
      <c r="F31" s="103">
        <f t="shared" si="5"/>
        <v>0</v>
      </c>
      <c r="G31" s="70"/>
      <c r="H31" s="324"/>
      <c r="I31" s="459">
        <f t="shared" si="4"/>
        <v>2640</v>
      </c>
      <c r="J31" s="447">
        <f t="shared" si="2"/>
        <v>0</v>
      </c>
    </row>
    <row r="32" spans="1:10" ht="15.75" x14ac:dyDescent="0.25">
      <c r="A32" s="47"/>
      <c r="B32" s="178">
        <f t="shared" si="3"/>
        <v>132</v>
      </c>
      <c r="C32" s="73"/>
      <c r="D32" s="69">
        <f t="shared" si="1"/>
        <v>0</v>
      </c>
      <c r="E32" s="238"/>
      <c r="F32" s="103">
        <f t="shared" si="5"/>
        <v>0</v>
      </c>
      <c r="G32" s="70"/>
      <c r="H32" s="324"/>
      <c r="I32" s="459">
        <f t="shared" si="4"/>
        <v>2640</v>
      </c>
      <c r="J32" s="447">
        <f t="shared" si="2"/>
        <v>0</v>
      </c>
    </row>
    <row r="33" spans="1:10" ht="15.75" x14ac:dyDescent="0.25">
      <c r="A33" s="47"/>
      <c r="B33" s="178">
        <f t="shared" si="3"/>
        <v>132</v>
      </c>
      <c r="C33" s="73"/>
      <c r="D33" s="69">
        <f t="shared" si="1"/>
        <v>0</v>
      </c>
      <c r="E33" s="238"/>
      <c r="F33" s="103">
        <f t="shared" si="5"/>
        <v>0</v>
      </c>
      <c r="G33" s="70"/>
      <c r="H33" s="324"/>
      <c r="I33" s="459">
        <f t="shared" si="4"/>
        <v>2640</v>
      </c>
      <c r="J33" s="447">
        <f t="shared" si="2"/>
        <v>0</v>
      </c>
    </row>
    <row r="34" spans="1:10" ht="15.75" x14ac:dyDescent="0.25">
      <c r="A34" s="47"/>
      <c r="B34" s="178">
        <f t="shared" si="3"/>
        <v>132</v>
      </c>
      <c r="C34" s="73"/>
      <c r="D34" s="69">
        <f t="shared" si="1"/>
        <v>0</v>
      </c>
      <c r="E34" s="238"/>
      <c r="F34" s="103">
        <f t="shared" si="5"/>
        <v>0</v>
      </c>
      <c r="G34" s="70"/>
      <c r="H34" s="324"/>
      <c r="I34" s="459">
        <f t="shared" si="4"/>
        <v>2640</v>
      </c>
      <c r="J34" s="447">
        <f t="shared" si="2"/>
        <v>0</v>
      </c>
    </row>
    <row r="35" spans="1:10" ht="15.75" x14ac:dyDescent="0.25">
      <c r="A35" s="47"/>
      <c r="B35" s="178">
        <f t="shared" si="3"/>
        <v>132</v>
      </c>
      <c r="C35" s="73"/>
      <c r="D35" s="69">
        <f t="shared" si="1"/>
        <v>0</v>
      </c>
      <c r="E35" s="238"/>
      <c r="F35" s="103">
        <f t="shared" si="5"/>
        <v>0</v>
      </c>
      <c r="G35" s="70"/>
      <c r="H35" s="324"/>
      <c r="I35" s="459">
        <f t="shared" si="4"/>
        <v>2640</v>
      </c>
      <c r="J35" s="447">
        <f t="shared" si="2"/>
        <v>0</v>
      </c>
    </row>
    <row r="36" spans="1:10" ht="15.75" x14ac:dyDescent="0.25">
      <c r="A36" s="47"/>
      <c r="B36" s="178">
        <f t="shared" si="3"/>
        <v>132</v>
      </c>
      <c r="C36" s="73"/>
      <c r="D36" s="69">
        <f t="shared" si="1"/>
        <v>0</v>
      </c>
      <c r="E36" s="238"/>
      <c r="F36" s="103">
        <f t="shared" si="5"/>
        <v>0</v>
      </c>
      <c r="G36" s="70"/>
      <c r="H36" s="71"/>
      <c r="I36" s="459">
        <f t="shared" si="4"/>
        <v>2640</v>
      </c>
      <c r="J36" s="447">
        <f t="shared" si="2"/>
        <v>0</v>
      </c>
    </row>
    <row r="37" spans="1:10" ht="15.75" x14ac:dyDescent="0.25">
      <c r="A37" s="47"/>
      <c r="B37" s="178">
        <f t="shared" si="3"/>
        <v>132</v>
      </c>
      <c r="C37" s="73"/>
      <c r="D37" s="69">
        <f t="shared" si="1"/>
        <v>0</v>
      </c>
      <c r="E37" s="238"/>
      <c r="F37" s="103">
        <f t="shared" si="5"/>
        <v>0</v>
      </c>
      <c r="G37" s="70"/>
      <c r="H37" s="71"/>
      <c r="I37" s="459">
        <f t="shared" si="4"/>
        <v>2640</v>
      </c>
      <c r="J37" s="447">
        <f t="shared" si="2"/>
        <v>0</v>
      </c>
    </row>
    <row r="38" spans="1:10" ht="15.75" x14ac:dyDescent="0.25">
      <c r="A38" s="47"/>
      <c r="B38" s="178">
        <f t="shared" si="3"/>
        <v>132</v>
      </c>
      <c r="C38" s="15"/>
      <c r="D38" s="69">
        <f t="shared" si="1"/>
        <v>0</v>
      </c>
      <c r="E38" s="238"/>
      <c r="F38" s="103">
        <f t="shared" si="5"/>
        <v>0</v>
      </c>
      <c r="G38" s="70"/>
      <c r="H38" s="71"/>
      <c r="I38" s="459">
        <f t="shared" si="4"/>
        <v>2640</v>
      </c>
      <c r="J38" s="447">
        <f t="shared" si="2"/>
        <v>0</v>
      </c>
    </row>
    <row r="39" spans="1:10" ht="15.75" thickBot="1" x14ac:dyDescent="0.3">
      <c r="A39" s="118"/>
      <c r="B39" s="178">
        <f t="shared" si="3"/>
        <v>132</v>
      </c>
      <c r="C39" s="37"/>
      <c r="D39" s="69">
        <f t="shared" si="1"/>
        <v>0</v>
      </c>
      <c r="E39" s="199"/>
      <c r="F39" s="200">
        <f t="shared" si="5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</row>
    <row r="41" spans="1:10" ht="15.75" thickBot="1" x14ac:dyDescent="0.3">
      <c r="A41" s="47"/>
    </row>
    <row r="42" spans="1:10" x14ac:dyDescent="0.25">
      <c r="B42" s="5"/>
      <c r="D42" s="1376" t="s">
        <v>21</v>
      </c>
      <c r="E42" s="1377"/>
      <c r="F42" s="138">
        <f>E4+E5-F40+E6</f>
        <v>2640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132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86" t="s">
        <v>281</v>
      </c>
      <c r="B1" s="1386"/>
      <c r="C1" s="1386"/>
      <c r="D1" s="1386"/>
      <c r="E1" s="1386"/>
      <c r="F1" s="1386"/>
      <c r="G1" s="1386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395" t="s">
        <v>94</v>
      </c>
      <c r="B5" s="1409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395"/>
      <c r="B6" s="1410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182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195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199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200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19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206</v>
      </c>
      <c r="H12" s="71">
        <v>83</v>
      </c>
      <c r="I12" s="923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24">
        <v>44939</v>
      </c>
      <c r="F13" s="858">
        <f t="shared" si="0"/>
        <v>277.52999999999997</v>
      </c>
      <c r="G13" s="619" t="s">
        <v>226</v>
      </c>
      <c r="H13" s="201">
        <v>83</v>
      </c>
      <c r="I13" s="965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24">
        <v>44939</v>
      </c>
      <c r="F14" s="858">
        <f t="shared" si="0"/>
        <v>32.450000000000003</v>
      </c>
      <c r="G14" s="619" t="s">
        <v>227</v>
      </c>
      <c r="H14" s="201">
        <v>83</v>
      </c>
      <c r="I14" s="965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24">
        <v>44939</v>
      </c>
      <c r="F15" s="858">
        <f t="shared" si="0"/>
        <v>27.86</v>
      </c>
      <c r="G15" s="619" t="s">
        <v>227</v>
      </c>
      <c r="H15" s="201">
        <v>83</v>
      </c>
      <c r="I15" s="965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19">
        <f t="shared" si="2"/>
        <v>11</v>
      </c>
      <c r="C16" s="15">
        <v>1</v>
      </c>
      <c r="D16" s="617">
        <v>27.04</v>
      </c>
      <c r="E16" s="924">
        <v>44947</v>
      </c>
      <c r="F16" s="858">
        <f t="shared" si="0"/>
        <v>27.04</v>
      </c>
      <c r="G16" s="619" t="s">
        <v>253</v>
      </c>
      <c r="H16" s="201">
        <v>83</v>
      </c>
      <c r="I16" s="973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10">
        <v>28.77</v>
      </c>
      <c r="E17" s="1132">
        <v>44958</v>
      </c>
      <c r="F17" s="1133">
        <f t="shared" si="0"/>
        <v>28.77</v>
      </c>
      <c r="G17" s="580" t="s">
        <v>493</v>
      </c>
      <c r="H17" s="372">
        <v>83</v>
      </c>
      <c r="I17" s="965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10">
        <v>30.18</v>
      </c>
      <c r="E18" s="1132">
        <v>44960</v>
      </c>
      <c r="F18" s="1133">
        <f t="shared" si="0"/>
        <v>30.18</v>
      </c>
      <c r="G18" s="580" t="s">
        <v>515</v>
      </c>
      <c r="H18" s="372">
        <v>83</v>
      </c>
      <c r="I18" s="965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10">
        <v>26.93</v>
      </c>
      <c r="E19" s="1132">
        <v>44964</v>
      </c>
      <c r="F19" s="1133">
        <f t="shared" si="0"/>
        <v>26.93</v>
      </c>
      <c r="G19" s="580" t="s">
        <v>532</v>
      </c>
      <c r="H19" s="372">
        <v>83</v>
      </c>
      <c r="I19" s="965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10">
        <v>216.18</v>
      </c>
      <c r="E20" s="1132">
        <v>44965</v>
      </c>
      <c r="F20" s="1133">
        <f t="shared" si="0"/>
        <v>216.18</v>
      </c>
      <c r="G20" s="580" t="s">
        <v>449</v>
      </c>
      <c r="H20" s="372">
        <v>83</v>
      </c>
      <c r="I20" s="965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10">
        <v>0</v>
      </c>
      <c r="E21" s="1132"/>
      <c r="F21" s="1133">
        <f t="shared" si="0"/>
        <v>0</v>
      </c>
      <c r="G21" s="580"/>
      <c r="H21" s="372"/>
      <c r="I21" s="965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10">
        <v>0</v>
      </c>
      <c r="E22" s="1132"/>
      <c r="F22" s="1133">
        <f t="shared" si="0"/>
        <v>0</v>
      </c>
      <c r="G22" s="1153"/>
      <c r="H22" s="1154"/>
      <c r="I22" s="1243">
        <f t="shared" si="3"/>
        <v>0</v>
      </c>
      <c r="J22" s="1244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10">
        <v>0</v>
      </c>
      <c r="E23" s="1132"/>
      <c r="F23" s="1133">
        <f t="shared" si="0"/>
        <v>0</v>
      </c>
      <c r="G23" s="1153"/>
      <c r="H23" s="1154"/>
      <c r="I23" s="1243">
        <f t="shared" si="3"/>
        <v>0</v>
      </c>
      <c r="J23" s="1244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10">
        <v>0</v>
      </c>
      <c r="E24" s="1132"/>
      <c r="F24" s="1133">
        <f t="shared" si="0"/>
        <v>0</v>
      </c>
      <c r="G24" s="1153"/>
      <c r="H24" s="1154"/>
      <c r="I24" s="1243">
        <f t="shared" si="3"/>
        <v>0</v>
      </c>
      <c r="J24" s="1244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10">
        <v>0</v>
      </c>
      <c r="E25" s="1132"/>
      <c r="F25" s="1133">
        <f t="shared" si="0"/>
        <v>0</v>
      </c>
      <c r="G25" s="1153"/>
      <c r="H25" s="1154"/>
      <c r="I25" s="1243">
        <f t="shared" si="3"/>
        <v>0</v>
      </c>
      <c r="J25" s="1244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10">
        <v>0</v>
      </c>
      <c r="E26" s="1132"/>
      <c r="F26" s="1133">
        <f t="shared" si="0"/>
        <v>0</v>
      </c>
      <c r="G26" s="580"/>
      <c r="H26" s="372"/>
      <c r="I26" s="965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10">
        <v>0</v>
      </c>
      <c r="E27" s="1132"/>
      <c r="F27" s="1133">
        <f t="shared" si="0"/>
        <v>0</v>
      </c>
      <c r="G27" s="580"/>
      <c r="H27" s="372"/>
      <c r="I27" s="966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76" t="s">
        <v>21</v>
      </c>
      <c r="E31" s="1377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1" t="s">
        <v>83</v>
      </c>
      <c r="C4" s="125"/>
      <c r="D4" s="131"/>
      <c r="E4" s="176"/>
      <c r="F4" s="134"/>
      <c r="G4" s="38"/>
    </row>
    <row r="5" spans="1:15" ht="15.75" x14ac:dyDescent="0.25">
      <c r="A5" s="1395"/>
      <c r="B5" s="1409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395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76" t="s">
        <v>21</v>
      </c>
      <c r="E31" s="1377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376" t="s">
        <v>21</v>
      </c>
      <c r="E31" s="1377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KL1" zoomScaleNormal="100" workbookViewId="0">
      <pane ySplit="7" topLeftCell="A8" activePane="bottomLeft" state="frozen"/>
      <selection activeCell="AO1" sqref="AO1"/>
      <selection pane="bottomLeft" activeCell="KO12" sqref="KO12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385" t="s">
        <v>274</v>
      </c>
      <c r="L1" s="1385"/>
      <c r="M1" s="1385"/>
      <c r="N1" s="1385"/>
      <c r="O1" s="1385"/>
      <c r="P1" s="1385"/>
      <c r="Q1" s="1385"/>
      <c r="R1" s="262">
        <f>I1+1</f>
        <v>1</v>
      </c>
      <c r="S1" s="262"/>
      <c r="U1" s="1380" t="str">
        <f>K1</f>
        <v>ENTRADA DEL MES DE FEBRERO  2023</v>
      </c>
      <c r="V1" s="1380"/>
      <c r="W1" s="1380"/>
      <c r="X1" s="1380"/>
      <c r="Y1" s="1380"/>
      <c r="Z1" s="1380"/>
      <c r="AA1" s="1380"/>
      <c r="AB1" s="262">
        <f>R1+1</f>
        <v>2</v>
      </c>
      <c r="AC1" s="382"/>
      <c r="AE1" s="1380" t="str">
        <f>U1</f>
        <v>ENTRADA DEL MES DE FEBRERO  2023</v>
      </c>
      <c r="AF1" s="1380"/>
      <c r="AG1" s="1380"/>
      <c r="AH1" s="1380"/>
      <c r="AI1" s="1380"/>
      <c r="AJ1" s="1380"/>
      <c r="AK1" s="1380"/>
      <c r="AL1" s="262">
        <f>AB1+1</f>
        <v>3</v>
      </c>
      <c r="AM1" s="262"/>
      <c r="AO1" s="1380" t="str">
        <f>AE1</f>
        <v>ENTRADA DEL MES DE FEBRERO  2023</v>
      </c>
      <c r="AP1" s="1380"/>
      <c r="AQ1" s="1380"/>
      <c r="AR1" s="1380"/>
      <c r="AS1" s="1380"/>
      <c r="AT1" s="1380"/>
      <c r="AU1" s="1380"/>
      <c r="AV1" s="262">
        <f>AL1+1</f>
        <v>4</v>
      </c>
      <c r="AW1" s="382"/>
      <c r="AY1" s="1380" t="str">
        <f>AO1</f>
        <v>ENTRADA DEL MES DE FEBRERO  2023</v>
      </c>
      <c r="AZ1" s="1380"/>
      <c r="BA1" s="1380"/>
      <c r="BB1" s="1380"/>
      <c r="BC1" s="1380"/>
      <c r="BD1" s="1380"/>
      <c r="BE1" s="1380"/>
      <c r="BF1" s="262">
        <f>AV1+1</f>
        <v>5</v>
      </c>
      <c r="BG1" s="398"/>
      <c r="BI1" s="1380" t="str">
        <f>AY1</f>
        <v>ENTRADA DEL MES DE FEBRERO  2023</v>
      </c>
      <c r="BJ1" s="1380"/>
      <c r="BK1" s="1380"/>
      <c r="BL1" s="1380"/>
      <c r="BM1" s="1380"/>
      <c r="BN1" s="1380"/>
      <c r="BO1" s="1380"/>
      <c r="BP1" s="262">
        <f>BF1+1</f>
        <v>6</v>
      </c>
      <c r="BQ1" s="382"/>
      <c r="BS1" s="1380" t="str">
        <f>BI1</f>
        <v>ENTRADA DEL MES DE FEBRERO  2023</v>
      </c>
      <c r="BT1" s="1380"/>
      <c r="BU1" s="1380"/>
      <c r="BV1" s="1380"/>
      <c r="BW1" s="1380"/>
      <c r="BX1" s="1380"/>
      <c r="BY1" s="1380"/>
      <c r="BZ1" s="262">
        <f>BP1+1</f>
        <v>7</v>
      </c>
      <c r="CC1" s="1380" t="str">
        <f>BS1</f>
        <v>ENTRADA DEL MES DE FEBRERO  2023</v>
      </c>
      <c r="CD1" s="1380"/>
      <c r="CE1" s="1380"/>
      <c r="CF1" s="1380"/>
      <c r="CG1" s="1380"/>
      <c r="CH1" s="1380"/>
      <c r="CI1" s="1380"/>
      <c r="CJ1" s="262">
        <f>BZ1+1</f>
        <v>8</v>
      </c>
      <c r="CM1" s="1380" t="str">
        <f>CC1</f>
        <v>ENTRADA DEL MES DE FEBRERO  2023</v>
      </c>
      <c r="CN1" s="1380"/>
      <c r="CO1" s="1380"/>
      <c r="CP1" s="1380"/>
      <c r="CQ1" s="1380"/>
      <c r="CR1" s="1380"/>
      <c r="CS1" s="1380"/>
      <c r="CT1" s="262">
        <f>CJ1+1</f>
        <v>9</v>
      </c>
      <c r="CU1" s="382"/>
      <c r="CW1" s="1380" t="str">
        <f>CM1</f>
        <v>ENTRADA DEL MES DE FEBRERO  2023</v>
      </c>
      <c r="CX1" s="1380"/>
      <c r="CY1" s="1380"/>
      <c r="CZ1" s="1380"/>
      <c r="DA1" s="1380"/>
      <c r="DB1" s="1380"/>
      <c r="DC1" s="1380"/>
      <c r="DD1" s="262">
        <f>CT1+1</f>
        <v>10</v>
      </c>
      <c r="DE1" s="382"/>
      <c r="DG1" s="1380" t="str">
        <f>CW1</f>
        <v>ENTRADA DEL MES DE FEBRERO  2023</v>
      </c>
      <c r="DH1" s="1380"/>
      <c r="DI1" s="1380"/>
      <c r="DJ1" s="1380"/>
      <c r="DK1" s="1380"/>
      <c r="DL1" s="1380"/>
      <c r="DM1" s="1380"/>
      <c r="DN1" s="262">
        <f>DD1+1</f>
        <v>11</v>
      </c>
      <c r="DO1" s="382"/>
      <c r="DQ1" s="1380" t="str">
        <f>DG1</f>
        <v>ENTRADA DEL MES DE FEBRERO  2023</v>
      </c>
      <c r="DR1" s="1380"/>
      <c r="DS1" s="1380"/>
      <c r="DT1" s="1380"/>
      <c r="DU1" s="1380"/>
      <c r="DV1" s="1380"/>
      <c r="DW1" s="1380"/>
      <c r="DX1" s="262">
        <f>DN1+1</f>
        <v>12</v>
      </c>
      <c r="EA1" s="1380" t="str">
        <f>DQ1</f>
        <v>ENTRADA DEL MES DE FEBRERO  2023</v>
      </c>
      <c r="EB1" s="1380"/>
      <c r="EC1" s="1380"/>
      <c r="ED1" s="1380"/>
      <c r="EE1" s="1380"/>
      <c r="EF1" s="1380"/>
      <c r="EG1" s="1380"/>
      <c r="EH1" s="262">
        <f>DX1+1</f>
        <v>13</v>
      </c>
      <c r="EI1" s="382"/>
      <c r="EK1" s="1380" t="str">
        <f>EA1</f>
        <v>ENTRADA DEL MES DE FEBRERO  2023</v>
      </c>
      <c r="EL1" s="1380"/>
      <c r="EM1" s="1380"/>
      <c r="EN1" s="1380"/>
      <c r="EO1" s="1380"/>
      <c r="EP1" s="1380"/>
      <c r="EQ1" s="1380"/>
      <c r="ER1" s="262">
        <f>EH1+1</f>
        <v>14</v>
      </c>
      <c r="ES1" s="382"/>
      <c r="EU1" s="1380" t="str">
        <f>EK1</f>
        <v>ENTRADA DEL MES DE FEBRERO  2023</v>
      </c>
      <c r="EV1" s="1380"/>
      <c r="EW1" s="1380"/>
      <c r="EX1" s="1380"/>
      <c r="EY1" s="1380"/>
      <c r="EZ1" s="1380"/>
      <c r="FA1" s="1380"/>
      <c r="FB1" s="262">
        <f>ER1+1</f>
        <v>15</v>
      </c>
      <c r="FC1" s="382"/>
      <c r="FE1" s="1380" t="str">
        <f>EU1</f>
        <v>ENTRADA DEL MES DE FEBRERO  2023</v>
      </c>
      <c r="FF1" s="1380"/>
      <c r="FG1" s="1380"/>
      <c r="FH1" s="1380"/>
      <c r="FI1" s="1380"/>
      <c r="FJ1" s="1380"/>
      <c r="FK1" s="1380"/>
      <c r="FL1" s="262">
        <f>FB1+1</f>
        <v>16</v>
      </c>
      <c r="FM1" s="382"/>
      <c r="FO1" s="1380" t="str">
        <f>FE1</f>
        <v>ENTRADA DEL MES DE FEBRERO  2023</v>
      </c>
      <c r="FP1" s="1380"/>
      <c r="FQ1" s="1380"/>
      <c r="FR1" s="1380"/>
      <c r="FS1" s="1380"/>
      <c r="FT1" s="1380"/>
      <c r="FU1" s="1380"/>
      <c r="FV1" s="262">
        <f>FL1+1</f>
        <v>17</v>
      </c>
      <c r="FW1" s="382"/>
      <c r="FY1" s="1380" t="str">
        <f>FO1</f>
        <v>ENTRADA DEL MES DE FEBRERO  2023</v>
      </c>
      <c r="FZ1" s="1380"/>
      <c r="GA1" s="1380"/>
      <c r="GB1" s="1380"/>
      <c r="GC1" s="1380"/>
      <c r="GD1" s="1380"/>
      <c r="GE1" s="1380"/>
      <c r="GF1" s="262">
        <f>FV1+1</f>
        <v>18</v>
      </c>
      <c r="GG1" s="382"/>
      <c r="GH1" s="75" t="s">
        <v>37</v>
      </c>
      <c r="GI1" s="1380" t="str">
        <f>FY1</f>
        <v>ENTRADA DEL MES DE FEBRERO  2023</v>
      </c>
      <c r="GJ1" s="1380"/>
      <c r="GK1" s="1380"/>
      <c r="GL1" s="1380"/>
      <c r="GM1" s="1380"/>
      <c r="GN1" s="1380"/>
      <c r="GO1" s="1380"/>
      <c r="GP1" s="262">
        <f>GF1+1</f>
        <v>19</v>
      </c>
      <c r="GQ1" s="382"/>
      <c r="GS1" s="1380" t="str">
        <f>GI1</f>
        <v>ENTRADA DEL MES DE FEBRERO  2023</v>
      </c>
      <c r="GT1" s="1380"/>
      <c r="GU1" s="1380"/>
      <c r="GV1" s="1380"/>
      <c r="GW1" s="1380"/>
      <c r="GX1" s="1380"/>
      <c r="GY1" s="1380"/>
      <c r="GZ1" s="262">
        <f>GP1+1</f>
        <v>20</v>
      </c>
      <c r="HA1" s="382"/>
      <c r="HC1" s="1380" t="str">
        <f>GS1</f>
        <v>ENTRADA DEL MES DE FEBRERO  2023</v>
      </c>
      <c r="HD1" s="1380"/>
      <c r="HE1" s="1380"/>
      <c r="HF1" s="1380"/>
      <c r="HG1" s="1380"/>
      <c r="HH1" s="1380"/>
      <c r="HI1" s="1380"/>
      <c r="HJ1" s="262">
        <f>GZ1+1</f>
        <v>21</v>
      </c>
      <c r="HK1" s="382"/>
      <c r="HM1" s="1380" t="str">
        <f>HC1</f>
        <v>ENTRADA DEL MES DE FEBRERO  2023</v>
      </c>
      <c r="HN1" s="1380"/>
      <c r="HO1" s="1380"/>
      <c r="HP1" s="1380"/>
      <c r="HQ1" s="1380"/>
      <c r="HR1" s="1380"/>
      <c r="HS1" s="1380"/>
      <c r="HT1" s="262">
        <f>HJ1+1</f>
        <v>22</v>
      </c>
      <c r="HU1" s="382"/>
      <c r="HW1" s="1380" t="str">
        <f>HM1</f>
        <v>ENTRADA DEL MES DE FEBRERO  2023</v>
      </c>
      <c r="HX1" s="1380"/>
      <c r="HY1" s="1380"/>
      <c r="HZ1" s="1380"/>
      <c r="IA1" s="1380"/>
      <c r="IB1" s="1380"/>
      <c r="IC1" s="1380"/>
      <c r="ID1" s="262">
        <f>HT1+1</f>
        <v>23</v>
      </c>
      <c r="IE1" s="382"/>
      <c r="IG1" s="1380" t="str">
        <f>HW1</f>
        <v>ENTRADA DEL MES DE FEBRERO  2023</v>
      </c>
      <c r="IH1" s="1380"/>
      <c r="II1" s="1380"/>
      <c r="IJ1" s="1380"/>
      <c r="IK1" s="1380"/>
      <c r="IL1" s="1380"/>
      <c r="IM1" s="1380"/>
      <c r="IN1" s="262">
        <f>ID1+1</f>
        <v>24</v>
      </c>
      <c r="IO1" s="382"/>
      <c r="IQ1" s="1380" t="str">
        <f>IG1</f>
        <v>ENTRADA DEL MES DE FEBRERO  2023</v>
      </c>
      <c r="IR1" s="1380"/>
      <c r="IS1" s="1380"/>
      <c r="IT1" s="1380"/>
      <c r="IU1" s="1380"/>
      <c r="IV1" s="1380"/>
      <c r="IW1" s="1380"/>
      <c r="IX1" s="262">
        <f>IN1+1</f>
        <v>25</v>
      </c>
      <c r="IY1" s="382"/>
      <c r="JA1" s="1380" t="str">
        <f>IQ1</f>
        <v>ENTRADA DEL MES DE FEBRERO  2023</v>
      </c>
      <c r="JB1" s="1380"/>
      <c r="JC1" s="1380"/>
      <c r="JD1" s="1380"/>
      <c r="JE1" s="1380"/>
      <c r="JF1" s="1380"/>
      <c r="JG1" s="1380"/>
      <c r="JH1" s="262">
        <f>IX1+1</f>
        <v>26</v>
      </c>
      <c r="JI1" s="382"/>
      <c r="JK1" s="1381" t="str">
        <f>JA1</f>
        <v>ENTRADA DEL MES DE FEBRERO  2023</v>
      </c>
      <c r="JL1" s="1381"/>
      <c r="JM1" s="1381"/>
      <c r="JN1" s="1381"/>
      <c r="JO1" s="1381"/>
      <c r="JP1" s="1381"/>
      <c r="JQ1" s="1381"/>
      <c r="JR1" s="262">
        <f>JH1+1</f>
        <v>27</v>
      </c>
      <c r="JS1" s="382"/>
      <c r="JU1" s="1380" t="str">
        <f>JK1</f>
        <v>ENTRADA DEL MES DE FEBRERO  2023</v>
      </c>
      <c r="JV1" s="1380"/>
      <c r="JW1" s="1380"/>
      <c r="JX1" s="1380"/>
      <c r="JY1" s="1380"/>
      <c r="JZ1" s="1380"/>
      <c r="KA1" s="1380"/>
      <c r="KB1" s="262">
        <f>JR1+1</f>
        <v>28</v>
      </c>
      <c r="KC1" s="382"/>
      <c r="KE1" s="1380" t="str">
        <f>JU1</f>
        <v>ENTRADA DEL MES DE FEBRERO  2023</v>
      </c>
      <c r="KF1" s="1380"/>
      <c r="KG1" s="1380"/>
      <c r="KH1" s="1380"/>
      <c r="KI1" s="1380"/>
      <c r="KJ1" s="1380"/>
      <c r="KK1" s="1380"/>
      <c r="KL1" s="262">
        <f>KB1+1</f>
        <v>29</v>
      </c>
      <c r="KM1" s="382"/>
      <c r="KO1" s="1380" t="str">
        <f>KE1</f>
        <v>ENTRADA DEL MES DE FEBRERO  2023</v>
      </c>
      <c r="KP1" s="1380"/>
      <c r="KQ1" s="1380"/>
      <c r="KR1" s="1380"/>
      <c r="KS1" s="1380"/>
      <c r="KT1" s="1380"/>
      <c r="KU1" s="1380"/>
      <c r="KV1" s="262">
        <f>KL1+1</f>
        <v>30</v>
      </c>
      <c r="KW1" s="382"/>
      <c r="KY1" s="1380" t="str">
        <f>KO1</f>
        <v>ENTRADA DEL MES DE FEBRERO  2023</v>
      </c>
      <c r="KZ1" s="1380"/>
      <c r="LA1" s="1380"/>
      <c r="LB1" s="1380"/>
      <c r="LC1" s="1380"/>
      <c r="LD1" s="1380"/>
      <c r="LE1" s="1380"/>
      <c r="LF1" s="262">
        <f>KV1+1</f>
        <v>31</v>
      </c>
      <c r="LG1" s="382"/>
      <c r="LI1" s="1380" t="str">
        <f>KY1</f>
        <v>ENTRADA DEL MES DE FEBRERO  2023</v>
      </c>
      <c r="LJ1" s="1380"/>
      <c r="LK1" s="1380"/>
      <c r="LL1" s="1380"/>
      <c r="LM1" s="1380"/>
      <c r="LN1" s="1380"/>
      <c r="LO1" s="1380"/>
      <c r="LP1" s="262">
        <f>LF1+1</f>
        <v>32</v>
      </c>
      <c r="LQ1" s="382"/>
      <c r="LS1" s="1380" t="str">
        <f>LI1</f>
        <v>ENTRADA DEL MES DE FEBRERO  2023</v>
      </c>
      <c r="LT1" s="1380"/>
      <c r="LU1" s="1380"/>
      <c r="LV1" s="1380"/>
      <c r="LW1" s="1380"/>
      <c r="LX1" s="1380"/>
      <c r="LY1" s="1380"/>
      <c r="LZ1" s="262">
        <f>LP1+1</f>
        <v>33</v>
      </c>
      <c r="MC1" s="1380" t="str">
        <f>LS1</f>
        <v>ENTRADA DEL MES DE FEBRERO  2023</v>
      </c>
      <c r="MD1" s="1380"/>
      <c r="ME1" s="1380"/>
      <c r="MF1" s="1380"/>
      <c r="MG1" s="1380"/>
      <c r="MH1" s="1380"/>
      <c r="MI1" s="1380"/>
      <c r="MJ1" s="262">
        <f>LZ1+1</f>
        <v>34</v>
      </c>
      <c r="MK1" s="262"/>
      <c r="MM1" s="1380" t="str">
        <f>MC1</f>
        <v>ENTRADA DEL MES DE FEBRERO  2023</v>
      </c>
      <c r="MN1" s="1380"/>
      <c r="MO1" s="1380"/>
      <c r="MP1" s="1380"/>
      <c r="MQ1" s="1380"/>
      <c r="MR1" s="1380"/>
      <c r="MS1" s="1380"/>
      <c r="MT1" s="262">
        <f>MJ1+1</f>
        <v>35</v>
      </c>
      <c r="MU1" s="262"/>
      <c r="MW1" s="1380" t="str">
        <f>MM1</f>
        <v>ENTRADA DEL MES DE FEBRERO  2023</v>
      </c>
      <c r="MX1" s="1380"/>
      <c r="MY1" s="1380"/>
      <c r="MZ1" s="1380"/>
      <c r="NA1" s="1380"/>
      <c r="NB1" s="1380"/>
      <c r="NC1" s="1380"/>
      <c r="ND1" s="262">
        <f>MT1+1</f>
        <v>36</v>
      </c>
      <c r="NE1" s="262"/>
      <c r="NG1" s="1380" t="str">
        <f>MW1</f>
        <v>ENTRADA DEL MES DE FEBRERO  2023</v>
      </c>
      <c r="NH1" s="1380"/>
      <c r="NI1" s="1380"/>
      <c r="NJ1" s="1380"/>
      <c r="NK1" s="1380"/>
      <c r="NL1" s="1380"/>
      <c r="NM1" s="1380"/>
      <c r="NN1" s="262">
        <f>ND1+1</f>
        <v>37</v>
      </c>
      <c r="NO1" s="262"/>
      <c r="NQ1" s="1380" t="str">
        <f>NG1</f>
        <v>ENTRADA DEL MES DE FEBRERO  2023</v>
      </c>
      <c r="NR1" s="1380"/>
      <c r="NS1" s="1380"/>
      <c r="NT1" s="1380"/>
      <c r="NU1" s="1380"/>
      <c r="NV1" s="1380"/>
      <c r="NW1" s="1380"/>
      <c r="NX1" s="262">
        <f>NN1+1</f>
        <v>38</v>
      </c>
      <c r="NY1" s="262"/>
      <c r="OA1" s="1380" t="str">
        <f>NQ1</f>
        <v>ENTRADA DEL MES DE FEBRERO  2023</v>
      </c>
      <c r="OB1" s="1380"/>
      <c r="OC1" s="1380"/>
      <c r="OD1" s="1380"/>
      <c r="OE1" s="1380"/>
      <c r="OF1" s="1380"/>
      <c r="OG1" s="1380"/>
      <c r="OH1" s="262">
        <f>NX1+1</f>
        <v>39</v>
      </c>
      <c r="OI1" s="262"/>
      <c r="OK1" s="1380" t="str">
        <f>OA1</f>
        <v>ENTRADA DEL MES DE FEBRERO  2023</v>
      </c>
      <c r="OL1" s="1380"/>
      <c r="OM1" s="1380"/>
      <c r="ON1" s="1380"/>
      <c r="OO1" s="1380"/>
      <c r="OP1" s="1380"/>
      <c r="OQ1" s="1380"/>
      <c r="OR1" s="262">
        <f>OH1+1</f>
        <v>40</v>
      </c>
      <c r="OS1" s="262"/>
      <c r="OU1" s="1380" t="str">
        <f>OK1</f>
        <v>ENTRADA DEL MES DE FEBRERO  2023</v>
      </c>
      <c r="OV1" s="1380"/>
      <c r="OW1" s="1380"/>
      <c r="OX1" s="1380"/>
      <c r="OY1" s="1380"/>
      <c r="OZ1" s="1380"/>
      <c r="PA1" s="1380"/>
      <c r="PB1" s="262">
        <f>OR1+1</f>
        <v>41</v>
      </c>
      <c r="PC1" s="262"/>
      <c r="PE1" s="1380" t="str">
        <f>OU1</f>
        <v>ENTRADA DEL MES DE FEBRERO  2023</v>
      </c>
      <c r="PF1" s="1380"/>
      <c r="PG1" s="1380"/>
      <c r="PH1" s="1380"/>
      <c r="PI1" s="1380"/>
      <c r="PJ1" s="1380"/>
      <c r="PK1" s="1380"/>
      <c r="PL1" s="262">
        <f>PB1+1</f>
        <v>42</v>
      </c>
      <c r="PM1" s="262"/>
      <c r="PN1" s="262"/>
      <c r="PP1" s="1380" t="str">
        <f>PE1</f>
        <v>ENTRADA DEL MES DE FEBRERO  2023</v>
      </c>
      <c r="PQ1" s="1380"/>
      <c r="PR1" s="1380"/>
      <c r="PS1" s="1380"/>
      <c r="PT1" s="1380"/>
      <c r="PU1" s="1380"/>
      <c r="PV1" s="1380"/>
      <c r="PW1" s="262">
        <f>PL1+1</f>
        <v>43</v>
      </c>
      <c r="PX1" s="262"/>
      <c r="PZ1" s="1380" t="str">
        <f>PP1</f>
        <v>ENTRADA DEL MES DE FEBRERO  2023</v>
      </c>
      <c r="QA1" s="1380"/>
      <c r="QB1" s="1380"/>
      <c r="QC1" s="1380"/>
      <c r="QD1" s="1380"/>
      <c r="QE1" s="1380"/>
      <c r="QF1" s="1380"/>
      <c r="QG1" s="262">
        <f>PW1+1</f>
        <v>44</v>
      </c>
      <c r="QH1" s="262"/>
      <c r="QJ1" s="1380" t="str">
        <f>PZ1</f>
        <v>ENTRADA DEL MES DE FEBRERO  2023</v>
      </c>
      <c r="QK1" s="1380"/>
      <c r="QL1" s="1380"/>
      <c r="QM1" s="1380"/>
      <c r="QN1" s="1380"/>
      <c r="QO1" s="1380"/>
      <c r="QP1" s="1380"/>
      <c r="QQ1" s="262">
        <f>QG1+1</f>
        <v>45</v>
      </c>
      <c r="QR1" s="262"/>
      <c r="QT1" s="1380" t="str">
        <f>QJ1</f>
        <v>ENTRADA DEL MES DE FEBRERO  2023</v>
      </c>
      <c r="QU1" s="1380"/>
      <c r="QV1" s="1380"/>
      <c r="QW1" s="1380"/>
      <c r="QX1" s="1380"/>
      <c r="QY1" s="1380"/>
      <c r="QZ1" s="1380"/>
      <c r="RA1" s="262">
        <f>QQ1+1</f>
        <v>46</v>
      </c>
      <c r="RB1" s="262"/>
      <c r="RD1" s="1380" t="str">
        <f>QT1</f>
        <v>ENTRADA DEL MES DE FEBRERO  2023</v>
      </c>
      <c r="RE1" s="1380"/>
      <c r="RF1" s="1380"/>
      <c r="RG1" s="1380"/>
      <c r="RH1" s="1380"/>
      <c r="RI1" s="1380"/>
      <c r="RJ1" s="1380"/>
      <c r="RK1" s="262">
        <f>RA1+1</f>
        <v>47</v>
      </c>
      <c r="RL1" s="262"/>
      <c r="RN1" s="1380" t="str">
        <f>RD1</f>
        <v>ENTRADA DEL MES DE FEBRERO  2023</v>
      </c>
      <c r="RO1" s="1380"/>
      <c r="RP1" s="1380"/>
      <c r="RQ1" s="1380"/>
      <c r="RR1" s="1380"/>
      <c r="RS1" s="1380"/>
      <c r="RT1" s="1380"/>
      <c r="RU1" s="262">
        <f>RK1+1</f>
        <v>48</v>
      </c>
      <c r="RV1" s="262"/>
      <c r="RX1" s="1380" t="str">
        <f>RN1</f>
        <v>ENTRADA DEL MES DE FEBRERO  2023</v>
      </c>
      <c r="RY1" s="1380"/>
      <c r="RZ1" s="1380"/>
      <c r="SA1" s="1380"/>
      <c r="SB1" s="1380"/>
      <c r="SC1" s="1380"/>
      <c r="SD1" s="1380"/>
      <c r="SE1" s="262">
        <f>RU1+1</f>
        <v>49</v>
      </c>
      <c r="SF1" s="262"/>
      <c r="SH1" s="1380" t="str">
        <f>RX1</f>
        <v>ENTRADA DEL MES DE FEBRERO  2023</v>
      </c>
      <c r="SI1" s="1380"/>
      <c r="SJ1" s="1380"/>
      <c r="SK1" s="1380"/>
      <c r="SL1" s="1380"/>
      <c r="SM1" s="1380"/>
      <c r="SN1" s="1380"/>
      <c r="SO1" s="262">
        <f>SE1+1</f>
        <v>50</v>
      </c>
      <c r="SP1" s="262"/>
      <c r="SR1" s="1380" t="str">
        <f>SH1</f>
        <v>ENTRADA DEL MES DE FEBRERO  2023</v>
      </c>
      <c r="SS1" s="1380"/>
      <c r="ST1" s="1380"/>
      <c r="SU1" s="1380"/>
      <c r="SV1" s="1380"/>
      <c r="SW1" s="1380"/>
      <c r="SX1" s="1380"/>
      <c r="SY1" s="262">
        <f>SO1+1</f>
        <v>51</v>
      </c>
      <c r="SZ1" s="262"/>
      <c r="TB1" s="1380" t="str">
        <f>SR1</f>
        <v>ENTRADA DEL MES DE FEBRERO  2023</v>
      </c>
      <c r="TC1" s="1380"/>
      <c r="TD1" s="1380"/>
      <c r="TE1" s="1380"/>
      <c r="TF1" s="1380"/>
      <c r="TG1" s="1380"/>
      <c r="TH1" s="1380"/>
      <c r="TI1" s="262">
        <f>SY1+1</f>
        <v>52</v>
      </c>
      <c r="TJ1" s="262"/>
      <c r="TL1" s="1380" t="str">
        <f>TB1</f>
        <v>ENTRADA DEL MES DE FEBRERO  2023</v>
      </c>
      <c r="TM1" s="1380"/>
      <c r="TN1" s="1380"/>
      <c r="TO1" s="1380"/>
      <c r="TP1" s="1380"/>
      <c r="TQ1" s="1380"/>
      <c r="TR1" s="1380"/>
      <c r="TS1" s="262">
        <f>TI1+1</f>
        <v>53</v>
      </c>
      <c r="TT1" s="262"/>
      <c r="TV1" s="1380" t="str">
        <f>TL1</f>
        <v>ENTRADA DEL MES DE FEBRERO  2023</v>
      </c>
      <c r="TW1" s="1380"/>
      <c r="TX1" s="1380"/>
      <c r="TY1" s="1380"/>
      <c r="TZ1" s="1380"/>
      <c r="UA1" s="1380"/>
      <c r="UB1" s="1380"/>
      <c r="UC1" s="262">
        <f>TS1+1</f>
        <v>54</v>
      </c>
      <c r="UE1" s="1380" t="str">
        <f>TV1</f>
        <v>ENTRADA DEL MES DE FEBRERO  2023</v>
      </c>
      <c r="UF1" s="1380"/>
      <c r="UG1" s="1380"/>
      <c r="UH1" s="1380"/>
      <c r="UI1" s="1380"/>
      <c r="UJ1" s="1380"/>
      <c r="UK1" s="1380"/>
      <c r="UL1" s="262">
        <f>UC1+1</f>
        <v>55</v>
      </c>
      <c r="UN1" s="1380" t="str">
        <f>UE1</f>
        <v>ENTRADA DEL MES DE FEBRERO  2023</v>
      </c>
      <c r="UO1" s="1380"/>
      <c r="UP1" s="1380"/>
      <c r="UQ1" s="1380"/>
      <c r="UR1" s="1380"/>
      <c r="US1" s="1380"/>
      <c r="UT1" s="1380"/>
      <c r="UU1" s="262">
        <f>UL1+1</f>
        <v>56</v>
      </c>
      <c r="UW1" s="1380" t="str">
        <f>UN1</f>
        <v>ENTRADA DEL MES DE FEBRERO  2023</v>
      </c>
      <c r="UX1" s="1380"/>
      <c r="UY1" s="1380"/>
      <c r="UZ1" s="1380"/>
      <c r="VA1" s="1380"/>
      <c r="VB1" s="1380"/>
      <c r="VC1" s="1380"/>
      <c r="VD1" s="262">
        <f>UU1+1</f>
        <v>57</v>
      </c>
      <c r="VF1" s="1380" t="str">
        <f>UW1</f>
        <v>ENTRADA DEL MES DE FEBRERO  2023</v>
      </c>
      <c r="VG1" s="1380"/>
      <c r="VH1" s="1380"/>
      <c r="VI1" s="1380"/>
      <c r="VJ1" s="1380"/>
      <c r="VK1" s="1380"/>
      <c r="VL1" s="1380"/>
      <c r="VM1" s="262">
        <f>VD1+1</f>
        <v>58</v>
      </c>
      <c r="VO1" s="1380" t="str">
        <f>VF1</f>
        <v>ENTRADA DEL MES DE FEBRERO  2023</v>
      </c>
      <c r="VP1" s="1380"/>
      <c r="VQ1" s="1380"/>
      <c r="VR1" s="1380"/>
      <c r="VS1" s="1380"/>
      <c r="VT1" s="1380"/>
      <c r="VU1" s="1380"/>
      <c r="VV1" s="262">
        <f>VM1+1</f>
        <v>59</v>
      </c>
      <c r="VX1" s="1380" t="str">
        <f>VO1</f>
        <v>ENTRADA DEL MES DE FEBRERO  2023</v>
      </c>
      <c r="VY1" s="1380"/>
      <c r="VZ1" s="1380"/>
      <c r="WA1" s="1380"/>
      <c r="WB1" s="1380"/>
      <c r="WC1" s="1380"/>
      <c r="WD1" s="1380"/>
      <c r="WE1" s="262">
        <f>VV1+1</f>
        <v>60</v>
      </c>
      <c r="WG1" s="1380" t="str">
        <f>VX1</f>
        <v>ENTRADA DEL MES DE FEBRERO  2023</v>
      </c>
      <c r="WH1" s="1380"/>
      <c r="WI1" s="1380"/>
      <c r="WJ1" s="1380"/>
      <c r="WK1" s="1380"/>
      <c r="WL1" s="1380"/>
      <c r="WM1" s="1380"/>
      <c r="WN1" s="262">
        <f>WE1+1</f>
        <v>61</v>
      </c>
      <c r="WP1" s="1380" t="str">
        <f>WG1</f>
        <v>ENTRADA DEL MES DE FEBRERO  2023</v>
      </c>
      <c r="WQ1" s="1380"/>
      <c r="WR1" s="1380"/>
      <c r="WS1" s="1380"/>
      <c r="WT1" s="1380"/>
      <c r="WU1" s="1380"/>
      <c r="WV1" s="1380"/>
      <c r="WW1" s="262">
        <f>WN1+1</f>
        <v>62</v>
      </c>
      <c r="WY1" s="1380" t="str">
        <f>WP1</f>
        <v>ENTRADA DEL MES DE FEBRERO  2023</v>
      </c>
      <c r="WZ1" s="1380"/>
      <c r="XA1" s="1380"/>
      <c r="XB1" s="1380"/>
      <c r="XC1" s="1380"/>
      <c r="XD1" s="1380"/>
      <c r="XE1" s="1380"/>
      <c r="XF1" s="262">
        <f>WW1+1</f>
        <v>63</v>
      </c>
      <c r="XH1" s="1380" t="str">
        <f>WY1</f>
        <v>ENTRADA DEL MES DE FEBRERO  2023</v>
      </c>
      <c r="XI1" s="1380"/>
      <c r="XJ1" s="1380"/>
      <c r="XK1" s="1380"/>
      <c r="XL1" s="1380"/>
      <c r="XM1" s="1380"/>
      <c r="XN1" s="1380"/>
      <c r="XO1" s="262">
        <f>XF1+1</f>
        <v>64</v>
      </c>
      <c r="XQ1" s="1380" t="str">
        <f>XH1</f>
        <v>ENTRADA DEL MES DE FEBRERO  2023</v>
      </c>
      <c r="XR1" s="1380"/>
      <c r="XS1" s="1380"/>
      <c r="XT1" s="1380"/>
      <c r="XU1" s="1380"/>
      <c r="XV1" s="1380"/>
      <c r="XW1" s="1380"/>
      <c r="XX1" s="262">
        <f>XO1+1</f>
        <v>65</v>
      </c>
      <c r="XZ1" s="1380" t="str">
        <f>XQ1</f>
        <v>ENTRADA DEL MES DE FEBRERO  2023</v>
      </c>
      <c r="YA1" s="1380"/>
      <c r="YB1" s="1380"/>
      <c r="YC1" s="1380"/>
      <c r="YD1" s="1380"/>
      <c r="YE1" s="1380"/>
      <c r="YF1" s="1380"/>
      <c r="YG1" s="262">
        <f>XX1+1</f>
        <v>66</v>
      </c>
      <c r="YI1" s="1380" t="str">
        <f>XZ1</f>
        <v>ENTRADA DEL MES DE FEBRERO  2023</v>
      </c>
      <c r="YJ1" s="1380"/>
      <c r="YK1" s="1380"/>
      <c r="YL1" s="1380"/>
      <c r="YM1" s="1380"/>
      <c r="YN1" s="1380"/>
      <c r="YO1" s="1380"/>
      <c r="YP1" s="262">
        <f>YG1+1</f>
        <v>67</v>
      </c>
      <c r="YR1" s="1380" t="str">
        <f>YI1</f>
        <v>ENTRADA DEL MES DE FEBRERO  2023</v>
      </c>
      <c r="YS1" s="1380"/>
      <c r="YT1" s="1380"/>
      <c r="YU1" s="1380"/>
      <c r="YV1" s="1380"/>
      <c r="YW1" s="1380"/>
      <c r="YX1" s="1380"/>
      <c r="YY1" s="262">
        <f>YP1+1</f>
        <v>68</v>
      </c>
      <c r="ZA1" s="1380" t="str">
        <f>YR1</f>
        <v>ENTRADA DEL MES DE FEBRERO  2023</v>
      </c>
      <c r="ZB1" s="1380"/>
      <c r="ZC1" s="1380"/>
      <c r="ZD1" s="1380"/>
      <c r="ZE1" s="1380"/>
      <c r="ZF1" s="1380"/>
      <c r="ZG1" s="1380"/>
      <c r="ZH1" s="262">
        <f>YY1+1</f>
        <v>69</v>
      </c>
      <c r="ZJ1" s="1380" t="str">
        <f>ZA1</f>
        <v>ENTRADA DEL MES DE FEBRERO  2023</v>
      </c>
      <c r="ZK1" s="1380"/>
      <c r="ZL1" s="1380"/>
      <c r="ZM1" s="1380"/>
      <c r="ZN1" s="1380"/>
      <c r="ZO1" s="1380"/>
      <c r="ZP1" s="1380"/>
      <c r="ZQ1" s="262">
        <f>ZH1+1</f>
        <v>70</v>
      </c>
      <c r="ZS1" s="1380" t="str">
        <f>ZJ1</f>
        <v>ENTRADA DEL MES DE FEBRERO  2023</v>
      </c>
      <c r="ZT1" s="1380"/>
      <c r="ZU1" s="1380"/>
      <c r="ZV1" s="1380"/>
      <c r="ZW1" s="1380"/>
      <c r="ZX1" s="1380"/>
      <c r="ZY1" s="1380"/>
      <c r="ZZ1" s="262">
        <f>ZQ1+1</f>
        <v>71</v>
      </c>
      <c r="AAB1" s="1380" t="str">
        <f>ZS1</f>
        <v>ENTRADA DEL MES DE FEBRERO  2023</v>
      </c>
      <c r="AAC1" s="1380"/>
      <c r="AAD1" s="1380"/>
      <c r="AAE1" s="1380"/>
      <c r="AAF1" s="1380"/>
      <c r="AAG1" s="1380"/>
      <c r="AAH1" s="1380"/>
      <c r="AAI1" s="262">
        <f>ZZ1+1</f>
        <v>72</v>
      </c>
      <c r="AAK1" s="1380" t="str">
        <f>AAB1</f>
        <v>ENTRADA DEL MES DE FEBRERO  2023</v>
      </c>
      <c r="AAL1" s="1380"/>
      <c r="AAM1" s="1380"/>
      <c r="AAN1" s="1380"/>
      <c r="AAO1" s="1380"/>
      <c r="AAP1" s="1380"/>
      <c r="AAQ1" s="1380"/>
      <c r="AAR1" s="262">
        <f>AAI1+1</f>
        <v>73</v>
      </c>
      <c r="AAT1" s="1380" t="str">
        <f>AAK1</f>
        <v>ENTRADA DEL MES DE FEBRERO  2023</v>
      </c>
      <c r="AAU1" s="1380"/>
      <c r="AAV1" s="1380"/>
      <c r="AAW1" s="1380"/>
      <c r="AAX1" s="1380"/>
      <c r="AAY1" s="1380"/>
      <c r="AAZ1" s="1380"/>
      <c r="ABA1" s="262">
        <f>AAR1+1</f>
        <v>74</v>
      </c>
      <c r="ABC1" s="1380" t="str">
        <f>AAT1</f>
        <v>ENTRADA DEL MES DE FEBRERO  2023</v>
      </c>
      <c r="ABD1" s="1380"/>
      <c r="ABE1" s="1380"/>
      <c r="ABF1" s="1380"/>
      <c r="ABG1" s="1380"/>
      <c r="ABH1" s="1380"/>
      <c r="ABI1" s="1380"/>
      <c r="ABJ1" s="262">
        <f>ABA1+1</f>
        <v>75</v>
      </c>
      <c r="ABL1" s="1380" t="str">
        <f>ABC1</f>
        <v>ENTRADA DEL MES DE FEBRERO  2023</v>
      </c>
      <c r="ABM1" s="1380"/>
      <c r="ABN1" s="1380"/>
      <c r="ABO1" s="1380"/>
      <c r="ABP1" s="1380"/>
      <c r="ABQ1" s="1380"/>
      <c r="ABR1" s="1380"/>
      <c r="ABS1" s="262">
        <f>ABJ1+1</f>
        <v>76</v>
      </c>
      <c r="ABU1" s="1380" t="str">
        <f>ABL1</f>
        <v>ENTRADA DEL MES DE FEBRERO  2023</v>
      </c>
      <c r="ABV1" s="1380"/>
      <c r="ABW1" s="1380"/>
      <c r="ABX1" s="1380"/>
      <c r="ABY1" s="1380"/>
      <c r="ABZ1" s="1380"/>
      <c r="ACA1" s="1380"/>
      <c r="ACB1" s="262">
        <f>ABS1+1</f>
        <v>77</v>
      </c>
      <c r="ACD1" s="1380" t="str">
        <f>ABU1</f>
        <v>ENTRADA DEL MES DE FEBRERO  2023</v>
      </c>
      <c r="ACE1" s="1380"/>
      <c r="ACF1" s="1380"/>
      <c r="ACG1" s="1380"/>
      <c r="ACH1" s="1380"/>
      <c r="ACI1" s="1380"/>
      <c r="ACJ1" s="1380"/>
      <c r="ACK1" s="262">
        <f>ACB1+1</f>
        <v>78</v>
      </c>
      <c r="ACM1" s="1380" t="str">
        <f>ACD1</f>
        <v>ENTRADA DEL MES DE FEBRERO  2023</v>
      </c>
      <c r="ACN1" s="1380"/>
      <c r="ACO1" s="1380"/>
      <c r="ACP1" s="1380"/>
      <c r="ACQ1" s="1380"/>
      <c r="ACR1" s="1380"/>
      <c r="ACS1" s="1380"/>
      <c r="ACT1" s="262">
        <f>ACK1+1</f>
        <v>79</v>
      </c>
      <c r="ACV1" s="1380" t="str">
        <f>ACM1</f>
        <v>ENTRADA DEL MES DE FEBRERO  2023</v>
      </c>
      <c r="ACW1" s="1380"/>
      <c r="ACX1" s="1380"/>
      <c r="ACY1" s="1380"/>
      <c r="ACZ1" s="1380"/>
      <c r="ADA1" s="1380"/>
      <c r="ADB1" s="1380"/>
      <c r="ADC1" s="262">
        <f>ACT1+1</f>
        <v>80</v>
      </c>
      <c r="ADE1" s="1380" t="str">
        <f>ACV1</f>
        <v>ENTRADA DEL MES DE FEBRERO  2023</v>
      </c>
      <c r="ADF1" s="1380"/>
      <c r="ADG1" s="1380"/>
      <c r="ADH1" s="1380"/>
      <c r="ADI1" s="1380"/>
      <c r="ADJ1" s="1380"/>
      <c r="ADK1" s="1380"/>
      <c r="ADL1" s="262">
        <f>ADC1+1</f>
        <v>81</v>
      </c>
      <c r="ADN1" s="1380" t="str">
        <f>ADE1</f>
        <v>ENTRADA DEL MES DE FEBRERO  2023</v>
      </c>
      <c r="ADO1" s="1380"/>
      <c r="ADP1" s="1380"/>
      <c r="ADQ1" s="1380"/>
      <c r="ADR1" s="1380"/>
      <c r="ADS1" s="1380"/>
      <c r="ADT1" s="1380"/>
      <c r="ADU1" s="262">
        <f>ADL1+1</f>
        <v>82</v>
      </c>
      <c r="ADW1" s="1380" t="str">
        <f>ADN1</f>
        <v>ENTRADA DEL MES DE FEBRERO  2023</v>
      </c>
      <c r="ADX1" s="1380"/>
      <c r="ADY1" s="1380"/>
      <c r="ADZ1" s="1380"/>
      <c r="AEA1" s="1380"/>
      <c r="AEB1" s="1380"/>
      <c r="AEC1" s="1380"/>
      <c r="AED1" s="262">
        <f>ADU1+1</f>
        <v>83</v>
      </c>
      <c r="AEF1" s="1380" t="str">
        <f>ADW1</f>
        <v>ENTRADA DEL MES DE FEBRERO  2023</v>
      </c>
      <c r="AEG1" s="1380"/>
      <c r="AEH1" s="1380"/>
      <c r="AEI1" s="1380"/>
      <c r="AEJ1" s="1380"/>
      <c r="AEK1" s="1380"/>
      <c r="AEL1" s="1380"/>
      <c r="AEM1" s="262">
        <f>AED1+1</f>
        <v>84</v>
      </c>
      <c r="AEO1" s="1380" t="str">
        <f>AEF1</f>
        <v>ENTRADA DEL MES DE FEBRERO  2023</v>
      </c>
      <c r="AEP1" s="1380"/>
      <c r="AEQ1" s="1380"/>
      <c r="AER1" s="1380"/>
      <c r="AES1" s="1380"/>
      <c r="AET1" s="1380"/>
      <c r="AEU1" s="1380"/>
      <c r="AEV1" s="262">
        <f>AEM1+1</f>
        <v>85</v>
      </c>
      <c r="AEX1" s="1380" t="str">
        <f>AEO1</f>
        <v>ENTRADA DEL MES DE FEBRERO  2023</v>
      </c>
      <c r="AEY1" s="1380"/>
      <c r="AEZ1" s="1380"/>
      <c r="AFA1" s="1380"/>
      <c r="AFB1" s="1380"/>
      <c r="AFC1" s="1380"/>
      <c r="AFD1" s="1380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3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3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3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3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3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3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3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3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3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3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3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I4" s="1195" t="s">
        <v>586</v>
      </c>
      <c r="IJ4" s="1196">
        <v>44951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993" t="s">
        <v>121</v>
      </c>
      <c r="L5" s="951" t="s">
        <v>122</v>
      </c>
      <c r="M5" s="652" t="s">
        <v>296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297</v>
      </c>
      <c r="V5" s="943" t="s">
        <v>122</v>
      </c>
      <c r="W5" s="646" t="s">
        <v>298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211</v>
      </c>
      <c r="AF5" s="944" t="s">
        <v>212</v>
      </c>
      <c r="AG5" s="646" t="s">
        <v>299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121</v>
      </c>
      <c r="AP5" s="943" t="s">
        <v>122</v>
      </c>
      <c r="AQ5" s="651" t="s">
        <v>300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211</v>
      </c>
      <c r="AZ5" s="944" t="s">
        <v>212</v>
      </c>
      <c r="BA5" s="651" t="s">
        <v>301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382" t="s">
        <v>121</v>
      </c>
      <c r="BJ5" s="994" t="s">
        <v>122</v>
      </c>
      <c r="BK5" s="651" t="s">
        <v>302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995" t="s">
        <v>121</v>
      </c>
      <c r="BT5" s="950" t="s">
        <v>122</v>
      </c>
      <c r="BU5" s="651" t="s">
        <v>303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121</v>
      </c>
      <c r="CD5" s="770" t="s">
        <v>122</v>
      </c>
      <c r="CE5" s="651" t="s">
        <v>304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996" t="s">
        <v>121</v>
      </c>
      <c r="CN5" s="951" t="s">
        <v>122</v>
      </c>
      <c r="CO5" s="646" t="s">
        <v>305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211</v>
      </c>
      <c r="CX5" s="944" t="s">
        <v>212</v>
      </c>
      <c r="CY5" s="646" t="s">
        <v>306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211</v>
      </c>
      <c r="DH5" s="954" t="s">
        <v>212</v>
      </c>
      <c r="DI5" s="651" t="s">
        <v>307</v>
      </c>
      <c r="DJ5" s="647">
        <v>44966</v>
      </c>
      <c r="DK5" s="648">
        <v>18401.43</v>
      </c>
      <c r="DL5" s="645">
        <v>20</v>
      </c>
      <c r="DM5" s="517">
        <v>18472.009999999998</v>
      </c>
      <c r="DN5" s="135">
        <f>DK5-DM5</f>
        <v>-70.579999999998108</v>
      </c>
      <c r="DO5" s="384"/>
      <c r="DQ5" s="659" t="s">
        <v>121</v>
      </c>
      <c r="DR5" s="951" t="s">
        <v>122</v>
      </c>
      <c r="DS5" s="651" t="s">
        <v>308</v>
      </c>
      <c r="DT5" s="647">
        <v>44966</v>
      </c>
      <c r="DU5" s="648">
        <v>18947.21</v>
      </c>
      <c r="DV5" s="645">
        <v>21</v>
      </c>
      <c r="DW5" s="1166">
        <v>19223.599999999999</v>
      </c>
      <c r="DX5" s="135">
        <f>DU5-DW5</f>
        <v>-276.38999999999942</v>
      </c>
      <c r="DY5" s="237"/>
      <c r="EA5" s="650" t="s">
        <v>121</v>
      </c>
      <c r="EB5" s="994" t="s">
        <v>122</v>
      </c>
      <c r="EC5" s="651" t="s">
        <v>312</v>
      </c>
      <c r="ED5" s="647">
        <v>44967</v>
      </c>
      <c r="EE5" s="648">
        <v>18836.939999999999</v>
      </c>
      <c r="EF5" s="645">
        <v>21</v>
      </c>
      <c r="EG5" s="517">
        <v>18958.099999999999</v>
      </c>
      <c r="EH5" s="135">
        <f>EE5-EG5</f>
        <v>-121.15999999999985</v>
      </c>
      <c r="EI5" s="384"/>
      <c r="EJ5" s="75" t="s">
        <v>49</v>
      </c>
      <c r="EK5" s="650" t="s">
        <v>121</v>
      </c>
      <c r="EL5" s="994" t="s">
        <v>122</v>
      </c>
      <c r="EM5" s="651" t="s">
        <v>315</v>
      </c>
      <c r="EN5" s="647">
        <v>44971</v>
      </c>
      <c r="EO5" s="648">
        <v>18830.18</v>
      </c>
      <c r="EP5" s="645">
        <v>21</v>
      </c>
      <c r="EQ5" s="517">
        <v>18839.3</v>
      </c>
      <c r="ER5" s="135">
        <f>EO5-EQ5</f>
        <v>-9.1199999999989814</v>
      </c>
      <c r="ES5" s="384"/>
      <c r="ET5" s="75" t="s">
        <v>49</v>
      </c>
      <c r="EU5" s="644" t="s">
        <v>121</v>
      </c>
      <c r="EV5" s="994" t="s">
        <v>122</v>
      </c>
      <c r="EW5" s="646" t="s">
        <v>316</v>
      </c>
      <c r="EX5" s="647">
        <v>44971</v>
      </c>
      <c r="EY5" s="648">
        <v>18953.86</v>
      </c>
      <c r="EZ5" s="645">
        <v>21</v>
      </c>
      <c r="FA5" s="1161">
        <v>18943.7</v>
      </c>
      <c r="FB5" s="135">
        <f>EY5-FA5</f>
        <v>10.159999999999854</v>
      </c>
      <c r="FC5" s="384"/>
      <c r="FE5" s="650" t="s">
        <v>121</v>
      </c>
      <c r="FF5" s="943" t="s">
        <v>122</v>
      </c>
      <c r="FG5" s="651" t="s">
        <v>392</v>
      </c>
      <c r="FH5" s="647">
        <v>44973</v>
      </c>
      <c r="FI5" s="648">
        <v>18821.02</v>
      </c>
      <c r="FJ5" s="645">
        <v>21</v>
      </c>
      <c r="FK5" s="1161">
        <v>18900.400000000001</v>
      </c>
      <c r="FL5" s="135">
        <f>FI5-FK5</f>
        <v>-79.380000000001019</v>
      </c>
      <c r="FM5" s="384"/>
      <c r="FO5" s="659" t="s">
        <v>211</v>
      </c>
      <c r="FP5" s="944" t="s">
        <v>212</v>
      </c>
      <c r="FQ5" s="651" t="s">
        <v>393</v>
      </c>
      <c r="FR5" s="647">
        <v>44973</v>
      </c>
      <c r="FS5" s="648">
        <v>18909.439999999999</v>
      </c>
      <c r="FT5" s="645">
        <v>20</v>
      </c>
      <c r="FU5" s="517">
        <v>18858.04</v>
      </c>
      <c r="FV5" s="135">
        <f>FS5-FU5</f>
        <v>51.399999999997817</v>
      </c>
      <c r="FW5" s="384"/>
      <c r="FY5" s="708" t="s">
        <v>121</v>
      </c>
      <c r="FZ5" s="943" t="s">
        <v>122</v>
      </c>
      <c r="GA5" s="651" t="s">
        <v>412</v>
      </c>
      <c r="GB5" s="649">
        <v>44978</v>
      </c>
      <c r="GC5" s="648">
        <v>18031.54</v>
      </c>
      <c r="GD5" s="645">
        <v>20</v>
      </c>
      <c r="GE5" s="517">
        <v>18095.599999999999</v>
      </c>
      <c r="GF5" s="135">
        <f>GC5-GE5</f>
        <v>-64.059999999997672</v>
      </c>
      <c r="GG5" s="384"/>
      <c r="GI5" s="1089" t="s">
        <v>121</v>
      </c>
      <c r="GJ5" s="943" t="s">
        <v>122</v>
      </c>
      <c r="GK5" s="645" t="s">
        <v>413</v>
      </c>
      <c r="GL5" s="649">
        <v>44978</v>
      </c>
      <c r="GM5" s="648">
        <v>19055.490000000002</v>
      </c>
      <c r="GN5" s="645">
        <v>21</v>
      </c>
      <c r="GO5" s="517">
        <v>19096.900000000001</v>
      </c>
      <c r="GP5" s="135">
        <f>GM5-GO5</f>
        <v>-41.409999999999854</v>
      </c>
      <c r="GQ5" s="384"/>
      <c r="GS5" s="1088" t="s">
        <v>211</v>
      </c>
      <c r="GT5" s="944" t="s">
        <v>212</v>
      </c>
      <c r="GU5" s="651" t="s">
        <v>414</v>
      </c>
      <c r="GV5" s="649">
        <v>44978</v>
      </c>
      <c r="GW5" s="648">
        <v>18816.66</v>
      </c>
      <c r="GX5" s="645">
        <v>20</v>
      </c>
      <c r="GY5" s="517">
        <v>18900.62</v>
      </c>
      <c r="GZ5" s="135">
        <f>GW5-GY5</f>
        <v>-83.959999999999127</v>
      </c>
      <c r="HA5" s="384"/>
      <c r="HC5" s="650" t="s">
        <v>211</v>
      </c>
      <c r="HD5" s="944" t="s">
        <v>212</v>
      </c>
      <c r="HE5" s="651" t="s">
        <v>415</v>
      </c>
      <c r="HF5" s="647">
        <v>44979</v>
      </c>
      <c r="HG5" s="648">
        <v>18021.55</v>
      </c>
      <c r="HH5" s="645">
        <v>20</v>
      </c>
      <c r="HI5" s="1161">
        <v>18170.34</v>
      </c>
      <c r="HJ5" s="135">
        <f>HG5-HI5</f>
        <v>-148.79000000000087</v>
      </c>
      <c r="HK5" s="384"/>
      <c r="HM5" s="1089" t="s">
        <v>121</v>
      </c>
      <c r="HN5" s="943" t="s">
        <v>122</v>
      </c>
      <c r="HO5" s="651" t="s">
        <v>416</v>
      </c>
      <c r="HP5" s="647">
        <v>44980</v>
      </c>
      <c r="HQ5" s="648">
        <v>19108.12</v>
      </c>
      <c r="HR5" s="645">
        <v>21</v>
      </c>
      <c r="HS5" s="517">
        <v>19168.3</v>
      </c>
      <c r="HT5" s="135">
        <f>HQ5-HS5</f>
        <v>-60.180000000000291</v>
      </c>
      <c r="HU5" s="384"/>
      <c r="HW5" s="1382" t="s">
        <v>121</v>
      </c>
      <c r="HX5" s="943" t="s">
        <v>122</v>
      </c>
      <c r="HY5" s="651" t="s">
        <v>417</v>
      </c>
      <c r="HZ5" s="647">
        <v>44981</v>
      </c>
      <c r="IA5" s="648">
        <v>19071.599999999999</v>
      </c>
      <c r="IB5" s="645">
        <v>21</v>
      </c>
      <c r="IC5" s="517">
        <v>19108.900000000001</v>
      </c>
      <c r="ID5" s="135">
        <f>IA5-IC5</f>
        <v>-37.30000000000291</v>
      </c>
      <c r="IE5" s="384"/>
      <c r="IG5" s="644" t="s">
        <v>211</v>
      </c>
      <c r="IH5" s="944" t="s">
        <v>212</v>
      </c>
      <c r="II5" s="646" t="s">
        <v>395</v>
      </c>
      <c r="IJ5" s="1194">
        <v>44972</v>
      </c>
      <c r="IK5" s="648">
        <v>18755.91</v>
      </c>
      <c r="IL5" s="645">
        <v>20</v>
      </c>
      <c r="IM5" s="517">
        <v>18833.02</v>
      </c>
      <c r="IN5" s="135">
        <f>IK5-IM5</f>
        <v>-77.110000000000582</v>
      </c>
      <c r="IO5" s="384"/>
      <c r="IQ5" s="644" t="s">
        <v>121</v>
      </c>
      <c r="IR5" s="943" t="s">
        <v>122</v>
      </c>
      <c r="IS5" s="646" t="s">
        <v>439</v>
      </c>
      <c r="IT5" s="647">
        <v>44985</v>
      </c>
      <c r="IU5" s="648">
        <v>18707.12</v>
      </c>
      <c r="IV5" s="645">
        <v>21</v>
      </c>
      <c r="IW5" s="517">
        <v>18612.7</v>
      </c>
      <c r="IX5" s="135">
        <f>IU5-IW5</f>
        <v>94.419999999998254</v>
      </c>
      <c r="IY5" s="384"/>
      <c r="JA5" s="650" t="s">
        <v>211</v>
      </c>
      <c r="JB5" s="944" t="s">
        <v>212</v>
      </c>
      <c r="JC5" s="646" t="s">
        <v>676</v>
      </c>
      <c r="JD5" s="647">
        <v>44987</v>
      </c>
      <c r="JE5" s="648">
        <v>18647</v>
      </c>
      <c r="JF5" s="645">
        <v>20</v>
      </c>
      <c r="JG5" s="517">
        <v>18654.68</v>
      </c>
      <c r="JH5" s="135">
        <f>JE5-JG5</f>
        <v>-7.680000000000291</v>
      </c>
      <c r="JI5" s="384"/>
      <c r="JK5" s="1384" t="s">
        <v>677</v>
      </c>
      <c r="JL5" s="1203" t="s">
        <v>122</v>
      </c>
      <c r="JM5" s="651" t="s">
        <v>678</v>
      </c>
      <c r="JN5" s="647">
        <v>44987</v>
      </c>
      <c r="JO5" s="648">
        <v>19047.03</v>
      </c>
      <c r="JP5" s="645">
        <v>21</v>
      </c>
      <c r="JQ5" s="1161">
        <v>19005.3</v>
      </c>
      <c r="JR5" s="135">
        <f>JO5-JQ5</f>
        <v>41.729999999999563</v>
      </c>
      <c r="JS5" s="384"/>
      <c r="JU5" s="644" t="s">
        <v>121</v>
      </c>
      <c r="JV5" s="943" t="s">
        <v>122</v>
      </c>
      <c r="JW5" s="646" t="s">
        <v>679</v>
      </c>
      <c r="JX5" s="647">
        <v>44988</v>
      </c>
      <c r="JY5" s="648">
        <v>19014.04</v>
      </c>
      <c r="JZ5" s="645">
        <v>21</v>
      </c>
      <c r="KA5" s="517">
        <v>19010</v>
      </c>
      <c r="KB5" s="135">
        <f>JY5-KA5</f>
        <v>4.0400000000008731</v>
      </c>
      <c r="KC5" s="384"/>
      <c r="KE5" s="1383" t="s">
        <v>211</v>
      </c>
      <c r="KF5" s="944" t="s">
        <v>212</v>
      </c>
      <c r="KG5" s="646" t="s">
        <v>684</v>
      </c>
      <c r="KH5" s="647">
        <v>44989</v>
      </c>
      <c r="KI5" s="648">
        <v>18761.87</v>
      </c>
      <c r="KJ5" s="645">
        <v>20</v>
      </c>
      <c r="KK5" s="517">
        <v>18807.21</v>
      </c>
      <c r="KL5" s="135">
        <f>KI5-KK5</f>
        <v>-45.340000000000146</v>
      </c>
      <c r="KM5" s="384"/>
      <c r="KO5" s="644" t="s">
        <v>121</v>
      </c>
      <c r="KP5" s="1479" t="s">
        <v>122</v>
      </c>
      <c r="KQ5" s="1480" t="s">
        <v>753</v>
      </c>
      <c r="KR5" s="1196">
        <v>44978</v>
      </c>
      <c r="KS5" s="1481">
        <v>18858.419999999998</v>
      </c>
      <c r="KT5" s="1479">
        <v>21</v>
      </c>
      <c r="KU5" s="1482">
        <v>18500</v>
      </c>
      <c r="KV5" s="135">
        <f>KS5-KU5</f>
        <v>358.41999999999825</v>
      </c>
      <c r="KW5" s="384"/>
      <c r="KY5" s="644"/>
      <c r="KZ5" s="645"/>
      <c r="LA5" s="646"/>
      <c r="LB5" s="649"/>
      <c r="LC5" s="648"/>
      <c r="LD5" s="645"/>
      <c r="LE5" s="867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67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67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67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67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67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67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67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67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67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67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67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67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67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67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67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67"/>
      <c r="RK5" s="135">
        <f>RH5-RJ5</f>
        <v>0</v>
      </c>
      <c r="RL5" s="135"/>
      <c r="RN5" s="650"/>
      <c r="RO5" s="870"/>
      <c r="RP5" s="652"/>
      <c r="RQ5" s="649"/>
      <c r="RR5" s="648"/>
      <c r="RS5" s="645"/>
      <c r="RT5" s="867"/>
      <c r="RU5" s="135">
        <f>RR5-RT5</f>
        <v>0</v>
      </c>
      <c r="RV5" s="135"/>
      <c r="RX5" s="650"/>
      <c r="RY5" s="870"/>
      <c r="RZ5" s="652"/>
      <c r="SA5" s="647"/>
      <c r="SB5" s="648"/>
      <c r="SC5" s="645"/>
      <c r="SD5" s="867"/>
      <c r="SE5" s="135">
        <f>SB5-SD5</f>
        <v>0</v>
      </c>
      <c r="SF5" s="135"/>
      <c r="SH5" s="650"/>
      <c r="SI5" s="870"/>
      <c r="SJ5" s="652"/>
      <c r="SK5" s="647"/>
      <c r="SL5" s="648"/>
      <c r="SM5" s="645"/>
      <c r="SN5" s="867"/>
      <c r="SO5" s="135">
        <f>SL5-SN5</f>
        <v>0</v>
      </c>
      <c r="SP5" s="135"/>
      <c r="SR5" s="872"/>
      <c r="SS5" s="870"/>
      <c r="ST5" s="652"/>
      <c r="SU5" s="647"/>
      <c r="SV5" s="648"/>
      <c r="SW5" s="645"/>
      <c r="SX5" s="867"/>
      <c r="SY5" s="135">
        <f>SV5-SX5</f>
        <v>0</v>
      </c>
      <c r="SZ5" s="135"/>
      <c r="TB5" s="872"/>
      <c r="TC5" s="870"/>
      <c r="TD5" s="652"/>
      <c r="TE5" s="647"/>
      <c r="TF5" s="648"/>
      <c r="TG5" s="645"/>
      <c r="TH5" s="867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68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382"/>
      <c r="BJ6" s="653"/>
      <c r="BK6" s="650"/>
      <c r="BL6" s="650"/>
      <c r="BM6" s="650"/>
      <c r="BN6" s="650"/>
      <c r="BO6" s="645"/>
      <c r="BQ6" s="237"/>
      <c r="BS6" s="995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996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3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3"/>
      <c r="EV6" s="654"/>
      <c r="EW6" s="650"/>
      <c r="EX6" s="650"/>
      <c r="EY6" s="650"/>
      <c r="EZ6" s="650"/>
      <c r="FA6" s="645"/>
      <c r="FC6" s="237"/>
      <c r="FE6" s="773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09"/>
      <c r="FZ6" s="710"/>
      <c r="GA6" s="650"/>
      <c r="GB6" s="650"/>
      <c r="GC6" s="650"/>
      <c r="GD6" s="650"/>
      <c r="GE6" s="645"/>
      <c r="GG6" s="237"/>
      <c r="GI6" s="1089"/>
      <c r="GJ6" s="660"/>
      <c r="GK6" s="650"/>
      <c r="GL6" s="650"/>
      <c r="GM6" s="650"/>
      <c r="GN6" s="650"/>
      <c r="GO6" s="645"/>
      <c r="GQ6" s="237"/>
      <c r="GS6" s="1088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089"/>
      <c r="HN6" s="650"/>
      <c r="HO6" s="650"/>
      <c r="HP6" s="650"/>
      <c r="HQ6" s="650"/>
      <c r="HR6" s="650"/>
      <c r="HS6" s="645"/>
      <c r="HU6" s="237"/>
      <c r="HW6" s="1382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384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383"/>
      <c r="KF6" s="654"/>
      <c r="KG6" s="650"/>
      <c r="KH6" s="650"/>
      <c r="KI6" s="650"/>
      <c r="KJ6" s="650"/>
      <c r="KK6" s="645"/>
      <c r="KM6" s="237"/>
      <c r="KO6" s="1483" t="s">
        <v>754</v>
      </c>
      <c r="KP6" s="654"/>
      <c r="KQ6" s="650"/>
      <c r="KR6" s="650"/>
      <c r="KS6" s="650"/>
      <c r="KT6" s="650"/>
      <c r="KU6" s="645"/>
      <c r="KW6" s="237"/>
      <c r="KY6" s="644"/>
      <c r="KZ6" s="868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1"/>
      <c r="OL6" s="654"/>
      <c r="OM6" s="650"/>
      <c r="ON6" s="650"/>
      <c r="OO6" s="650"/>
      <c r="OP6" s="650"/>
      <c r="OQ6" s="645"/>
      <c r="OU6" s="871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1"/>
      <c r="QA6" s="650"/>
      <c r="QB6" s="650"/>
      <c r="QC6" s="650"/>
      <c r="QD6" s="650"/>
      <c r="QE6" s="650"/>
      <c r="QF6" s="645"/>
      <c r="QJ6" s="650"/>
      <c r="QK6" s="773"/>
      <c r="QL6" s="650"/>
      <c r="QM6" s="650"/>
      <c r="QN6" s="650"/>
      <c r="QO6" s="650"/>
      <c r="QP6" s="645"/>
      <c r="QT6" s="650"/>
      <c r="QU6" s="773"/>
      <c r="QV6" s="650"/>
      <c r="QW6" s="650"/>
      <c r="QX6" s="650"/>
      <c r="QY6" s="650"/>
      <c r="QZ6" s="645"/>
      <c r="RD6" s="773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O7" s="1483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491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521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496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506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523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529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69" t="s">
        <v>535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540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538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530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>
        <v>44968</v>
      </c>
      <c r="DL8" s="630">
        <v>879.06</v>
      </c>
      <c r="DM8" s="657" t="s">
        <v>451</v>
      </c>
      <c r="DN8" s="658">
        <v>39</v>
      </c>
      <c r="DO8" s="386">
        <f>DN8*DL8</f>
        <v>34283.339999999997</v>
      </c>
      <c r="DQ8" s="61"/>
      <c r="DR8" s="104"/>
      <c r="DS8" s="15">
        <v>1</v>
      </c>
      <c r="DT8" s="92">
        <v>898.1</v>
      </c>
      <c r="DU8" s="283">
        <v>44968</v>
      </c>
      <c r="DV8" s="92">
        <v>898.1</v>
      </c>
      <c r="DW8" s="285" t="s">
        <v>560</v>
      </c>
      <c r="DX8" s="284">
        <v>39</v>
      </c>
      <c r="DY8" s="381">
        <f>DX8*DV8</f>
        <v>35025.9</v>
      </c>
      <c r="EA8" s="61"/>
      <c r="EB8" s="104"/>
      <c r="EC8" s="15">
        <v>1</v>
      </c>
      <c r="ED8" s="92">
        <v>889.9</v>
      </c>
      <c r="EE8" s="246">
        <v>44968</v>
      </c>
      <c r="EF8" s="92">
        <v>889.9</v>
      </c>
      <c r="EG8" s="70" t="s">
        <v>557</v>
      </c>
      <c r="EH8" s="71">
        <v>39</v>
      </c>
      <c r="EI8" s="381">
        <f>EH8*EF8</f>
        <v>34706.1</v>
      </c>
      <c r="EK8" s="61"/>
      <c r="EL8" s="104"/>
      <c r="EM8" s="15">
        <v>1</v>
      </c>
      <c r="EN8" s="92">
        <v>917.2</v>
      </c>
      <c r="EO8" s="246">
        <v>44972</v>
      </c>
      <c r="EP8" s="92">
        <v>917.2</v>
      </c>
      <c r="EQ8" s="70" t="s">
        <v>576</v>
      </c>
      <c r="ER8" s="71">
        <v>39</v>
      </c>
      <c r="ES8" s="381">
        <f>ER8*EP8</f>
        <v>35770.800000000003</v>
      </c>
      <c r="EU8" s="61"/>
      <c r="EV8" s="325"/>
      <c r="EW8" s="15">
        <v>1</v>
      </c>
      <c r="EX8" s="92">
        <v>889.9</v>
      </c>
      <c r="EY8" s="238">
        <v>44974</v>
      </c>
      <c r="EZ8" s="92">
        <v>889.9</v>
      </c>
      <c r="FA8" s="70" t="s">
        <v>596</v>
      </c>
      <c r="FB8" s="71">
        <v>39</v>
      </c>
      <c r="FC8" s="381">
        <f>FB8*EZ8</f>
        <v>34706.1</v>
      </c>
      <c r="FE8" s="61"/>
      <c r="FF8" s="325"/>
      <c r="FG8" s="15">
        <v>1</v>
      </c>
      <c r="FH8" s="92">
        <v>909</v>
      </c>
      <c r="FI8" s="238">
        <v>44975</v>
      </c>
      <c r="FJ8" s="92">
        <v>909</v>
      </c>
      <c r="FK8" s="631" t="s">
        <v>610</v>
      </c>
      <c r="FL8" s="632">
        <v>39</v>
      </c>
      <c r="FM8" s="237">
        <f>FL8*FJ8</f>
        <v>35451</v>
      </c>
      <c r="FO8" s="61"/>
      <c r="FP8" s="104"/>
      <c r="FQ8" s="15">
        <v>1</v>
      </c>
      <c r="FR8" s="630">
        <v>942.11</v>
      </c>
      <c r="FS8" s="238">
        <v>44974</v>
      </c>
      <c r="FT8" s="92">
        <v>942.11</v>
      </c>
      <c r="FU8" s="70" t="s">
        <v>601</v>
      </c>
      <c r="FV8" s="71">
        <v>39</v>
      </c>
      <c r="FW8" s="381">
        <f>FV8*FT8</f>
        <v>36742.29</v>
      </c>
      <c r="FY8" s="61"/>
      <c r="FZ8" s="104"/>
      <c r="GA8" s="15">
        <v>1</v>
      </c>
      <c r="GB8" s="345">
        <v>893.1</v>
      </c>
      <c r="GC8" s="238">
        <v>44980</v>
      </c>
      <c r="GD8" s="345">
        <v>893.1</v>
      </c>
      <c r="GE8" s="95" t="s">
        <v>639</v>
      </c>
      <c r="GF8" s="71">
        <v>40</v>
      </c>
      <c r="GG8" s="381">
        <f>GF8*GD8</f>
        <v>35724</v>
      </c>
      <c r="GI8" s="61"/>
      <c r="GJ8" s="104"/>
      <c r="GK8" s="15">
        <v>1</v>
      </c>
      <c r="GL8" s="92">
        <v>870.4</v>
      </c>
      <c r="GM8" s="238">
        <v>44978</v>
      </c>
      <c r="GN8" s="92">
        <v>870.4</v>
      </c>
      <c r="GO8" s="95" t="s">
        <v>616</v>
      </c>
      <c r="GP8" s="71">
        <v>39</v>
      </c>
      <c r="GQ8" s="381">
        <f>GP8*GN8</f>
        <v>33945.599999999999</v>
      </c>
      <c r="GS8" s="61"/>
      <c r="GT8" s="104"/>
      <c r="GU8" s="15">
        <v>1</v>
      </c>
      <c r="GV8" s="92">
        <v>919.43</v>
      </c>
      <c r="GW8" s="238">
        <v>44980</v>
      </c>
      <c r="GX8" s="92">
        <v>919.43</v>
      </c>
      <c r="GY8" s="95" t="s">
        <v>634</v>
      </c>
      <c r="GZ8" s="71">
        <v>40</v>
      </c>
      <c r="HA8" s="381">
        <f>GZ8*GX8</f>
        <v>36777.199999999997</v>
      </c>
      <c r="HC8" s="61"/>
      <c r="HD8" s="104"/>
      <c r="HE8" s="15">
        <v>1</v>
      </c>
      <c r="HF8" s="92">
        <v>915.8</v>
      </c>
      <c r="HG8" s="238">
        <v>44981</v>
      </c>
      <c r="HH8" s="92">
        <v>915.8</v>
      </c>
      <c r="HI8" s="286" t="s">
        <v>650</v>
      </c>
      <c r="HJ8" s="71">
        <v>40</v>
      </c>
      <c r="HK8" s="381">
        <f>HJ8*HH8</f>
        <v>36632</v>
      </c>
      <c r="HM8" s="61"/>
      <c r="HN8" s="104"/>
      <c r="HO8" s="15">
        <v>1</v>
      </c>
      <c r="HP8" s="92">
        <v>929</v>
      </c>
      <c r="HQ8" s="246">
        <v>44982</v>
      </c>
      <c r="HR8" s="92">
        <v>929</v>
      </c>
      <c r="HS8" s="70" t="s">
        <v>660</v>
      </c>
      <c r="HT8" s="71">
        <v>40</v>
      </c>
      <c r="HU8" s="381">
        <f t="shared" ref="HU8:HU28" si="6">HT8*HR8</f>
        <v>37160</v>
      </c>
      <c r="HW8" s="61"/>
      <c r="HX8" s="104"/>
      <c r="HY8" s="15">
        <v>1</v>
      </c>
      <c r="HZ8" s="92">
        <v>910.8</v>
      </c>
      <c r="IA8" s="246">
        <v>44981</v>
      </c>
      <c r="IB8" s="69">
        <v>910.8</v>
      </c>
      <c r="IC8" s="70" t="s">
        <v>648</v>
      </c>
      <c r="ID8" s="71">
        <v>40</v>
      </c>
      <c r="IE8" s="381">
        <f>ID8*IB8</f>
        <v>36432</v>
      </c>
      <c r="IG8" s="61"/>
      <c r="IH8" s="104"/>
      <c r="II8" s="15">
        <v>1</v>
      </c>
      <c r="IJ8" s="92">
        <v>955.26</v>
      </c>
      <c r="IK8" s="246">
        <v>44973</v>
      </c>
      <c r="IL8" s="92">
        <v>955.26</v>
      </c>
      <c r="IM8" s="70" t="s">
        <v>591</v>
      </c>
      <c r="IN8" s="71">
        <v>39</v>
      </c>
      <c r="IO8" s="237">
        <f>IN8*IL8</f>
        <v>37255.14</v>
      </c>
      <c r="IQ8" s="61"/>
      <c r="IR8" s="104"/>
      <c r="IS8" s="15">
        <v>1</v>
      </c>
      <c r="IT8" s="92">
        <v>880.9</v>
      </c>
      <c r="IU8" s="246">
        <v>44985</v>
      </c>
      <c r="IV8" s="92">
        <v>880.9</v>
      </c>
      <c r="IW8" s="70" t="s">
        <v>667</v>
      </c>
      <c r="IX8" s="71">
        <v>42</v>
      </c>
      <c r="IY8" s="237">
        <f>IX8*IV8</f>
        <v>36997.799999999996</v>
      </c>
      <c r="IZ8" s="92"/>
      <c r="JA8" s="61"/>
      <c r="JB8" s="104"/>
      <c r="JC8" s="15">
        <v>1</v>
      </c>
      <c r="JD8" s="92">
        <v>918.97</v>
      </c>
      <c r="JE8" s="246">
        <v>44987</v>
      </c>
      <c r="JF8" s="92">
        <v>918.97</v>
      </c>
      <c r="JG8" s="70" t="s">
        <v>704</v>
      </c>
      <c r="JH8" s="71">
        <v>42</v>
      </c>
      <c r="JI8" s="381">
        <f>JH8*JF8</f>
        <v>38596.74</v>
      </c>
      <c r="JJ8" s="69"/>
      <c r="JK8" s="61"/>
      <c r="JL8" s="287"/>
      <c r="JM8" s="15">
        <v>1</v>
      </c>
      <c r="JN8" s="92">
        <v>934.4</v>
      </c>
      <c r="JO8" s="238">
        <v>44987</v>
      </c>
      <c r="JP8" s="92">
        <v>934.4</v>
      </c>
      <c r="JQ8" s="70" t="s">
        <v>706</v>
      </c>
      <c r="JR8" s="71">
        <v>42</v>
      </c>
      <c r="JS8" s="381">
        <f>JR8*JP8</f>
        <v>39244.799999999996</v>
      </c>
      <c r="JU8" s="61"/>
      <c r="JV8" s="104"/>
      <c r="JW8" s="15">
        <v>1</v>
      </c>
      <c r="JX8" s="92">
        <v>931.7</v>
      </c>
      <c r="JY8" s="246">
        <v>44988</v>
      </c>
      <c r="JZ8" s="92">
        <v>931.7</v>
      </c>
      <c r="KA8" s="70" t="s">
        <v>717</v>
      </c>
      <c r="KB8" s="71">
        <v>42</v>
      </c>
      <c r="KC8" s="381">
        <f>KB8*JZ8</f>
        <v>39131.4</v>
      </c>
      <c r="KE8" s="61"/>
      <c r="KF8" s="104"/>
      <c r="KG8" s="15">
        <v>1</v>
      </c>
      <c r="KH8" s="92">
        <v>920.33</v>
      </c>
      <c r="KI8" s="246">
        <v>44989</v>
      </c>
      <c r="KJ8" s="92">
        <v>920.33</v>
      </c>
      <c r="KK8" s="70" t="s">
        <v>726</v>
      </c>
      <c r="KL8" s="71">
        <v>42</v>
      </c>
      <c r="KM8" s="381">
        <f>KL8*KJ8</f>
        <v>38653.86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491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510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496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506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520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529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69" t="s">
        <v>535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540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538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530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>
        <v>44967</v>
      </c>
      <c r="DL9" s="630">
        <v>970.68</v>
      </c>
      <c r="DM9" s="657" t="s">
        <v>556</v>
      </c>
      <c r="DN9" s="658">
        <v>39</v>
      </c>
      <c r="DO9" s="386">
        <f t="shared" ref="DO9:DO29" si="16">DN9*DL9</f>
        <v>37856.519999999997</v>
      </c>
      <c r="DR9" s="94"/>
      <c r="DS9" s="15">
        <v>2</v>
      </c>
      <c r="DT9" s="92">
        <v>895.4</v>
      </c>
      <c r="DU9" s="283">
        <v>44968</v>
      </c>
      <c r="DV9" s="92">
        <v>895.4</v>
      </c>
      <c r="DW9" s="285" t="s">
        <v>560</v>
      </c>
      <c r="DX9" s="284">
        <v>39</v>
      </c>
      <c r="DY9" s="381">
        <f t="shared" ref="DY9:DY29" si="17">DX9*DV9</f>
        <v>34920.6</v>
      </c>
      <c r="EB9" s="94"/>
      <c r="EC9" s="15">
        <v>2</v>
      </c>
      <c r="ED9" s="69">
        <v>885.4</v>
      </c>
      <c r="EE9" s="246">
        <v>44968</v>
      </c>
      <c r="EF9" s="69">
        <v>885.4</v>
      </c>
      <c r="EG9" s="70" t="s">
        <v>557</v>
      </c>
      <c r="EH9" s="71">
        <v>39</v>
      </c>
      <c r="EI9" s="381">
        <f t="shared" ref="EI9:EI28" si="18">EH9*EF9</f>
        <v>34530.6</v>
      </c>
      <c r="EL9" s="94"/>
      <c r="EM9" s="15">
        <v>2</v>
      </c>
      <c r="EN9" s="69">
        <v>869.1</v>
      </c>
      <c r="EO9" s="246">
        <v>44972</v>
      </c>
      <c r="EP9" s="69">
        <v>869.1</v>
      </c>
      <c r="EQ9" s="70" t="s">
        <v>576</v>
      </c>
      <c r="ER9" s="71">
        <v>39</v>
      </c>
      <c r="ES9" s="381">
        <f t="shared" ref="ES9:ES28" si="19">ER9*EP9</f>
        <v>33894.9</v>
      </c>
      <c r="EV9" s="325"/>
      <c r="EW9" s="15">
        <v>2</v>
      </c>
      <c r="EX9" s="92">
        <v>925.3</v>
      </c>
      <c r="EY9" s="238">
        <v>44974</v>
      </c>
      <c r="EZ9" s="92">
        <v>925.3</v>
      </c>
      <c r="FA9" s="70" t="s">
        <v>596</v>
      </c>
      <c r="FB9" s="71">
        <v>39</v>
      </c>
      <c r="FC9" s="381">
        <f t="shared" ref="FC9:FC29" si="20">FB9*EZ9</f>
        <v>36086.699999999997</v>
      </c>
      <c r="FF9" s="325"/>
      <c r="FG9" s="15">
        <v>2</v>
      </c>
      <c r="FH9" s="92">
        <v>872.7</v>
      </c>
      <c r="FI9" s="238">
        <v>44975</v>
      </c>
      <c r="FJ9" s="92">
        <v>872.7</v>
      </c>
      <c r="FK9" s="631" t="s">
        <v>604</v>
      </c>
      <c r="FL9" s="632">
        <v>39</v>
      </c>
      <c r="FM9" s="237">
        <f t="shared" ref="FM9:FM29" si="21">FL9*FJ9</f>
        <v>34035.300000000003</v>
      </c>
      <c r="FP9" s="94" t="s">
        <v>41</v>
      </c>
      <c r="FQ9" s="15">
        <v>2</v>
      </c>
      <c r="FR9" s="630">
        <v>927.19</v>
      </c>
      <c r="FS9" s="238">
        <v>44974</v>
      </c>
      <c r="FT9" s="92">
        <v>927.19</v>
      </c>
      <c r="FU9" s="70" t="s">
        <v>601</v>
      </c>
      <c r="FV9" s="71">
        <v>39</v>
      </c>
      <c r="FW9" s="381">
        <f t="shared" ref="FW9:FW29" si="22">FV9*FT9</f>
        <v>36160.410000000003</v>
      </c>
      <c r="FZ9" s="94"/>
      <c r="GA9" s="15">
        <v>2</v>
      </c>
      <c r="GB9" s="346">
        <v>919.4</v>
      </c>
      <c r="GC9" s="238">
        <v>44980</v>
      </c>
      <c r="GD9" s="346">
        <v>919.4</v>
      </c>
      <c r="GE9" s="95" t="s">
        <v>639</v>
      </c>
      <c r="GF9" s="71">
        <v>40</v>
      </c>
      <c r="GG9" s="381">
        <f t="shared" ref="GG9:GG29" si="23">GF9*GD9</f>
        <v>36776</v>
      </c>
      <c r="GJ9" s="94"/>
      <c r="GK9" s="15">
        <v>2</v>
      </c>
      <c r="GL9" s="103">
        <v>914</v>
      </c>
      <c r="GM9" s="238">
        <v>44978</v>
      </c>
      <c r="GN9" s="103">
        <v>914</v>
      </c>
      <c r="GO9" s="95" t="s">
        <v>616</v>
      </c>
      <c r="GP9" s="71">
        <v>39</v>
      </c>
      <c r="GQ9" s="381">
        <f t="shared" ref="GQ9:GQ28" si="24">GP9*GN9</f>
        <v>35646</v>
      </c>
      <c r="GT9" s="94"/>
      <c r="GU9" s="15">
        <v>2</v>
      </c>
      <c r="GV9" s="92">
        <v>940.29</v>
      </c>
      <c r="GW9" s="238">
        <v>44980</v>
      </c>
      <c r="GX9" s="92">
        <v>940.29</v>
      </c>
      <c r="GY9" s="95" t="s">
        <v>634</v>
      </c>
      <c r="GZ9" s="71">
        <v>40</v>
      </c>
      <c r="HA9" s="381">
        <f t="shared" ref="HA9:HA28" si="25">GZ9*GX9</f>
        <v>37611.599999999999</v>
      </c>
      <c r="HD9" s="94"/>
      <c r="HE9" s="15">
        <v>2</v>
      </c>
      <c r="HF9" s="92">
        <v>884.5</v>
      </c>
      <c r="HG9" s="238">
        <v>44981</v>
      </c>
      <c r="HH9" s="92">
        <v>884.5</v>
      </c>
      <c r="HI9" s="286" t="s">
        <v>652</v>
      </c>
      <c r="HJ9" s="71">
        <v>40</v>
      </c>
      <c r="HK9" s="381">
        <f t="shared" ref="HK9:HK29" si="26">HJ9*HH9</f>
        <v>35380</v>
      </c>
      <c r="HN9" s="104"/>
      <c r="HO9" s="15">
        <v>2</v>
      </c>
      <c r="HP9" s="69">
        <v>913.1</v>
      </c>
      <c r="HQ9" s="246">
        <v>44982</v>
      </c>
      <c r="HR9" s="69">
        <v>913.1</v>
      </c>
      <c r="HS9" s="70" t="s">
        <v>659</v>
      </c>
      <c r="HT9" s="71">
        <v>40</v>
      </c>
      <c r="HU9" s="381">
        <f t="shared" si="6"/>
        <v>36524</v>
      </c>
      <c r="HX9" s="104"/>
      <c r="HY9" s="15">
        <v>2</v>
      </c>
      <c r="HZ9" s="69">
        <v>920.8</v>
      </c>
      <c r="IA9" s="246">
        <v>44981</v>
      </c>
      <c r="IB9" s="69">
        <v>920.8</v>
      </c>
      <c r="IC9" s="70" t="s">
        <v>648</v>
      </c>
      <c r="ID9" s="71">
        <v>40</v>
      </c>
      <c r="IE9" s="381">
        <f t="shared" ref="IE9:IE29" si="27">ID9*IB9</f>
        <v>36832</v>
      </c>
      <c r="IH9" s="94"/>
      <c r="II9" s="15">
        <v>2</v>
      </c>
      <c r="IJ9" s="69">
        <v>970.68</v>
      </c>
      <c r="IK9" s="246">
        <v>44973</v>
      </c>
      <c r="IL9" s="69">
        <v>970.68</v>
      </c>
      <c r="IM9" s="70" t="s">
        <v>588</v>
      </c>
      <c r="IN9" s="71">
        <v>39</v>
      </c>
      <c r="IO9" s="237">
        <f t="shared" ref="IO9:IO29" si="28">IN9*IL9</f>
        <v>37856.519999999997</v>
      </c>
      <c r="IR9" s="94"/>
      <c r="IS9" s="15">
        <v>2</v>
      </c>
      <c r="IT9" s="69">
        <v>870</v>
      </c>
      <c r="IU9" s="246">
        <v>44985</v>
      </c>
      <c r="IV9" s="69">
        <v>870</v>
      </c>
      <c r="IW9" s="70" t="s">
        <v>667</v>
      </c>
      <c r="IX9" s="71">
        <v>42</v>
      </c>
      <c r="IY9" s="237">
        <f t="shared" ref="IY9:IY29" si="29">IX9*IV9</f>
        <v>36540</v>
      </c>
      <c r="IZ9" s="92"/>
      <c r="JA9" s="92"/>
      <c r="JB9" s="94"/>
      <c r="JC9" s="15">
        <v>2</v>
      </c>
      <c r="JD9" s="92">
        <v>934.4</v>
      </c>
      <c r="JE9" s="246">
        <v>44987</v>
      </c>
      <c r="JF9" s="92">
        <v>934.4</v>
      </c>
      <c r="JG9" s="70" t="s">
        <v>704</v>
      </c>
      <c r="JH9" s="71">
        <v>42</v>
      </c>
      <c r="JI9" s="381">
        <f t="shared" ref="JI9:JI29" si="30">JH9*JF9</f>
        <v>39244.799999999996</v>
      </c>
      <c r="JJ9" s="69"/>
      <c r="JL9" s="94"/>
      <c r="JM9" s="15">
        <v>2</v>
      </c>
      <c r="JN9" s="92">
        <v>880.9</v>
      </c>
      <c r="JO9" s="238">
        <v>44987</v>
      </c>
      <c r="JP9" s="92">
        <v>880.9</v>
      </c>
      <c r="JQ9" s="70" t="s">
        <v>706</v>
      </c>
      <c r="JR9" s="71">
        <v>42</v>
      </c>
      <c r="JS9" s="381">
        <f t="shared" ref="JS9:JS27" si="31">JR9*JP9</f>
        <v>36997.799999999996</v>
      </c>
      <c r="JV9" s="104"/>
      <c r="JW9" s="15">
        <v>2</v>
      </c>
      <c r="JX9" s="69">
        <v>890.9</v>
      </c>
      <c r="JY9" s="246">
        <v>44988</v>
      </c>
      <c r="JZ9" s="69">
        <v>890.9</v>
      </c>
      <c r="KA9" s="70" t="s">
        <v>717</v>
      </c>
      <c r="KB9" s="71">
        <v>42</v>
      </c>
      <c r="KC9" s="381">
        <f t="shared" ref="KC9:KC28" si="32">KB9*JZ9</f>
        <v>37417.799999999996</v>
      </c>
      <c r="KF9" s="104"/>
      <c r="KG9" s="15">
        <v>2</v>
      </c>
      <c r="KH9" s="69">
        <v>966.15</v>
      </c>
      <c r="KI9" s="246">
        <v>44989</v>
      </c>
      <c r="KJ9" s="69">
        <v>966.15</v>
      </c>
      <c r="KK9" s="70" t="s">
        <v>726</v>
      </c>
      <c r="KL9" s="71">
        <v>42</v>
      </c>
      <c r="KM9" s="381">
        <f t="shared" ref="KM9:KM28" si="33">KL9*KJ9</f>
        <v>40578.299999999996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491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510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496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506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523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528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69" t="s">
        <v>535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540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538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530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>
        <v>44967</v>
      </c>
      <c r="DL10" s="630">
        <v>890.4</v>
      </c>
      <c r="DM10" s="657" t="s">
        <v>556</v>
      </c>
      <c r="DN10" s="658">
        <v>39</v>
      </c>
      <c r="DO10" s="386">
        <f t="shared" si="16"/>
        <v>34725.599999999999</v>
      </c>
      <c r="DR10" s="94"/>
      <c r="DS10" s="15">
        <v>3</v>
      </c>
      <c r="DT10" s="92">
        <v>938</v>
      </c>
      <c r="DU10" s="283">
        <v>44968</v>
      </c>
      <c r="DV10" s="92">
        <v>938</v>
      </c>
      <c r="DW10" s="285" t="s">
        <v>560</v>
      </c>
      <c r="DX10" s="284">
        <v>39</v>
      </c>
      <c r="DY10" s="381">
        <f t="shared" si="17"/>
        <v>36582</v>
      </c>
      <c r="EB10" s="94"/>
      <c r="EC10" s="15">
        <v>3</v>
      </c>
      <c r="ED10" s="69">
        <v>880</v>
      </c>
      <c r="EE10" s="246">
        <v>44968</v>
      </c>
      <c r="EF10" s="69">
        <v>880</v>
      </c>
      <c r="EG10" s="70" t="s">
        <v>557</v>
      </c>
      <c r="EH10" s="71">
        <v>39</v>
      </c>
      <c r="EI10" s="381">
        <f t="shared" si="18"/>
        <v>34320</v>
      </c>
      <c r="EL10" s="94"/>
      <c r="EM10" s="15">
        <v>3</v>
      </c>
      <c r="EN10" s="69">
        <v>907.2</v>
      </c>
      <c r="EO10" s="246">
        <v>44972</v>
      </c>
      <c r="EP10" s="69">
        <v>907.2</v>
      </c>
      <c r="EQ10" s="70" t="s">
        <v>576</v>
      </c>
      <c r="ER10" s="71">
        <v>39</v>
      </c>
      <c r="ES10" s="381">
        <f t="shared" si="19"/>
        <v>35380.800000000003</v>
      </c>
      <c r="EV10" s="325"/>
      <c r="EW10" s="15">
        <v>3</v>
      </c>
      <c r="EX10" s="92">
        <v>861.8</v>
      </c>
      <c r="EY10" s="238">
        <v>44973</v>
      </c>
      <c r="EZ10" s="92">
        <v>861.8</v>
      </c>
      <c r="FA10" s="70" t="s">
        <v>591</v>
      </c>
      <c r="FB10" s="71">
        <v>39</v>
      </c>
      <c r="FC10" s="381">
        <f t="shared" si="20"/>
        <v>33610.199999999997</v>
      </c>
      <c r="FF10" s="325"/>
      <c r="FG10" s="15">
        <v>3</v>
      </c>
      <c r="FH10" s="92">
        <v>909</v>
      </c>
      <c r="FI10" s="238">
        <v>44975</v>
      </c>
      <c r="FJ10" s="630">
        <v>909</v>
      </c>
      <c r="FK10" s="631" t="s">
        <v>610</v>
      </c>
      <c r="FL10" s="632">
        <v>39</v>
      </c>
      <c r="FM10" s="237">
        <f t="shared" si="21"/>
        <v>35451</v>
      </c>
      <c r="FP10" s="94"/>
      <c r="FQ10" s="15">
        <v>3</v>
      </c>
      <c r="FR10" s="630">
        <v>946.64</v>
      </c>
      <c r="FS10" s="238">
        <v>44975</v>
      </c>
      <c r="FT10" s="92">
        <v>946.64</v>
      </c>
      <c r="FU10" s="70" t="s">
        <v>609</v>
      </c>
      <c r="FV10" s="71">
        <v>39</v>
      </c>
      <c r="FW10" s="381">
        <f t="shared" si="22"/>
        <v>36918.959999999999</v>
      </c>
      <c r="FZ10" s="94"/>
      <c r="GA10" s="15">
        <v>3</v>
      </c>
      <c r="GB10" s="346">
        <v>899.5</v>
      </c>
      <c r="GC10" s="238">
        <v>44980</v>
      </c>
      <c r="GD10" s="346">
        <v>899.5</v>
      </c>
      <c r="GE10" s="95" t="s">
        <v>637</v>
      </c>
      <c r="GF10" s="71">
        <v>40</v>
      </c>
      <c r="GG10" s="381">
        <f t="shared" si="23"/>
        <v>35980</v>
      </c>
      <c r="GJ10" s="94"/>
      <c r="GK10" s="15">
        <v>3</v>
      </c>
      <c r="GL10" s="92">
        <v>938.9</v>
      </c>
      <c r="GM10" s="238">
        <v>44978</v>
      </c>
      <c r="GN10" s="92">
        <v>938.9</v>
      </c>
      <c r="GO10" s="95" t="s">
        <v>616</v>
      </c>
      <c r="GP10" s="71">
        <v>39</v>
      </c>
      <c r="GQ10" s="381">
        <f t="shared" si="24"/>
        <v>36617.1</v>
      </c>
      <c r="GT10" s="94"/>
      <c r="GU10" s="15">
        <v>3</v>
      </c>
      <c r="GV10" s="92">
        <v>936.66</v>
      </c>
      <c r="GW10" s="238">
        <v>44979</v>
      </c>
      <c r="GX10" s="92">
        <v>936.66</v>
      </c>
      <c r="GY10" s="95" t="s">
        <v>631</v>
      </c>
      <c r="GZ10" s="71">
        <v>40</v>
      </c>
      <c r="HA10" s="381">
        <f t="shared" si="25"/>
        <v>37466.400000000001</v>
      </c>
      <c r="HD10" s="94"/>
      <c r="HE10" s="15">
        <v>3</v>
      </c>
      <c r="HF10" s="92">
        <v>884.95</v>
      </c>
      <c r="HG10" s="238">
        <v>44980</v>
      </c>
      <c r="HH10" s="92">
        <v>884.95</v>
      </c>
      <c r="HI10" s="286" t="s">
        <v>646</v>
      </c>
      <c r="HJ10" s="71">
        <v>40</v>
      </c>
      <c r="HK10" s="381">
        <f t="shared" si="26"/>
        <v>35398</v>
      </c>
      <c r="HN10" s="104"/>
      <c r="HO10" s="15">
        <v>3</v>
      </c>
      <c r="HP10" s="69">
        <v>926.7</v>
      </c>
      <c r="HQ10" s="246">
        <v>44982</v>
      </c>
      <c r="HR10" s="69">
        <v>926.7</v>
      </c>
      <c r="HS10" s="70" t="s">
        <v>659</v>
      </c>
      <c r="HT10" s="71">
        <v>40</v>
      </c>
      <c r="HU10" s="381">
        <f t="shared" si="6"/>
        <v>37068</v>
      </c>
      <c r="HX10" s="104"/>
      <c r="HY10" s="15">
        <v>3</v>
      </c>
      <c r="HZ10" s="69">
        <v>934.4</v>
      </c>
      <c r="IA10" s="246">
        <v>44981</v>
      </c>
      <c r="IB10" s="69">
        <v>934.4</v>
      </c>
      <c r="IC10" s="70" t="s">
        <v>648</v>
      </c>
      <c r="ID10" s="71">
        <v>40</v>
      </c>
      <c r="IE10" s="381">
        <f t="shared" si="27"/>
        <v>37376</v>
      </c>
      <c r="IH10" s="94"/>
      <c r="II10" s="15">
        <v>3</v>
      </c>
      <c r="IJ10" s="69">
        <v>952.54</v>
      </c>
      <c r="IK10" s="246">
        <v>44973</v>
      </c>
      <c r="IL10" s="69">
        <v>952.54</v>
      </c>
      <c r="IM10" s="70" t="s">
        <v>587</v>
      </c>
      <c r="IN10" s="71">
        <v>39</v>
      </c>
      <c r="IO10" s="237">
        <f t="shared" si="28"/>
        <v>37149.06</v>
      </c>
      <c r="IR10" s="94"/>
      <c r="IS10" s="15">
        <v>3</v>
      </c>
      <c r="IT10" s="69">
        <v>889</v>
      </c>
      <c r="IU10" s="246">
        <v>44985</v>
      </c>
      <c r="IV10" s="69">
        <v>889</v>
      </c>
      <c r="IW10" s="70" t="s">
        <v>667</v>
      </c>
      <c r="IX10" s="71">
        <v>42</v>
      </c>
      <c r="IY10" s="237">
        <f t="shared" si="29"/>
        <v>37338</v>
      </c>
      <c r="IZ10" s="92"/>
      <c r="JA10" s="69"/>
      <c r="JB10" s="94"/>
      <c r="JC10" s="15">
        <v>3</v>
      </c>
      <c r="JD10" s="92">
        <v>967.96</v>
      </c>
      <c r="JE10" s="246">
        <v>44987</v>
      </c>
      <c r="JF10" s="92">
        <v>967.96</v>
      </c>
      <c r="JG10" s="70" t="s">
        <v>704</v>
      </c>
      <c r="JH10" s="71">
        <v>42</v>
      </c>
      <c r="JI10" s="381">
        <f t="shared" si="30"/>
        <v>40654.32</v>
      </c>
      <c r="JJ10" s="69"/>
      <c r="JL10" s="94"/>
      <c r="JM10" s="15">
        <v>3</v>
      </c>
      <c r="JN10" s="92">
        <v>873.6</v>
      </c>
      <c r="JO10" s="238">
        <v>44987</v>
      </c>
      <c r="JP10" s="92">
        <v>873.6</v>
      </c>
      <c r="JQ10" s="70" t="s">
        <v>706</v>
      </c>
      <c r="JR10" s="71">
        <v>42</v>
      </c>
      <c r="JS10" s="381">
        <f t="shared" si="31"/>
        <v>36691.200000000004</v>
      </c>
      <c r="JV10" s="104"/>
      <c r="JW10" s="15">
        <v>3</v>
      </c>
      <c r="JX10" s="69">
        <v>938</v>
      </c>
      <c r="JY10" s="246">
        <v>44988</v>
      </c>
      <c r="JZ10" s="69">
        <v>938</v>
      </c>
      <c r="KA10" s="70" t="s">
        <v>717</v>
      </c>
      <c r="KB10" s="71">
        <v>42</v>
      </c>
      <c r="KC10" s="381">
        <f t="shared" si="32"/>
        <v>39396</v>
      </c>
      <c r="KF10" s="104"/>
      <c r="KG10" s="15">
        <v>3</v>
      </c>
      <c r="KH10" s="69">
        <v>942.11</v>
      </c>
      <c r="KI10" s="246">
        <v>44989</v>
      </c>
      <c r="KJ10" s="69">
        <v>942.11</v>
      </c>
      <c r="KK10" s="70" t="s">
        <v>726</v>
      </c>
      <c r="KL10" s="71">
        <v>42</v>
      </c>
      <c r="KM10" s="381">
        <f t="shared" si="33"/>
        <v>39568.620000000003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491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521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496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506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523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529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69" t="s">
        <v>535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540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538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530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>
        <v>44968</v>
      </c>
      <c r="DL11" s="630">
        <v>904</v>
      </c>
      <c r="DM11" s="657" t="s">
        <v>451</v>
      </c>
      <c r="DN11" s="658">
        <v>39</v>
      </c>
      <c r="DO11" s="386">
        <f t="shared" si="16"/>
        <v>35256</v>
      </c>
      <c r="DQ11" s="61"/>
      <c r="DR11" s="104"/>
      <c r="DS11" s="15">
        <v>4</v>
      </c>
      <c r="DT11" s="92">
        <v>913.5</v>
      </c>
      <c r="DU11" s="283">
        <v>44968</v>
      </c>
      <c r="DV11" s="92">
        <v>913.5</v>
      </c>
      <c r="DW11" s="285" t="s">
        <v>560</v>
      </c>
      <c r="DX11" s="284">
        <v>39</v>
      </c>
      <c r="DY11" s="381">
        <f t="shared" si="17"/>
        <v>35626.5</v>
      </c>
      <c r="EA11" s="61"/>
      <c r="EB11" s="104"/>
      <c r="EC11" s="15">
        <v>4</v>
      </c>
      <c r="ED11" s="69">
        <v>865.4</v>
      </c>
      <c r="EE11" s="246">
        <v>44968</v>
      </c>
      <c r="EF11" s="69">
        <v>865.4</v>
      </c>
      <c r="EG11" s="70" t="s">
        <v>557</v>
      </c>
      <c r="EH11" s="71">
        <v>39</v>
      </c>
      <c r="EI11" s="381">
        <f t="shared" si="18"/>
        <v>33750.6</v>
      </c>
      <c r="EK11" s="61"/>
      <c r="EL11" s="104"/>
      <c r="EM11" s="15">
        <v>4</v>
      </c>
      <c r="EN11" s="69">
        <v>874.5</v>
      </c>
      <c r="EO11" s="246">
        <v>44972</v>
      </c>
      <c r="EP11" s="69">
        <v>874.5</v>
      </c>
      <c r="EQ11" s="70" t="s">
        <v>576</v>
      </c>
      <c r="ER11" s="71">
        <v>39</v>
      </c>
      <c r="ES11" s="381">
        <f t="shared" si="19"/>
        <v>34105.5</v>
      </c>
      <c r="EU11" s="484"/>
      <c r="EV11" s="325"/>
      <c r="EW11" s="15">
        <v>4</v>
      </c>
      <c r="EX11" s="92">
        <v>940.7</v>
      </c>
      <c r="EY11" s="238">
        <v>44974</v>
      </c>
      <c r="EZ11" s="92">
        <v>940.7</v>
      </c>
      <c r="FA11" s="70" t="s">
        <v>596</v>
      </c>
      <c r="FB11" s="71">
        <v>39</v>
      </c>
      <c r="FC11" s="381">
        <f t="shared" si="20"/>
        <v>36687.300000000003</v>
      </c>
      <c r="FE11" s="61"/>
      <c r="FF11" s="325"/>
      <c r="FG11" s="15">
        <v>4</v>
      </c>
      <c r="FH11" s="92">
        <v>923.5</v>
      </c>
      <c r="FI11" s="238">
        <v>44975</v>
      </c>
      <c r="FJ11" s="92">
        <v>923.5</v>
      </c>
      <c r="FK11" s="631" t="s">
        <v>610</v>
      </c>
      <c r="FL11" s="632">
        <v>39</v>
      </c>
      <c r="FM11" s="237">
        <f t="shared" si="21"/>
        <v>36016.5</v>
      </c>
      <c r="FO11" s="61"/>
      <c r="FP11" s="104"/>
      <c r="FQ11" s="15">
        <v>4</v>
      </c>
      <c r="FR11" s="630">
        <v>924.87</v>
      </c>
      <c r="FS11" s="238">
        <v>44975</v>
      </c>
      <c r="FT11" s="92">
        <v>924.87</v>
      </c>
      <c r="FU11" s="70" t="s">
        <v>609</v>
      </c>
      <c r="FV11" s="71">
        <v>39</v>
      </c>
      <c r="FW11" s="381">
        <f t="shared" si="22"/>
        <v>36069.93</v>
      </c>
      <c r="FY11" s="61"/>
      <c r="FZ11" s="104"/>
      <c r="GA11" s="15">
        <v>4</v>
      </c>
      <c r="GB11" s="346">
        <v>894.9</v>
      </c>
      <c r="GC11" s="238">
        <v>44980</v>
      </c>
      <c r="GD11" s="346">
        <v>894.9</v>
      </c>
      <c r="GE11" s="95" t="s">
        <v>639</v>
      </c>
      <c r="GF11" s="71">
        <v>40</v>
      </c>
      <c r="GG11" s="381">
        <f t="shared" si="23"/>
        <v>35796</v>
      </c>
      <c r="GI11" s="61"/>
      <c r="GJ11" s="104"/>
      <c r="GK11" s="15">
        <v>4</v>
      </c>
      <c r="GL11" s="92">
        <v>939.4</v>
      </c>
      <c r="GM11" s="238">
        <v>44978</v>
      </c>
      <c r="GN11" s="92">
        <v>939.4</v>
      </c>
      <c r="GO11" s="95" t="s">
        <v>616</v>
      </c>
      <c r="GP11" s="71">
        <v>39</v>
      </c>
      <c r="GQ11" s="381">
        <f t="shared" si="24"/>
        <v>36636.6</v>
      </c>
      <c r="GS11" s="61"/>
      <c r="GT11" s="104"/>
      <c r="GU11" s="15">
        <v>4</v>
      </c>
      <c r="GV11" s="92">
        <v>930.31</v>
      </c>
      <c r="GW11" s="238">
        <v>44979</v>
      </c>
      <c r="GX11" s="92">
        <v>930.31</v>
      </c>
      <c r="GY11" s="95" t="s">
        <v>631</v>
      </c>
      <c r="GZ11" s="71">
        <v>40</v>
      </c>
      <c r="HA11" s="381">
        <f t="shared" si="25"/>
        <v>37212.399999999994</v>
      </c>
      <c r="HC11" s="61"/>
      <c r="HD11" s="104"/>
      <c r="HE11" s="15">
        <v>4</v>
      </c>
      <c r="HF11" s="92">
        <v>920.33</v>
      </c>
      <c r="HG11" s="238">
        <v>44981</v>
      </c>
      <c r="HH11" s="92">
        <v>920.33</v>
      </c>
      <c r="HI11" s="286" t="s">
        <v>650</v>
      </c>
      <c r="HJ11" s="71">
        <v>40</v>
      </c>
      <c r="HK11" s="381">
        <f t="shared" si="26"/>
        <v>36813.200000000004</v>
      </c>
      <c r="HM11" s="61"/>
      <c r="HN11" s="104"/>
      <c r="HO11" s="15">
        <v>4</v>
      </c>
      <c r="HP11" s="69">
        <v>910.8</v>
      </c>
      <c r="HQ11" s="246">
        <v>44982</v>
      </c>
      <c r="HR11" s="69">
        <v>910.8</v>
      </c>
      <c r="HS11" s="70" t="s">
        <v>662</v>
      </c>
      <c r="HT11" s="71">
        <v>40</v>
      </c>
      <c r="HU11" s="381">
        <f t="shared" si="6"/>
        <v>36432</v>
      </c>
      <c r="HW11" s="61"/>
      <c r="HX11" s="104"/>
      <c r="HY11" s="15">
        <v>4</v>
      </c>
      <c r="HZ11" s="69">
        <v>935.3</v>
      </c>
      <c r="IA11" s="246">
        <v>44981</v>
      </c>
      <c r="IB11" s="69">
        <v>935.3</v>
      </c>
      <c r="IC11" s="70" t="s">
        <v>648</v>
      </c>
      <c r="ID11" s="71">
        <v>40</v>
      </c>
      <c r="IE11" s="381">
        <f t="shared" si="27"/>
        <v>37412</v>
      </c>
      <c r="IG11" s="61"/>
      <c r="IH11" s="104"/>
      <c r="II11" s="15">
        <v>4</v>
      </c>
      <c r="IJ11" s="69">
        <v>943.47</v>
      </c>
      <c r="IK11" s="246">
        <v>44973</v>
      </c>
      <c r="IL11" s="69">
        <v>943.47</v>
      </c>
      <c r="IM11" s="70" t="s">
        <v>587</v>
      </c>
      <c r="IN11" s="71">
        <v>39</v>
      </c>
      <c r="IO11" s="237">
        <f t="shared" si="28"/>
        <v>36795.33</v>
      </c>
      <c r="IQ11" s="61"/>
      <c r="IR11" s="104"/>
      <c r="IS11" s="15">
        <v>4</v>
      </c>
      <c r="IT11" s="69">
        <v>921.7</v>
      </c>
      <c r="IU11" s="246">
        <v>44985</v>
      </c>
      <c r="IV11" s="69">
        <v>921.7</v>
      </c>
      <c r="IW11" s="70" t="s">
        <v>667</v>
      </c>
      <c r="IX11" s="71">
        <v>42</v>
      </c>
      <c r="IY11" s="237">
        <f t="shared" si="29"/>
        <v>38711.4</v>
      </c>
      <c r="IZ11" s="92"/>
      <c r="JA11" s="69"/>
      <c r="JB11" s="104"/>
      <c r="JC11" s="15">
        <v>4</v>
      </c>
      <c r="JD11" s="92">
        <v>917.51</v>
      </c>
      <c r="JE11" s="246">
        <v>44987</v>
      </c>
      <c r="JF11" s="92">
        <v>917.51</v>
      </c>
      <c r="JG11" s="70" t="s">
        <v>704</v>
      </c>
      <c r="JH11" s="71">
        <v>42</v>
      </c>
      <c r="JI11" s="381">
        <f t="shared" si="30"/>
        <v>38535.42</v>
      </c>
      <c r="JJ11" s="69"/>
      <c r="JK11" s="61"/>
      <c r="JL11" s="104"/>
      <c r="JM11" s="15">
        <v>4</v>
      </c>
      <c r="JN11" s="92">
        <v>906.3</v>
      </c>
      <c r="JO11" s="238">
        <v>44987</v>
      </c>
      <c r="JP11" s="92">
        <v>906.3</v>
      </c>
      <c r="JQ11" s="70" t="s">
        <v>706</v>
      </c>
      <c r="JR11" s="71">
        <v>42</v>
      </c>
      <c r="JS11" s="381">
        <f t="shared" si="31"/>
        <v>38064.6</v>
      </c>
      <c r="JU11" s="61"/>
      <c r="JV11" s="104"/>
      <c r="JW11" s="15">
        <v>4</v>
      </c>
      <c r="JX11" s="69">
        <v>909</v>
      </c>
      <c r="JY11" s="246">
        <v>44988</v>
      </c>
      <c r="JZ11" s="69">
        <v>909</v>
      </c>
      <c r="KA11" s="70" t="s">
        <v>717</v>
      </c>
      <c r="KB11" s="71">
        <v>42</v>
      </c>
      <c r="KC11" s="381">
        <f t="shared" si="32"/>
        <v>38178</v>
      </c>
      <c r="KE11" s="61"/>
      <c r="KF11" s="104"/>
      <c r="KG11" s="15">
        <v>4</v>
      </c>
      <c r="KH11" s="69">
        <v>943.47</v>
      </c>
      <c r="KI11" s="246">
        <v>44989</v>
      </c>
      <c r="KJ11" s="69">
        <v>943.47</v>
      </c>
      <c r="KK11" s="70" t="s">
        <v>726</v>
      </c>
      <c r="KL11" s="71">
        <v>42</v>
      </c>
      <c r="KM11" s="381">
        <f t="shared" si="33"/>
        <v>39625.74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491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521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496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506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523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525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69" t="s">
        <v>531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540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538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530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>
        <v>44967</v>
      </c>
      <c r="DL12" s="630">
        <v>946.19</v>
      </c>
      <c r="DM12" s="657" t="s">
        <v>556</v>
      </c>
      <c r="DN12" s="658">
        <v>39</v>
      </c>
      <c r="DO12" s="386">
        <f t="shared" si="16"/>
        <v>36901.410000000003</v>
      </c>
      <c r="DR12" s="104"/>
      <c r="DS12" s="15">
        <v>5</v>
      </c>
      <c r="DT12" s="92">
        <v>923.5</v>
      </c>
      <c r="DU12" s="283">
        <v>44968</v>
      </c>
      <c r="DV12" s="92">
        <v>923.5</v>
      </c>
      <c r="DW12" s="285" t="s">
        <v>560</v>
      </c>
      <c r="DX12" s="284">
        <v>39</v>
      </c>
      <c r="DY12" s="381">
        <f t="shared" si="17"/>
        <v>36016.5</v>
      </c>
      <c r="EB12" s="104"/>
      <c r="EC12" s="15">
        <v>5</v>
      </c>
      <c r="ED12" s="69">
        <v>932.6</v>
      </c>
      <c r="EE12" s="246">
        <v>44968</v>
      </c>
      <c r="EF12" s="69">
        <v>932.6</v>
      </c>
      <c r="EG12" s="70" t="s">
        <v>557</v>
      </c>
      <c r="EH12" s="71">
        <v>39</v>
      </c>
      <c r="EI12" s="381">
        <f t="shared" si="18"/>
        <v>36371.4</v>
      </c>
      <c r="EL12" s="104"/>
      <c r="EM12" s="15">
        <v>5</v>
      </c>
      <c r="EN12" s="69">
        <v>888.1</v>
      </c>
      <c r="EO12" s="246">
        <v>44972</v>
      </c>
      <c r="EP12" s="69">
        <v>888.1</v>
      </c>
      <c r="EQ12" s="70" t="s">
        <v>576</v>
      </c>
      <c r="ER12" s="71">
        <v>39</v>
      </c>
      <c r="ES12" s="381">
        <f t="shared" si="19"/>
        <v>34635.9</v>
      </c>
      <c r="EV12" s="325"/>
      <c r="EW12" s="15">
        <v>5</v>
      </c>
      <c r="EX12" s="92">
        <v>885.4</v>
      </c>
      <c r="EY12" s="238">
        <v>44973</v>
      </c>
      <c r="EZ12" s="92">
        <v>885.4</v>
      </c>
      <c r="FA12" s="70" t="s">
        <v>591</v>
      </c>
      <c r="FB12" s="71">
        <v>39</v>
      </c>
      <c r="FC12" s="381">
        <f t="shared" si="20"/>
        <v>34530.6</v>
      </c>
      <c r="FF12" s="325"/>
      <c r="FG12" s="15">
        <v>5</v>
      </c>
      <c r="FH12" s="92">
        <v>889</v>
      </c>
      <c r="FI12" s="238">
        <v>44975</v>
      </c>
      <c r="FJ12" s="92">
        <v>889</v>
      </c>
      <c r="FK12" s="631" t="s">
        <v>604</v>
      </c>
      <c r="FL12" s="632">
        <v>39</v>
      </c>
      <c r="FM12" s="237">
        <f t="shared" si="21"/>
        <v>34671</v>
      </c>
      <c r="FN12" s="75" t="s">
        <v>41</v>
      </c>
      <c r="FP12" s="104"/>
      <c r="FQ12" s="15">
        <v>5</v>
      </c>
      <c r="FR12" s="630">
        <v>972.04</v>
      </c>
      <c r="FS12" s="238">
        <v>44975</v>
      </c>
      <c r="FT12" s="92">
        <v>972.04</v>
      </c>
      <c r="FU12" s="70" t="s">
        <v>602</v>
      </c>
      <c r="FV12" s="71">
        <v>39</v>
      </c>
      <c r="FW12" s="381">
        <f t="shared" si="22"/>
        <v>37909.56</v>
      </c>
      <c r="FZ12" s="104"/>
      <c r="GA12" s="15">
        <v>5</v>
      </c>
      <c r="GB12" s="346">
        <v>903.1</v>
      </c>
      <c r="GC12" s="238">
        <v>44980</v>
      </c>
      <c r="GD12" s="346">
        <v>903.1</v>
      </c>
      <c r="GE12" s="95" t="s">
        <v>639</v>
      </c>
      <c r="GF12" s="71">
        <v>40</v>
      </c>
      <c r="GG12" s="381">
        <f t="shared" si="23"/>
        <v>36124</v>
      </c>
      <c r="GJ12" s="104"/>
      <c r="GK12" s="15">
        <v>5</v>
      </c>
      <c r="GL12" s="92">
        <v>930.3</v>
      </c>
      <c r="GM12" s="238">
        <v>44978</v>
      </c>
      <c r="GN12" s="92">
        <v>930.3</v>
      </c>
      <c r="GO12" s="95" t="s">
        <v>616</v>
      </c>
      <c r="GP12" s="71">
        <v>39</v>
      </c>
      <c r="GQ12" s="381">
        <f t="shared" si="24"/>
        <v>36281.699999999997</v>
      </c>
      <c r="GT12" s="104"/>
      <c r="GU12" s="15">
        <v>5</v>
      </c>
      <c r="GV12" s="92">
        <v>972.95</v>
      </c>
      <c r="GW12" s="238">
        <v>44980</v>
      </c>
      <c r="GX12" s="92">
        <v>972.95</v>
      </c>
      <c r="GY12" s="95" t="s">
        <v>634</v>
      </c>
      <c r="GZ12" s="71">
        <v>40</v>
      </c>
      <c r="HA12" s="381">
        <f t="shared" si="25"/>
        <v>38918</v>
      </c>
      <c r="HD12" s="104"/>
      <c r="HE12" s="15">
        <v>5</v>
      </c>
      <c r="HF12" s="92">
        <v>932.13</v>
      </c>
      <c r="HG12" s="238">
        <v>44981</v>
      </c>
      <c r="HH12" s="92">
        <v>932.13</v>
      </c>
      <c r="HI12" s="286" t="s">
        <v>650</v>
      </c>
      <c r="HJ12" s="71">
        <v>40</v>
      </c>
      <c r="HK12" s="381">
        <f t="shared" si="26"/>
        <v>37285.199999999997</v>
      </c>
      <c r="HN12" s="104"/>
      <c r="HO12" s="15">
        <v>5</v>
      </c>
      <c r="HP12" s="69">
        <v>933</v>
      </c>
      <c r="HQ12" s="246">
        <v>44982</v>
      </c>
      <c r="HR12" s="577">
        <v>933.9</v>
      </c>
      <c r="HS12" s="70" t="s">
        <v>662</v>
      </c>
      <c r="HT12" s="71">
        <v>40</v>
      </c>
      <c r="HU12" s="381">
        <f t="shared" si="6"/>
        <v>37356</v>
      </c>
      <c r="HX12" s="104"/>
      <c r="HY12" s="15">
        <v>5</v>
      </c>
      <c r="HZ12" s="69">
        <v>938.9</v>
      </c>
      <c r="IA12" s="246">
        <v>44981</v>
      </c>
      <c r="IB12" s="69">
        <v>938.9</v>
      </c>
      <c r="IC12" s="70" t="s">
        <v>648</v>
      </c>
      <c r="ID12" s="71">
        <v>40</v>
      </c>
      <c r="IE12" s="381">
        <f t="shared" si="27"/>
        <v>37556</v>
      </c>
      <c r="IH12" s="104"/>
      <c r="II12" s="15">
        <v>5</v>
      </c>
      <c r="IJ12" s="69">
        <v>937.12</v>
      </c>
      <c r="IK12" s="246">
        <v>44973</v>
      </c>
      <c r="IL12" s="69">
        <v>937.12</v>
      </c>
      <c r="IM12" s="70" t="s">
        <v>587</v>
      </c>
      <c r="IN12" s="71">
        <v>39</v>
      </c>
      <c r="IO12" s="237">
        <f t="shared" si="28"/>
        <v>36547.68</v>
      </c>
      <c r="IR12" s="104"/>
      <c r="IS12" s="15">
        <v>5</v>
      </c>
      <c r="IT12" s="69">
        <v>925.3</v>
      </c>
      <c r="IU12" s="246">
        <v>44985</v>
      </c>
      <c r="IV12" s="69">
        <v>925.3</v>
      </c>
      <c r="IW12" s="70" t="s">
        <v>667</v>
      </c>
      <c r="IX12" s="71">
        <v>42</v>
      </c>
      <c r="IY12" s="237">
        <f t="shared" si="29"/>
        <v>38862.6</v>
      </c>
      <c r="IZ12" s="92"/>
      <c r="JA12" s="69"/>
      <c r="JB12" s="104"/>
      <c r="JC12" s="15">
        <v>5</v>
      </c>
      <c r="JD12" s="92">
        <v>905.37</v>
      </c>
      <c r="JE12" s="246">
        <v>44987</v>
      </c>
      <c r="JF12" s="92">
        <v>905.37</v>
      </c>
      <c r="JG12" s="70" t="s">
        <v>704</v>
      </c>
      <c r="JH12" s="71">
        <v>42</v>
      </c>
      <c r="JI12" s="381">
        <f t="shared" si="30"/>
        <v>38025.54</v>
      </c>
      <c r="JJ12" s="69"/>
      <c r="JL12" s="104"/>
      <c r="JM12" s="15">
        <v>5</v>
      </c>
      <c r="JN12" s="92">
        <v>937.1</v>
      </c>
      <c r="JO12" s="238">
        <v>44987</v>
      </c>
      <c r="JP12" s="92">
        <v>937.1</v>
      </c>
      <c r="JQ12" s="70" t="s">
        <v>706</v>
      </c>
      <c r="JR12" s="71">
        <v>42</v>
      </c>
      <c r="JS12" s="381">
        <f t="shared" si="31"/>
        <v>39358.200000000004</v>
      </c>
      <c r="JV12" s="104"/>
      <c r="JW12" s="15">
        <v>5</v>
      </c>
      <c r="JX12" s="69">
        <v>871.8</v>
      </c>
      <c r="JY12" s="246">
        <v>44988</v>
      </c>
      <c r="JZ12" s="69">
        <v>871.8</v>
      </c>
      <c r="KA12" s="70" t="s">
        <v>717</v>
      </c>
      <c r="KB12" s="71">
        <v>42</v>
      </c>
      <c r="KC12" s="381">
        <f t="shared" si="32"/>
        <v>36615.599999999999</v>
      </c>
      <c r="KF12" s="104"/>
      <c r="KG12" s="15">
        <v>5</v>
      </c>
      <c r="KH12" s="69">
        <v>962.06</v>
      </c>
      <c r="KI12" s="246">
        <v>44989</v>
      </c>
      <c r="KJ12" s="69">
        <v>962.06</v>
      </c>
      <c r="KK12" s="70" t="s">
        <v>726</v>
      </c>
      <c r="KL12" s="71">
        <v>42</v>
      </c>
      <c r="KM12" s="381">
        <f t="shared" si="33"/>
        <v>40406.519999999997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491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521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496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506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523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529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69" t="s">
        <v>531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540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538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530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>
        <v>44968</v>
      </c>
      <c r="DL13" s="630">
        <v>922.15</v>
      </c>
      <c r="DM13" s="657" t="s">
        <v>453</v>
      </c>
      <c r="DN13" s="658">
        <v>39</v>
      </c>
      <c r="DO13" s="386">
        <f t="shared" si="16"/>
        <v>35963.85</v>
      </c>
      <c r="DR13" s="104"/>
      <c r="DS13" s="15">
        <v>6</v>
      </c>
      <c r="DT13" s="92">
        <v>902.6</v>
      </c>
      <c r="DU13" s="283">
        <v>44968</v>
      </c>
      <c r="DV13" s="92">
        <v>902.6</v>
      </c>
      <c r="DW13" s="285" t="s">
        <v>560</v>
      </c>
      <c r="DX13" s="284">
        <v>39</v>
      </c>
      <c r="DY13" s="381">
        <f t="shared" si="17"/>
        <v>35201.4</v>
      </c>
      <c r="EB13" s="104"/>
      <c r="EC13" s="15">
        <v>6</v>
      </c>
      <c r="ED13" s="69">
        <v>937.1</v>
      </c>
      <c r="EE13" s="246">
        <v>44968</v>
      </c>
      <c r="EF13" s="69">
        <v>937.1</v>
      </c>
      <c r="EG13" s="70" t="s">
        <v>557</v>
      </c>
      <c r="EH13" s="71">
        <v>39</v>
      </c>
      <c r="EI13" s="381">
        <f t="shared" si="18"/>
        <v>36546.9</v>
      </c>
      <c r="EL13" s="104"/>
      <c r="EM13" s="15">
        <v>6</v>
      </c>
      <c r="EN13" s="69">
        <v>922.6</v>
      </c>
      <c r="EO13" s="246">
        <v>44972</v>
      </c>
      <c r="EP13" s="69">
        <v>922.6</v>
      </c>
      <c r="EQ13" s="70" t="s">
        <v>576</v>
      </c>
      <c r="ER13" s="71">
        <v>39</v>
      </c>
      <c r="ES13" s="381">
        <f t="shared" si="19"/>
        <v>35981.4</v>
      </c>
      <c r="EV13" s="325"/>
      <c r="EW13" s="15">
        <v>6</v>
      </c>
      <c r="EX13" s="92">
        <v>907.2</v>
      </c>
      <c r="EY13" s="238">
        <v>44973</v>
      </c>
      <c r="EZ13" s="92">
        <v>907.2</v>
      </c>
      <c r="FA13" s="70" t="s">
        <v>591</v>
      </c>
      <c r="FB13" s="71">
        <v>39</v>
      </c>
      <c r="FC13" s="381">
        <f t="shared" si="20"/>
        <v>35380.800000000003</v>
      </c>
      <c r="FF13" s="325"/>
      <c r="FG13" s="15">
        <v>6</v>
      </c>
      <c r="FH13" s="92">
        <v>905.4</v>
      </c>
      <c r="FI13" s="238">
        <v>44975</v>
      </c>
      <c r="FJ13" s="92">
        <v>905.4</v>
      </c>
      <c r="FK13" s="631" t="s">
        <v>610</v>
      </c>
      <c r="FL13" s="632">
        <v>39</v>
      </c>
      <c r="FM13" s="237">
        <f t="shared" si="21"/>
        <v>35310.6</v>
      </c>
      <c r="FP13" s="104"/>
      <c r="FQ13" s="15">
        <v>6</v>
      </c>
      <c r="FR13" s="630">
        <v>934.4</v>
      </c>
      <c r="FS13" s="238">
        <v>44974</v>
      </c>
      <c r="FT13" s="92">
        <v>934.4</v>
      </c>
      <c r="FU13" s="70" t="s">
        <v>601</v>
      </c>
      <c r="FV13" s="71">
        <v>39</v>
      </c>
      <c r="FW13" s="381">
        <f t="shared" si="22"/>
        <v>36441.599999999999</v>
      </c>
      <c r="FZ13" s="104"/>
      <c r="GA13" s="15">
        <v>6</v>
      </c>
      <c r="GB13" s="346">
        <v>914.9</v>
      </c>
      <c r="GC13" s="238">
        <v>44980</v>
      </c>
      <c r="GD13" s="346">
        <v>914.9</v>
      </c>
      <c r="GE13" s="95" t="s">
        <v>637</v>
      </c>
      <c r="GF13" s="71">
        <v>40</v>
      </c>
      <c r="GG13" s="381">
        <f t="shared" si="23"/>
        <v>36596</v>
      </c>
      <c r="GJ13" s="104"/>
      <c r="GK13" s="15">
        <v>6</v>
      </c>
      <c r="GL13" s="92">
        <v>939.8</v>
      </c>
      <c r="GM13" s="238">
        <v>44978</v>
      </c>
      <c r="GN13" s="92">
        <v>939.8</v>
      </c>
      <c r="GO13" s="95" t="s">
        <v>616</v>
      </c>
      <c r="GP13" s="71">
        <v>39</v>
      </c>
      <c r="GQ13" s="381">
        <f t="shared" si="24"/>
        <v>36652.199999999997</v>
      </c>
      <c r="GT13" s="104"/>
      <c r="GU13" s="15">
        <v>6</v>
      </c>
      <c r="GV13" s="92">
        <v>962.06</v>
      </c>
      <c r="GW13" s="238">
        <v>44979</v>
      </c>
      <c r="GX13" s="92">
        <v>932.06</v>
      </c>
      <c r="GY13" s="95" t="s">
        <v>631</v>
      </c>
      <c r="GZ13" s="71">
        <v>40</v>
      </c>
      <c r="HA13" s="381">
        <f t="shared" si="25"/>
        <v>37282.399999999994</v>
      </c>
      <c r="HD13" s="104"/>
      <c r="HE13" s="15">
        <v>6</v>
      </c>
      <c r="HF13" s="92">
        <v>921.69</v>
      </c>
      <c r="HG13" s="238">
        <v>44981</v>
      </c>
      <c r="HH13" s="92">
        <v>921.69</v>
      </c>
      <c r="HI13" s="286" t="s">
        <v>650</v>
      </c>
      <c r="HJ13" s="71">
        <v>40</v>
      </c>
      <c r="HK13" s="381">
        <f t="shared" si="26"/>
        <v>36867.600000000006</v>
      </c>
      <c r="HN13" s="104"/>
      <c r="HO13" s="15">
        <v>6</v>
      </c>
      <c r="HP13" s="69">
        <v>919.4</v>
      </c>
      <c r="HQ13" s="246">
        <v>44982</v>
      </c>
      <c r="HR13" s="69">
        <v>919.4</v>
      </c>
      <c r="HS13" s="70" t="s">
        <v>659</v>
      </c>
      <c r="HT13" s="71">
        <v>40</v>
      </c>
      <c r="HU13" s="381">
        <f t="shared" si="6"/>
        <v>36776</v>
      </c>
      <c r="HX13" s="104"/>
      <c r="HY13" s="15">
        <v>6</v>
      </c>
      <c r="HZ13" s="69">
        <v>918.1</v>
      </c>
      <c r="IA13" s="246">
        <v>44981</v>
      </c>
      <c r="IB13" s="69">
        <v>918.1</v>
      </c>
      <c r="IC13" s="70" t="s">
        <v>648</v>
      </c>
      <c r="ID13" s="71">
        <v>40</v>
      </c>
      <c r="IE13" s="381">
        <f t="shared" si="27"/>
        <v>36724</v>
      </c>
      <c r="IH13" s="104"/>
      <c r="II13" s="15">
        <v>6</v>
      </c>
      <c r="IJ13" s="69">
        <v>906.27</v>
      </c>
      <c r="IK13" s="246">
        <v>44973</v>
      </c>
      <c r="IL13" s="69">
        <v>906.27</v>
      </c>
      <c r="IM13" s="70" t="s">
        <v>588</v>
      </c>
      <c r="IN13" s="71">
        <v>39</v>
      </c>
      <c r="IO13" s="237">
        <f t="shared" si="28"/>
        <v>35344.53</v>
      </c>
      <c r="IR13" s="104"/>
      <c r="IS13" s="15">
        <v>6</v>
      </c>
      <c r="IT13" s="69">
        <v>894.5</v>
      </c>
      <c r="IU13" s="246">
        <v>44985</v>
      </c>
      <c r="IV13" s="69">
        <v>894.5</v>
      </c>
      <c r="IW13" s="70" t="s">
        <v>667</v>
      </c>
      <c r="IX13" s="71">
        <v>42</v>
      </c>
      <c r="IY13" s="237">
        <f t="shared" si="29"/>
        <v>37569</v>
      </c>
      <c r="IZ13" s="92"/>
      <c r="JA13" s="69"/>
      <c r="JB13" s="104"/>
      <c r="JC13" s="15">
        <v>6</v>
      </c>
      <c r="JD13" s="92">
        <v>927.59</v>
      </c>
      <c r="JE13" s="246">
        <v>44987</v>
      </c>
      <c r="JF13" s="92">
        <v>927.59</v>
      </c>
      <c r="JG13" s="70" t="s">
        <v>704</v>
      </c>
      <c r="JH13" s="71">
        <v>42</v>
      </c>
      <c r="JI13" s="381">
        <f t="shared" si="30"/>
        <v>38958.78</v>
      </c>
      <c r="JJ13" s="69"/>
      <c r="JL13" s="104"/>
      <c r="JM13" s="15">
        <v>6</v>
      </c>
      <c r="JN13" s="92">
        <v>925.3</v>
      </c>
      <c r="JO13" s="238">
        <v>44987</v>
      </c>
      <c r="JP13" s="92">
        <v>925.3</v>
      </c>
      <c r="JQ13" s="70" t="s">
        <v>706</v>
      </c>
      <c r="JR13" s="71">
        <v>42</v>
      </c>
      <c r="JS13" s="381">
        <f t="shared" si="31"/>
        <v>38862.6</v>
      </c>
      <c r="JV13" s="104"/>
      <c r="JW13" s="15">
        <v>6</v>
      </c>
      <c r="JX13" s="69">
        <v>932.6</v>
      </c>
      <c r="JY13" s="246">
        <v>44988</v>
      </c>
      <c r="JZ13" s="69">
        <v>932.6</v>
      </c>
      <c r="KA13" s="70" t="s">
        <v>717</v>
      </c>
      <c r="KB13" s="71">
        <v>42</v>
      </c>
      <c r="KC13" s="381">
        <f t="shared" si="32"/>
        <v>39169.200000000004</v>
      </c>
      <c r="KF13" s="104"/>
      <c r="KG13" s="15">
        <v>6</v>
      </c>
      <c r="KH13" s="69">
        <v>952.54</v>
      </c>
      <c r="KI13" s="246">
        <v>44989</v>
      </c>
      <c r="KJ13" s="69">
        <v>952.54</v>
      </c>
      <c r="KK13" s="70" t="s">
        <v>726</v>
      </c>
      <c r="KL13" s="71">
        <v>42</v>
      </c>
      <c r="KM13" s="381">
        <f t="shared" si="33"/>
        <v>40006.68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490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510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496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506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523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526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69" t="s">
        <v>531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540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538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530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>
        <v>44967</v>
      </c>
      <c r="DL14" s="630">
        <v>952.09</v>
      </c>
      <c r="DM14" s="657" t="s">
        <v>556</v>
      </c>
      <c r="DN14" s="658">
        <v>39</v>
      </c>
      <c r="DO14" s="386">
        <f t="shared" si="16"/>
        <v>37131.51</v>
      </c>
      <c r="DR14" s="104"/>
      <c r="DS14" s="15">
        <v>7</v>
      </c>
      <c r="DT14" s="92">
        <v>931.7</v>
      </c>
      <c r="DU14" s="283">
        <v>44968</v>
      </c>
      <c r="DV14" s="92">
        <v>931.7</v>
      </c>
      <c r="DW14" s="285" t="s">
        <v>560</v>
      </c>
      <c r="DX14" s="284">
        <v>39</v>
      </c>
      <c r="DY14" s="381">
        <f t="shared" si="17"/>
        <v>36336.300000000003</v>
      </c>
      <c r="EB14" s="104"/>
      <c r="EC14" s="15">
        <v>7</v>
      </c>
      <c r="ED14" s="69">
        <v>888.1</v>
      </c>
      <c r="EE14" s="246">
        <v>44968</v>
      </c>
      <c r="EF14" s="69">
        <v>888.1</v>
      </c>
      <c r="EG14" s="70" t="s">
        <v>557</v>
      </c>
      <c r="EH14" s="71">
        <v>39</v>
      </c>
      <c r="EI14" s="381">
        <f t="shared" si="18"/>
        <v>34635.9</v>
      </c>
      <c r="EL14" s="104"/>
      <c r="EM14" s="15">
        <v>7</v>
      </c>
      <c r="EN14" s="69">
        <v>915.3</v>
      </c>
      <c r="EO14" s="246">
        <v>44972</v>
      </c>
      <c r="EP14" s="69">
        <v>915.3</v>
      </c>
      <c r="EQ14" s="70" t="s">
        <v>576</v>
      </c>
      <c r="ER14" s="71">
        <v>39</v>
      </c>
      <c r="ES14" s="381">
        <f t="shared" si="19"/>
        <v>35696.699999999997</v>
      </c>
      <c r="EV14" s="325"/>
      <c r="EW14" s="15">
        <v>7</v>
      </c>
      <c r="EX14" s="92">
        <v>897.2</v>
      </c>
      <c r="EY14" s="238">
        <v>44974</v>
      </c>
      <c r="EZ14" s="92">
        <v>897.2</v>
      </c>
      <c r="FA14" s="70" t="s">
        <v>596</v>
      </c>
      <c r="FB14" s="71">
        <v>39</v>
      </c>
      <c r="FC14" s="381">
        <f t="shared" si="20"/>
        <v>34990.800000000003</v>
      </c>
      <c r="FF14" s="325"/>
      <c r="FG14" s="15">
        <v>7</v>
      </c>
      <c r="FH14" s="92">
        <v>885.4</v>
      </c>
      <c r="FI14" s="238">
        <v>44975</v>
      </c>
      <c r="FJ14" s="92">
        <v>885.4</v>
      </c>
      <c r="FK14" s="631" t="s">
        <v>459</v>
      </c>
      <c r="FL14" s="632">
        <v>39</v>
      </c>
      <c r="FM14" s="237">
        <f t="shared" si="21"/>
        <v>34530.6</v>
      </c>
      <c r="FP14" s="104"/>
      <c r="FQ14" s="15">
        <v>7</v>
      </c>
      <c r="FR14" s="630">
        <v>943.01</v>
      </c>
      <c r="FS14" s="238">
        <v>44975</v>
      </c>
      <c r="FT14" s="92">
        <v>943.01</v>
      </c>
      <c r="FU14" s="70" t="s">
        <v>609</v>
      </c>
      <c r="FV14" s="71">
        <v>39</v>
      </c>
      <c r="FW14" s="381">
        <f t="shared" si="22"/>
        <v>36777.39</v>
      </c>
      <c r="FZ14" s="104"/>
      <c r="GA14" s="15">
        <v>7</v>
      </c>
      <c r="GB14" s="346">
        <v>899.5</v>
      </c>
      <c r="GC14" s="238">
        <v>44980</v>
      </c>
      <c r="GD14" s="346">
        <v>899.5</v>
      </c>
      <c r="GE14" s="95" t="s">
        <v>646</v>
      </c>
      <c r="GF14" s="71">
        <v>40</v>
      </c>
      <c r="GG14" s="381">
        <f t="shared" si="23"/>
        <v>35980</v>
      </c>
      <c r="GJ14" s="104"/>
      <c r="GK14" s="15">
        <v>7</v>
      </c>
      <c r="GL14" s="92">
        <v>925.8</v>
      </c>
      <c r="GM14" s="238">
        <v>44978</v>
      </c>
      <c r="GN14" s="92">
        <v>925.8</v>
      </c>
      <c r="GO14" s="95" t="s">
        <v>616</v>
      </c>
      <c r="GP14" s="71">
        <v>39</v>
      </c>
      <c r="GQ14" s="381">
        <f t="shared" si="24"/>
        <v>36106.199999999997</v>
      </c>
      <c r="GT14" s="104"/>
      <c r="GU14" s="15">
        <v>7</v>
      </c>
      <c r="GV14" s="92">
        <v>930.31</v>
      </c>
      <c r="GW14" s="238">
        <v>44979</v>
      </c>
      <c r="GX14" s="92">
        <v>930.31</v>
      </c>
      <c r="GY14" s="95" t="s">
        <v>627</v>
      </c>
      <c r="GZ14" s="71">
        <v>40</v>
      </c>
      <c r="HA14" s="381">
        <f t="shared" si="25"/>
        <v>37212.399999999994</v>
      </c>
      <c r="HD14" s="104"/>
      <c r="HE14" s="15">
        <v>7</v>
      </c>
      <c r="HF14" s="92">
        <v>894.93</v>
      </c>
      <c r="HG14" s="238">
        <v>44981</v>
      </c>
      <c r="HH14" s="92">
        <v>894.93</v>
      </c>
      <c r="HI14" s="286" t="s">
        <v>650</v>
      </c>
      <c r="HJ14" s="71">
        <v>40</v>
      </c>
      <c r="HK14" s="381">
        <f t="shared" si="26"/>
        <v>35797.199999999997</v>
      </c>
      <c r="HN14" s="104"/>
      <c r="HO14" s="15">
        <v>7</v>
      </c>
      <c r="HP14" s="69">
        <v>894</v>
      </c>
      <c r="HQ14" s="246">
        <v>44982</v>
      </c>
      <c r="HR14" s="69">
        <v>894</v>
      </c>
      <c r="HS14" s="70" t="s">
        <v>664</v>
      </c>
      <c r="HT14" s="71">
        <v>40</v>
      </c>
      <c r="HU14" s="381">
        <f t="shared" si="6"/>
        <v>35760</v>
      </c>
      <c r="HX14" s="104"/>
      <c r="HY14" s="15">
        <v>7</v>
      </c>
      <c r="HZ14" s="69">
        <v>919</v>
      </c>
      <c r="IA14" s="246">
        <v>44981</v>
      </c>
      <c r="IB14" s="69">
        <v>919</v>
      </c>
      <c r="IC14" s="70" t="s">
        <v>647</v>
      </c>
      <c r="ID14" s="71">
        <v>40</v>
      </c>
      <c r="IE14" s="381">
        <f t="shared" si="27"/>
        <v>36760</v>
      </c>
      <c r="IH14" s="104"/>
      <c r="II14" s="15">
        <v>7</v>
      </c>
      <c r="IJ14" s="69">
        <v>973.4</v>
      </c>
      <c r="IK14" s="246">
        <v>44973</v>
      </c>
      <c r="IL14" s="69">
        <v>973.4</v>
      </c>
      <c r="IM14" s="70" t="s">
        <v>591</v>
      </c>
      <c r="IN14" s="71">
        <v>39</v>
      </c>
      <c r="IO14" s="237">
        <f t="shared" si="28"/>
        <v>37962.6</v>
      </c>
      <c r="IR14" s="104"/>
      <c r="IS14" s="15">
        <v>7</v>
      </c>
      <c r="IT14" s="69">
        <v>879.1</v>
      </c>
      <c r="IU14" s="246">
        <v>44985</v>
      </c>
      <c r="IV14" s="69">
        <v>879.1</v>
      </c>
      <c r="IW14" s="70" t="s">
        <v>667</v>
      </c>
      <c r="IX14" s="71">
        <v>42</v>
      </c>
      <c r="IY14" s="237">
        <f t="shared" si="29"/>
        <v>36922.200000000004</v>
      </c>
      <c r="IZ14" s="92"/>
      <c r="JA14" s="69"/>
      <c r="JB14" s="104"/>
      <c r="JC14" s="15">
        <v>7</v>
      </c>
      <c r="JD14" s="92">
        <v>964.34</v>
      </c>
      <c r="JE14" s="246">
        <v>44987</v>
      </c>
      <c r="JF14" s="92">
        <v>964.34</v>
      </c>
      <c r="JG14" s="70" t="s">
        <v>704</v>
      </c>
      <c r="JH14" s="71">
        <v>42</v>
      </c>
      <c r="JI14" s="381">
        <f t="shared" si="30"/>
        <v>40502.28</v>
      </c>
      <c r="JJ14" s="69"/>
      <c r="JL14" s="104"/>
      <c r="JM14" s="15">
        <v>7</v>
      </c>
      <c r="JN14" s="92">
        <v>882.7</v>
      </c>
      <c r="JO14" s="238">
        <v>44987</v>
      </c>
      <c r="JP14" s="92">
        <v>882.7</v>
      </c>
      <c r="JQ14" s="70" t="s">
        <v>706</v>
      </c>
      <c r="JR14" s="71">
        <v>42</v>
      </c>
      <c r="JS14" s="381">
        <f t="shared" si="31"/>
        <v>37073.4</v>
      </c>
      <c r="JV14" s="104"/>
      <c r="JW14" s="15">
        <v>7</v>
      </c>
      <c r="JX14" s="69">
        <v>898.1</v>
      </c>
      <c r="JY14" s="246">
        <v>44988</v>
      </c>
      <c r="JZ14" s="69">
        <v>898.1</v>
      </c>
      <c r="KA14" s="70" t="s">
        <v>717</v>
      </c>
      <c r="KB14" s="71">
        <v>42</v>
      </c>
      <c r="KC14" s="381">
        <f t="shared" si="32"/>
        <v>37720.200000000004</v>
      </c>
      <c r="KF14" s="104"/>
      <c r="KG14" s="15">
        <v>7</v>
      </c>
      <c r="KH14" s="69">
        <v>938.48</v>
      </c>
      <c r="KI14" s="246">
        <v>44989</v>
      </c>
      <c r="KJ14" s="69">
        <v>938.48</v>
      </c>
      <c r="KK14" s="70" t="s">
        <v>726</v>
      </c>
      <c r="KL14" s="71">
        <v>42</v>
      </c>
      <c r="KM14" s="381">
        <f t="shared" si="33"/>
        <v>39416.160000000003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490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521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496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506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523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525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69" t="s">
        <v>531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540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538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530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>
        <v>44967</v>
      </c>
      <c r="DL15" s="630">
        <v>969.32</v>
      </c>
      <c r="DM15" s="657" t="s">
        <v>556</v>
      </c>
      <c r="DN15" s="658">
        <v>39</v>
      </c>
      <c r="DO15" s="386">
        <f t="shared" si="16"/>
        <v>37803.480000000003</v>
      </c>
      <c r="DR15" s="104"/>
      <c r="DS15" s="15">
        <v>8</v>
      </c>
      <c r="DT15" s="92">
        <v>904.5</v>
      </c>
      <c r="DU15" s="283">
        <v>44968</v>
      </c>
      <c r="DV15" s="92">
        <v>904.5</v>
      </c>
      <c r="DW15" s="285" t="s">
        <v>560</v>
      </c>
      <c r="DX15" s="284">
        <v>39</v>
      </c>
      <c r="DY15" s="381">
        <f t="shared" si="17"/>
        <v>35275.5</v>
      </c>
      <c r="EB15" s="104"/>
      <c r="EC15" s="15">
        <v>8</v>
      </c>
      <c r="ED15" s="69">
        <v>897.2</v>
      </c>
      <c r="EE15" s="246">
        <v>44968</v>
      </c>
      <c r="EF15" s="69">
        <v>897.2</v>
      </c>
      <c r="EG15" s="70" t="s">
        <v>557</v>
      </c>
      <c r="EH15" s="71">
        <v>39</v>
      </c>
      <c r="EI15" s="381">
        <f t="shared" si="18"/>
        <v>34990.800000000003</v>
      </c>
      <c r="EL15" s="104"/>
      <c r="EM15" s="15">
        <v>8</v>
      </c>
      <c r="EN15" s="69">
        <v>930.8</v>
      </c>
      <c r="EO15" s="246">
        <v>44972</v>
      </c>
      <c r="EP15" s="69">
        <v>930.8</v>
      </c>
      <c r="EQ15" s="70" t="s">
        <v>575</v>
      </c>
      <c r="ER15" s="71">
        <v>39</v>
      </c>
      <c r="ES15" s="381">
        <f t="shared" si="19"/>
        <v>36301.199999999997</v>
      </c>
      <c r="EV15" s="325"/>
      <c r="EW15" s="15">
        <v>8</v>
      </c>
      <c r="EX15" s="92">
        <v>930.8</v>
      </c>
      <c r="EY15" s="238">
        <v>44973</v>
      </c>
      <c r="EZ15" s="92">
        <v>930.8</v>
      </c>
      <c r="FA15" s="70" t="s">
        <v>591</v>
      </c>
      <c r="FB15" s="71">
        <v>39</v>
      </c>
      <c r="FC15" s="381">
        <f t="shared" si="20"/>
        <v>36301.199999999997</v>
      </c>
      <c r="FF15" s="325"/>
      <c r="FG15" s="15">
        <v>8</v>
      </c>
      <c r="FH15" s="92">
        <v>899</v>
      </c>
      <c r="FI15" s="238">
        <v>44975</v>
      </c>
      <c r="FJ15" s="92">
        <v>899</v>
      </c>
      <c r="FK15" s="631" t="s">
        <v>610</v>
      </c>
      <c r="FL15" s="632">
        <v>39</v>
      </c>
      <c r="FM15" s="237">
        <f t="shared" si="21"/>
        <v>35061</v>
      </c>
      <c r="FP15" s="104"/>
      <c r="FQ15" s="15">
        <v>8</v>
      </c>
      <c r="FR15" s="630">
        <v>974.77</v>
      </c>
      <c r="FS15" s="238">
        <v>44975</v>
      </c>
      <c r="FT15" s="92">
        <v>974.77</v>
      </c>
      <c r="FU15" s="70" t="s">
        <v>609</v>
      </c>
      <c r="FV15" s="71">
        <v>39</v>
      </c>
      <c r="FW15" s="381">
        <f t="shared" si="22"/>
        <v>38016.03</v>
      </c>
      <c r="FZ15" s="104"/>
      <c r="GA15" s="15">
        <v>8</v>
      </c>
      <c r="GB15" s="346">
        <v>894</v>
      </c>
      <c r="GC15" s="238">
        <v>44980</v>
      </c>
      <c r="GD15" s="346">
        <v>894</v>
      </c>
      <c r="GE15" s="95" t="s">
        <v>646</v>
      </c>
      <c r="GF15" s="71">
        <v>40</v>
      </c>
      <c r="GG15" s="381">
        <f t="shared" si="23"/>
        <v>35760</v>
      </c>
      <c r="GJ15" s="104"/>
      <c r="GK15" s="15">
        <v>8</v>
      </c>
      <c r="GL15" s="92">
        <v>929</v>
      </c>
      <c r="GM15" s="238">
        <v>44978</v>
      </c>
      <c r="GN15" s="92">
        <v>929</v>
      </c>
      <c r="GO15" s="95" t="s">
        <v>616</v>
      </c>
      <c r="GP15" s="71">
        <v>39</v>
      </c>
      <c r="GQ15" s="381">
        <f t="shared" si="24"/>
        <v>36231</v>
      </c>
      <c r="GT15" s="104"/>
      <c r="GU15" s="15">
        <v>8</v>
      </c>
      <c r="GV15" s="92">
        <v>968.41</v>
      </c>
      <c r="GW15" s="238">
        <v>44979</v>
      </c>
      <c r="GX15" s="92">
        <v>968.41</v>
      </c>
      <c r="GY15" s="95" t="s">
        <v>631</v>
      </c>
      <c r="GZ15" s="71">
        <v>40</v>
      </c>
      <c r="HA15" s="381">
        <f t="shared" si="25"/>
        <v>38736.400000000001</v>
      </c>
      <c r="HD15" s="104"/>
      <c r="HE15" s="15">
        <v>8</v>
      </c>
      <c r="HF15" s="92">
        <v>946.19</v>
      </c>
      <c r="HG15" s="238">
        <v>44981</v>
      </c>
      <c r="HH15" s="92">
        <v>946.19</v>
      </c>
      <c r="HI15" s="286" t="s">
        <v>654</v>
      </c>
      <c r="HJ15" s="71">
        <v>40</v>
      </c>
      <c r="HK15" s="381">
        <f t="shared" si="26"/>
        <v>37847.600000000006</v>
      </c>
      <c r="HN15" s="94"/>
      <c r="HO15" s="15">
        <v>8</v>
      </c>
      <c r="HP15" s="69">
        <v>899</v>
      </c>
      <c r="HQ15" s="246">
        <v>44982</v>
      </c>
      <c r="HR15" s="69">
        <v>899</v>
      </c>
      <c r="HS15" s="70" t="s">
        <v>664</v>
      </c>
      <c r="HT15" s="71">
        <v>40</v>
      </c>
      <c r="HU15" s="381">
        <f t="shared" si="6"/>
        <v>35960</v>
      </c>
      <c r="HX15" s="94"/>
      <c r="HY15" s="15">
        <v>8</v>
      </c>
      <c r="HZ15" s="69">
        <v>918.1</v>
      </c>
      <c r="IA15" s="246">
        <v>44981</v>
      </c>
      <c r="IB15" s="69">
        <v>918.1</v>
      </c>
      <c r="IC15" s="70" t="s">
        <v>647</v>
      </c>
      <c r="ID15" s="71">
        <v>40</v>
      </c>
      <c r="IE15" s="381">
        <f t="shared" si="27"/>
        <v>36724</v>
      </c>
      <c r="IH15" s="104"/>
      <c r="II15" s="15">
        <v>8</v>
      </c>
      <c r="IJ15" s="69">
        <v>907.18</v>
      </c>
      <c r="IK15" s="246">
        <v>44973</v>
      </c>
      <c r="IL15" s="69">
        <v>907.18</v>
      </c>
      <c r="IM15" s="70" t="s">
        <v>587</v>
      </c>
      <c r="IN15" s="71">
        <v>39</v>
      </c>
      <c r="IO15" s="237">
        <f t="shared" si="28"/>
        <v>35380.019999999997</v>
      </c>
      <c r="IR15" s="104"/>
      <c r="IS15" s="15">
        <v>8</v>
      </c>
      <c r="IT15" s="69">
        <v>891.8</v>
      </c>
      <c r="IU15" s="246">
        <v>44985</v>
      </c>
      <c r="IV15" s="69">
        <v>891.8</v>
      </c>
      <c r="IW15" s="70" t="s">
        <v>667</v>
      </c>
      <c r="IX15" s="71">
        <v>42</v>
      </c>
      <c r="IY15" s="237">
        <f t="shared" si="29"/>
        <v>37455.599999999999</v>
      </c>
      <c r="IZ15" s="92"/>
      <c r="JA15" s="69"/>
      <c r="JB15" s="104"/>
      <c r="JC15" s="15">
        <v>8</v>
      </c>
      <c r="JD15" s="92">
        <v>896.75</v>
      </c>
      <c r="JE15" s="246">
        <v>44987</v>
      </c>
      <c r="JF15" s="92">
        <v>896.75</v>
      </c>
      <c r="JG15" s="70" t="s">
        <v>704</v>
      </c>
      <c r="JH15" s="71">
        <v>42</v>
      </c>
      <c r="JI15" s="381">
        <f t="shared" si="30"/>
        <v>37663.5</v>
      </c>
      <c r="JJ15" s="69"/>
      <c r="JL15" s="104"/>
      <c r="JM15" s="15">
        <v>8</v>
      </c>
      <c r="JN15" s="92">
        <v>928</v>
      </c>
      <c r="JO15" s="238">
        <v>44987</v>
      </c>
      <c r="JP15" s="92">
        <v>928</v>
      </c>
      <c r="JQ15" s="70" t="s">
        <v>706</v>
      </c>
      <c r="JR15" s="71">
        <v>42</v>
      </c>
      <c r="JS15" s="381">
        <f t="shared" si="31"/>
        <v>38976</v>
      </c>
      <c r="JV15" s="104"/>
      <c r="JW15" s="15">
        <v>8</v>
      </c>
      <c r="JX15" s="69">
        <v>884.5</v>
      </c>
      <c r="JY15" s="246">
        <v>44988</v>
      </c>
      <c r="JZ15" s="69">
        <v>884.5</v>
      </c>
      <c r="KA15" s="70" t="s">
        <v>717</v>
      </c>
      <c r="KB15" s="71">
        <v>42</v>
      </c>
      <c r="KC15" s="381">
        <f t="shared" si="32"/>
        <v>37149</v>
      </c>
      <c r="KF15" s="104"/>
      <c r="KG15" s="15">
        <v>8</v>
      </c>
      <c r="KH15" s="69">
        <v>922.6</v>
      </c>
      <c r="KI15" s="246">
        <v>44989</v>
      </c>
      <c r="KJ15" s="69">
        <v>922.6</v>
      </c>
      <c r="KK15" s="70" t="s">
        <v>726</v>
      </c>
      <c r="KL15" s="71">
        <v>42</v>
      </c>
      <c r="KM15" s="381">
        <f t="shared" si="33"/>
        <v>38749.200000000004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490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510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496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506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523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524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531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540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538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530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>
        <v>44967</v>
      </c>
      <c r="DL16" s="630">
        <v>919.43</v>
      </c>
      <c r="DM16" s="657" t="s">
        <v>556</v>
      </c>
      <c r="DN16" s="658">
        <v>39</v>
      </c>
      <c r="DO16" s="386">
        <f t="shared" si="16"/>
        <v>35857.769999999997</v>
      </c>
      <c r="DR16" s="104"/>
      <c r="DS16" s="15">
        <v>9</v>
      </c>
      <c r="DT16" s="92">
        <v>909.9</v>
      </c>
      <c r="DU16" s="283">
        <v>44968</v>
      </c>
      <c r="DV16" s="92">
        <v>909.9</v>
      </c>
      <c r="DW16" s="285" t="s">
        <v>560</v>
      </c>
      <c r="DX16" s="284">
        <v>39</v>
      </c>
      <c r="DY16" s="381">
        <f t="shared" si="17"/>
        <v>35486.1</v>
      </c>
      <c r="EB16" s="104"/>
      <c r="EC16" s="15">
        <v>9</v>
      </c>
      <c r="ED16" s="69">
        <v>868.2</v>
      </c>
      <c r="EE16" s="246">
        <v>44968</v>
      </c>
      <c r="EF16" s="69">
        <v>868.2</v>
      </c>
      <c r="EG16" s="70" t="s">
        <v>557</v>
      </c>
      <c r="EH16" s="71">
        <v>39</v>
      </c>
      <c r="EI16" s="381">
        <f t="shared" si="18"/>
        <v>33859.800000000003</v>
      </c>
      <c r="EL16" s="104"/>
      <c r="EM16" s="15">
        <v>9</v>
      </c>
      <c r="EN16" s="69">
        <v>876.3</v>
      </c>
      <c r="EO16" s="246">
        <v>44972</v>
      </c>
      <c r="EP16" s="69">
        <v>876.3</v>
      </c>
      <c r="EQ16" s="70" t="s">
        <v>575</v>
      </c>
      <c r="ER16" s="71">
        <v>39</v>
      </c>
      <c r="ES16" s="381">
        <f t="shared" si="19"/>
        <v>34175.699999999997</v>
      </c>
      <c r="EV16" s="325"/>
      <c r="EW16" s="15">
        <v>9</v>
      </c>
      <c r="EX16" s="92">
        <v>888.1</v>
      </c>
      <c r="EY16" s="238">
        <v>44974</v>
      </c>
      <c r="EZ16" s="92">
        <v>888.1</v>
      </c>
      <c r="FA16" s="70" t="s">
        <v>599</v>
      </c>
      <c r="FB16" s="71">
        <v>39</v>
      </c>
      <c r="FC16" s="381">
        <f t="shared" si="20"/>
        <v>34635.9</v>
      </c>
      <c r="FF16" s="325"/>
      <c r="FG16" s="15">
        <v>9</v>
      </c>
      <c r="FH16" s="92">
        <v>929</v>
      </c>
      <c r="FI16" s="238">
        <v>44975</v>
      </c>
      <c r="FJ16" s="92">
        <v>929</v>
      </c>
      <c r="FK16" s="631" t="s">
        <v>610</v>
      </c>
      <c r="FL16" s="632">
        <v>39</v>
      </c>
      <c r="FM16" s="237">
        <f t="shared" si="21"/>
        <v>36231</v>
      </c>
      <c r="FP16" s="104"/>
      <c r="FQ16" s="15">
        <v>9</v>
      </c>
      <c r="FR16" s="630">
        <v>935.3</v>
      </c>
      <c r="FS16" s="238">
        <v>44974</v>
      </c>
      <c r="FT16" s="92">
        <v>935.3</v>
      </c>
      <c r="FU16" s="70" t="s">
        <v>601</v>
      </c>
      <c r="FV16" s="71">
        <v>39</v>
      </c>
      <c r="FW16" s="381">
        <f t="shared" si="22"/>
        <v>36476.699999999997</v>
      </c>
      <c r="FZ16" s="104"/>
      <c r="GA16" s="15">
        <v>9</v>
      </c>
      <c r="GB16" s="346">
        <v>906.7</v>
      </c>
      <c r="GC16" s="238">
        <v>44980</v>
      </c>
      <c r="GD16" s="346">
        <v>906.7</v>
      </c>
      <c r="GE16" s="95" t="s">
        <v>640</v>
      </c>
      <c r="GF16" s="71">
        <v>40</v>
      </c>
      <c r="GG16" s="381">
        <f t="shared" si="23"/>
        <v>36268</v>
      </c>
      <c r="GJ16" s="104"/>
      <c r="GK16" s="15">
        <v>9</v>
      </c>
      <c r="GL16" s="92">
        <v>932.1</v>
      </c>
      <c r="GM16" s="238">
        <v>44978</v>
      </c>
      <c r="GN16" s="92">
        <v>932.1</v>
      </c>
      <c r="GO16" s="95" t="s">
        <v>616</v>
      </c>
      <c r="GP16" s="71">
        <v>39</v>
      </c>
      <c r="GQ16" s="381">
        <f t="shared" si="24"/>
        <v>36351.9</v>
      </c>
      <c r="GT16" s="104"/>
      <c r="GU16" s="15">
        <v>9</v>
      </c>
      <c r="GV16" s="92">
        <v>952.09</v>
      </c>
      <c r="GW16" s="238">
        <v>44979</v>
      </c>
      <c r="GX16" s="92">
        <v>952.09</v>
      </c>
      <c r="GY16" s="95" t="s">
        <v>632</v>
      </c>
      <c r="GZ16" s="71">
        <v>40</v>
      </c>
      <c r="HA16" s="381">
        <f t="shared" si="25"/>
        <v>38083.599999999999</v>
      </c>
      <c r="HD16" s="104"/>
      <c r="HE16" s="15">
        <v>9</v>
      </c>
      <c r="HF16" s="92">
        <v>877.24</v>
      </c>
      <c r="HG16" s="238">
        <v>44981</v>
      </c>
      <c r="HH16" s="92">
        <v>877.24</v>
      </c>
      <c r="HI16" s="286" t="s">
        <v>650</v>
      </c>
      <c r="HJ16" s="71">
        <v>40</v>
      </c>
      <c r="HK16" s="237">
        <f t="shared" si="26"/>
        <v>35089.599999999999</v>
      </c>
      <c r="HN16" s="94"/>
      <c r="HO16" s="15">
        <v>9</v>
      </c>
      <c r="HP16" s="69">
        <v>927.6</v>
      </c>
      <c r="HQ16" s="246">
        <v>44982</v>
      </c>
      <c r="HR16" s="69">
        <v>927.6</v>
      </c>
      <c r="HS16" s="70" t="s">
        <v>664</v>
      </c>
      <c r="HT16" s="71">
        <v>40</v>
      </c>
      <c r="HU16" s="381">
        <f t="shared" si="6"/>
        <v>37104</v>
      </c>
      <c r="HX16" s="94"/>
      <c r="HY16" s="15">
        <v>9</v>
      </c>
      <c r="HZ16" s="69">
        <v>867.3</v>
      </c>
      <c r="IA16" s="246">
        <v>44981</v>
      </c>
      <c r="IB16" s="69">
        <v>867.3</v>
      </c>
      <c r="IC16" s="70" t="s">
        <v>648</v>
      </c>
      <c r="ID16" s="71">
        <v>40</v>
      </c>
      <c r="IE16" s="381">
        <f t="shared" si="27"/>
        <v>34692</v>
      </c>
      <c r="IH16" s="104"/>
      <c r="II16" s="15">
        <v>9</v>
      </c>
      <c r="IJ16" s="69">
        <v>954.35</v>
      </c>
      <c r="IK16" s="246">
        <v>44973</v>
      </c>
      <c r="IL16" s="69">
        <v>954.35</v>
      </c>
      <c r="IM16" s="70" t="s">
        <v>591</v>
      </c>
      <c r="IN16" s="71">
        <v>39</v>
      </c>
      <c r="IO16" s="237">
        <f t="shared" si="28"/>
        <v>37219.65</v>
      </c>
      <c r="IR16" s="104"/>
      <c r="IS16" s="15">
        <v>9</v>
      </c>
      <c r="IT16" s="69">
        <v>861.8</v>
      </c>
      <c r="IU16" s="246">
        <v>44985</v>
      </c>
      <c r="IV16" s="69">
        <v>861.8</v>
      </c>
      <c r="IW16" s="70" t="s">
        <v>667</v>
      </c>
      <c r="IX16" s="71">
        <v>42</v>
      </c>
      <c r="IY16" s="237">
        <f t="shared" si="29"/>
        <v>36195.599999999999</v>
      </c>
      <c r="IZ16" s="92"/>
      <c r="JA16" s="69"/>
      <c r="JB16" s="104"/>
      <c r="JC16" s="15">
        <v>9</v>
      </c>
      <c r="JD16" s="92">
        <v>960.7</v>
      </c>
      <c r="JE16" s="246">
        <v>44987</v>
      </c>
      <c r="JF16" s="92">
        <v>960.7</v>
      </c>
      <c r="JG16" s="70" t="s">
        <v>704</v>
      </c>
      <c r="JH16" s="71">
        <v>42</v>
      </c>
      <c r="JI16" s="381">
        <f t="shared" si="30"/>
        <v>40349.4</v>
      </c>
      <c r="JJ16" s="69"/>
      <c r="JL16" s="104"/>
      <c r="JM16" s="15">
        <v>9</v>
      </c>
      <c r="JN16" s="92">
        <v>867.3</v>
      </c>
      <c r="JO16" s="238">
        <v>44987</v>
      </c>
      <c r="JP16" s="630">
        <v>867.3</v>
      </c>
      <c r="JQ16" s="70" t="s">
        <v>706</v>
      </c>
      <c r="JR16" s="71">
        <v>42</v>
      </c>
      <c r="JS16" s="381">
        <f t="shared" si="31"/>
        <v>36426.6</v>
      </c>
      <c r="JV16" s="104"/>
      <c r="JW16" s="15">
        <v>9</v>
      </c>
      <c r="JX16" s="69">
        <v>896.3</v>
      </c>
      <c r="JY16" s="246">
        <v>44988</v>
      </c>
      <c r="JZ16" s="69">
        <v>896.3</v>
      </c>
      <c r="KA16" s="70" t="s">
        <v>717</v>
      </c>
      <c r="KB16" s="71">
        <v>42</v>
      </c>
      <c r="KC16" s="381">
        <f t="shared" si="32"/>
        <v>37644.6</v>
      </c>
      <c r="KF16" s="104"/>
      <c r="KG16" s="15">
        <v>9</v>
      </c>
      <c r="KH16" s="69">
        <v>975.22</v>
      </c>
      <c r="KI16" s="246">
        <v>44989</v>
      </c>
      <c r="KJ16" s="69">
        <v>975.22</v>
      </c>
      <c r="KK16" s="70" t="s">
        <v>726</v>
      </c>
      <c r="KL16" s="71">
        <v>42</v>
      </c>
      <c r="KM16" s="381">
        <f t="shared" si="33"/>
        <v>40959.24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490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510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496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506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523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529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532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540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538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530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>
        <v>44967</v>
      </c>
      <c r="DL17" s="633">
        <v>939.38</v>
      </c>
      <c r="DM17" s="657" t="s">
        <v>556</v>
      </c>
      <c r="DN17" s="658">
        <v>39</v>
      </c>
      <c r="DO17" s="386">
        <f t="shared" si="16"/>
        <v>36635.82</v>
      </c>
      <c r="DR17" s="104"/>
      <c r="DS17" s="15">
        <v>10</v>
      </c>
      <c r="DT17" s="92">
        <v>922.6</v>
      </c>
      <c r="DU17" s="283">
        <v>44968</v>
      </c>
      <c r="DV17" s="92">
        <v>922.6</v>
      </c>
      <c r="DW17" s="285" t="s">
        <v>560</v>
      </c>
      <c r="DX17" s="284">
        <v>39</v>
      </c>
      <c r="DY17" s="381">
        <f t="shared" si="17"/>
        <v>35981.4</v>
      </c>
      <c r="EB17" s="104"/>
      <c r="EC17" s="15">
        <v>10</v>
      </c>
      <c r="ED17" s="69">
        <v>883.6</v>
      </c>
      <c r="EE17" s="246">
        <v>44968</v>
      </c>
      <c r="EF17" s="69">
        <v>883.6</v>
      </c>
      <c r="EG17" s="70" t="s">
        <v>557</v>
      </c>
      <c r="EH17" s="71">
        <v>39</v>
      </c>
      <c r="EI17" s="381">
        <f t="shared" si="18"/>
        <v>34460.400000000001</v>
      </c>
      <c r="EL17" s="104"/>
      <c r="EM17" s="15">
        <v>10</v>
      </c>
      <c r="EN17" s="69">
        <v>926.2</v>
      </c>
      <c r="EO17" s="246">
        <v>44972</v>
      </c>
      <c r="EP17" s="69">
        <v>926.2</v>
      </c>
      <c r="EQ17" s="70" t="s">
        <v>576</v>
      </c>
      <c r="ER17" s="71">
        <v>39</v>
      </c>
      <c r="ES17" s="381">
        <f t="shared" si="19"/>
        <v>36121.800000000003</v>
      </c>
      <c r="EV17" s="104"/>
      <c r="EW17" s="15">
        <v>10</v>
      </c>
      <c r="EX17" s="92">
        <v>905.4</v>
      </c>
      <c r="EY17" s="238">
        <v>44971</v>
      </c>
      <c r="EZ17" s="92">
        <v>905.4</v>
      </c>
      <c r="FA17" s="70" t="s">
        <v>569</v>
      </c>
      <c r="FB17" s="71">
        <v>39</v>
      </c>
      <c r="FC17" s="381">
        <f t="shared" si="20"/>
        <v>35310.6</v>
      </c>
      <c r="FF17" s="104"/>
      <c r="FG17" s="15">
        <v>10</v>
      </c>
      <c r="FH17" s="92">
        <v>870.9</v>
      </c>
      <c r="FI17" s="238">
        <v>44975</v>
      </c>
      <c r="FJ17" s="92">
        <v>870.9</v>
      </c>
      <c r="FK17" s="631" t="s">
        <v>610</v>
      </c>
      <c r="FL17" s="632">
        <v>39</v>
      </c>
      <c r="FM17" s="237">
        <f t="shared" si="21"/>
        <v>33965.1</v>
      </c>
      <c r="FP17" s="104"/>
      <c r="FQ17" s="15">
        <v>10</v>
      </c>
      <c r="FR17" s="630">
        <v>957.98</v>
      </c>
      <c r="FS17" s="238">
        <v>44975</v>
      </c>
      <c r="FT17" s="92">
        <v>957.98</v>
      </c>
      <c r="FU17" s="70" t="s">
        <v>609</v>
      </c>
      <c r="FV17" s="71">
        <v>39</v>
      </c>
      <c r="FW17" s="381">
        <f t="shared" si="22"/>
        <v>37361.22</v>
      </c>
      <c r="FZ17" s="104"/>
      <c r="GA17" s="15">
        <v>10</v>
      </c>
      <c r="GB17" s="346">
        <v>901.3</v>
      </c>
      <c r="GC17" s="238">
        <v>44980</v>
      </c>
      <c r="GD17" s="346">
        <v>901.3</v>
      </c>
      <c r="GE17" s="95" t="s">
        <v>639</v>
      </c>
      <c r="GF17" s="71">
        <v>40</v>
      </c>
      <c r="GG17" s="381">
        <f t="shared" si="23"/>
        <v>36052</v>
      </c>
      <c r="GJ17" s="104"/>
      <c r="GK17" s="15">
        <v>10</v>
      </c>
      <c r="GL17" s="92">
        <v>890.4</v>
      </c>
      <c r="GM17" s="238">
        <v>44978</v>
      </c>
      <c r="GN17" s="92">
        <v>890.4</v>
      </c>
      <c r="GO17" s="95" t="s">
        <v>616</v>
      </c>
      <c r="GP17" s="71">
        <v>39</v>
      </c>
      <c r="GQ17" s="381">
        <f t="shared" si="24"/>
        <v>34725.599999999999</v>
      </c>
      <c r="GT17" s="104"/>
      <c r="GU17" s="15">
        <v>10</v>
      </c>
      <c r="GV17" s="92">
        <v>962.06</v>
      </c>
      <c r="GW17" s="238">
        <v>44979</v>
      </c>
      <c r="GX17" s="92">
        <v>962.06</v>
      </c>
      <c r="GY17" s="95" t="s">
        <v>627</v>
      </c>
      <c r="GZ17" s="71">
        <v>40</v>
      </c>
      <c r="HA17" s="381">
        <f t="shared" si="25"/>
        <v>38482.399999999994</v>
      </c>
      <c r="HD17" s="104"/>
      <c r="HE17" s="15">
        <v>10</v>
      </c>
      <c r="HF17" s="92">
        <v>891.3</v>
      </c>
      <c r="HG17" s="238">
        <v>44981</v>
      </c>
      <c r="HH17" s="92">
        <v>891.3</v>
      </c>
      <c r="HI17" s="286" t="s">
        <v>643</v>
      </c>
      <c r="HJ17" s="71">
        <v>40</v>
      </c>
      <c r="HK17" s="237">
        <f t="shared" si="26"/>
        <v>35652</v>
      </c>
      <c r="HN17" s="94"/>
      <c r="HO17" s="15">
        <v>10</v>
      </c>
      <c r="HP17" s="69">
        <v>894.9</v>
      </c>
      <c r="HQ17" s="246">
        <v>44982</v>
      </c>
      <c r="HR17" s="69">
        <v>894.9</v>
      </c>
      <c r="HS17" s="70" t="s">
        <v>664</v>
      </c>
      <c r="HT17" s="71">
        <v>40</v>
      </c>
      <c r="HU17" s="381">
        <f t="shared" si="6"/>
        <v>35796</v>
      </c>
      <c r="HX17" s="94"/>
      <c r="HY17" s="15">
        <v>10</v>
      </c>
      <c r="HZ17" s="69">
        <v>900.8</v>
      </c>
      <c r="IA17" s="246">
        <v>44981</v>
      </c>
      <c r="IB17" s="69">
        <v>900.8</v>
      </c>
      <c r="IC17" s="70" t="s">
        <v>648</v>
      </c>
      <c r="ID17" s="71">
        <v>40</v>
      </c>
      <c r="IE17" s="381">
        <f t="shared" si="27"/>
        <v>36032</v>
      </c>
      <c r="IH17" s="104"/>
      <c r="II17" s="15">
        <v>10</v>
      </c>
      <c r="IJ17" s="69">
        <v>959.8</v>
      </c>
      <c r="IK17" s="246">
        <v>44973</v>
      </c>
      <c r="IL17" s="69">
        <v>959.8</v>
      </c>
      <c r="IM17" s="70" t="s">
        <v>582</v>
      </c>
      <c r="IN17" s="71">
        <v>39</v>
      </c>
      <c r="IO17" s="237">
        <f t="shared" si="28"/>
        <v>37432.199999999997</v>
      </c>
      <c r="IR17" s="104"/>
      <c r="IS17" s="15">
        <v>10</v>
      </c>
      <c r="IT17" s="69">
        <v>900.8</v>
      </c>
      <c r="IU17" s="246">
        <v>44985</v>
      </c>
      <c r="IV17" s="69">
        <v>900.8</v>
      </c>
      <c r="IW17" s="70" t="s">
        <v>667</v>
      </c>
      <c r="IX17" s="71">
        <v>42</v>
      </c>
      <c r="IY17" s="237">
        <f t="shared" si="29"/>
        <v>37833.599999999999</v>
      </c>
      <c r="IZ17" s="92"/>
      <c r="JA17" s="69"/>
      <c r="JB17" s="104"/>
      <c r="JC17" s="15">
        <v>10</v>
      </c>
      <c r="JD17" s="92">
        <v>960.7</v>
      </c>
      <c r="JE17" s="246">
        <v>44987</v>
      </c>
      <c r="JF17" s="92">
        <v>960.7</v>
      </c>
      <c r="JG17" s="70" t="s">
        <v>704</v>
      </c>
      <c r="JH17" s="71">
        <v>42</v>
      </c>
      <c r="JI17" s="381">
        <f t="shared" si="30"/>
        <v>40349.4</v>
      </c>
      <c r="JJ17" s="69"/>
      <c r="JL17" s="104"/>
      <c r="JM17" s="15">
        <v>10</v>
      </c>
      <c r="JN17" s="92">
        <v>887.2</v>
      </c>
      <c r="JO17" s="238">
        <v>44987</v>
      </c>
      <c r="JP17" s="630">
        <v>887.2</v>
      </c>
      <c r="JQ17" s="70" t="s">
        <v>706</v>
      </c>
      <c r="JR17" s="71">
        <v>42</v>
      </c>
      <c r="JS17" s="381">
        <f t="shared" si="31"/>
        <v>37262.400000000001</v>
      </c>
      <c r="JV17" s="104"/>
      <c r="JW17" s="15">
        <v>10</v>
      </c>
      <c r="JX17" s="69">
        <v>880.9</v>
      </c>
      <c r="JY17" s="246">
        <v>44988</v>
      </c>
      <c r="JZ17" s="69">
        <v>880.9</v>
      </c>
      <c r="KA17" s="70" t="s">
        <v>717</v>
      </c>
      <c r="KB17" s="71">
        <v>42</v>
      </c>
      <c r="KC17" s="381">
        <f t="shared" si="32"/>
        <v>36997.799999999996</v>
      </c>
      <c r="KF17" s="104"/>
      <c r="KG17" s="15">
        <v>10</v>
      </c>
      <c r="KH17" s="69">
        <v>938.48</v>
      </c>
      <c r="KI17" s="246">
        <v>44989</v>
      </c>
      <c r="KJ17" s="69">
        <v>938.48</v>
      </c>
      <c r="KK17" s="70" t="s">
        <v>726</v>
      </c>
      <c r="KL17" s="71">
        <v>42</v>
      </c>
      <c r="KM17" s="381">
        <f t="shared" si="33"/>
        <v>39416.160000000003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38"/>
      <c r="SM17" s="630"/>
      <c r="SN17" s="797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490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510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497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506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523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524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535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541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539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545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>
        <v>44967</v>
      </c>
      <c r="DL18" s="630">
        <v>918.07</v>
      </c>
      <c r="DM18" s="657" t="s">
        <v>556</v>
      </c>
      <c r="DN18" s="658">
        <v>39</v>
      </c>
      <c r="DO18" s="386">
        <f t="shared" si="16"/>
        <v>35804.730000000003</v>
      </c>
      <c r="DR18" s="104"/>
      <c r="DS18" s="15">
        <v>11</v>
      </c>
      <c r="DT18" s="69">
        <v>902.6</v>
      </c>
      <c r="DU18" s="283">
        <v>44968</v>
      </c>
      <c r="DV18" s="69">
        <v>902.6</v>
      </c>
      <c r="DW18" s="285" t="s">
        <v>560</v>
      </c>
      <c r="DX18" s="284">
        <v>39</v>
      </c>
      <c r="DY18" s="381">
        <f t="shared" si="17"/>
        <v>35201.4</v>
      </c>
      <c r="EB18" s="104"/>
      <c r="EC18" s="15">
        <v>11</v>
      </c>
      <c r="ED18" s="69">
        <v>872.7</v>
      </c>
      <c r="EE18" s="246">
        <v>44968</v>
      </c>
      <c r="EF18" s="69">
        <v>872.7</v>
      </c>
      <c r="EG18" s="70" t="s">
        <v>562</v>
      </c>
      <c r="EH18" s="71">
        <v>39</v>
      </c>
      <c r="EI18" s="381">
        <f t="shared" si="18"/>
        <v>34035.300000000003</v>
      </c>
      <c r="EL18" s="104"/>
      <c r="EM18" s="15">
        <v>11</v>
      </c>
      <c r="EN18" s="69">
        <v>908.1</v>
      </c>
      <c r="EO18" s="246">
        <v>44972</v>
      </c>
      <c r="EP18" s="69">
        <v>908.1</v>
      </c>
      <c r="EQ18" s="70" t="s">
        <v>575</v>
      </c>
      <c r="ER18" s="71">
        <v>39</v>
      </c>
      <c r="ES18" s="381">
        <f t="shared" si="19"/>
        <v>35415.9</v>
      </c>
      <c r="EV18" s="104"/>
      <c r="EW18" s="15">
        <v>11</v>
      </c>
      <c r="EX18" s="92">
        <v>901.7</v>
      </c>
      <c r="EY18" s="238">
        <v>44971</v>
      </c>
      <c r="EZ18" s="92">
        <v>901.7</v>
      </c>
      <c r="FA18" s="70" t="s">
        <v>569</v>
      </c>
      <c r="FB18" s="71">
        <v>39</v>
      </c>
      <c r="FC18" s="381">
        <f t="shared" si="20"/>
        <v>35166.300000000003</v>
      </c>
      <c r="FF18" s="104"/>
      <c r="FG18" s="15">
        <v>11</v>
      </c>
      <c r="FH18" s="92">
        <v>893.6</v>
      </c>
      <c r="FI18" s="238">
        <v>44975</v>
      </c>
      <c r="FJ18" s="92">
        <v>893.6</v>
      </c>
      <c r="FK18" s="631" t="s">
        <v>610</v>
      </c>
      <c r="FL18" s="632">
        <v>39</v>
      </c>
      <c r="FM18" s="237">
        <f t="shared" si="21"/>
        <v>34850.400000000001</v>
      </c>
      <c r="FP18" s="104"/>
      <c r="FQ18" s="15">
        <v>11</v>
      </c>
      <c r="FR18" s="630">
        <v>935.3</v>
      </c>
      <c r="FS18" s="238">
        <v>44974</v>
      </c>
      <c r="FT18" s="92">
        <v>935.3</v>
      </c>
      <c r="FU18" s="70" t="s">
        <v>601</v>
      </c>
      <c r="FV18" s="71">
        <v>39</v>
      </c>
      <c r="FW18" s="381">
        <f t="shared" si="22"/>
        <v>36476.699999999997</v>
      </c>
      <c r="FX18" s="71"/>
      <c r="FZ18" s="104"/>
      <c r="GA18" s="15">
        <v>11</v>
      </c>
      <c r="GB18" s="346">
        <v>900.4</v>
      </c>
      <c r="GC18" s="238">
        <v>44980</v>
      </c>
      <c r="GD18" s="346">
        <v>900.4</v>
      </c>
      <c r="GE18" s="95" t="s">
        <v>639</v>
      </c>
      <c r="GF18" s="71">
        <v>40</v>
      </c>
      <c r="GG18" s="381">
        <f t="shared" si="23"/>
        <v>36016</v>
      </c>
      <c r="GJ18" s="104"/>
      <c r="GK18" s="15">
        <v>11</v>
      </c>
      <c r="GL18" s="92">
        <v>865.4</v>
      </c>
      <c r="GM18" s="238">
        <v>44978</v>
      </c>
      <c r="GN18" s="92">
        <v>865.4</v>
      </c>
      <c r="GO18" s="95" t="s">
        <v>617</v>
      </c>
      <c r="GP18" s="71">
        <v>39</v>
      </c>
      <c r="GQ18" s="381">
        <f t="shared" si="24"/>
        <v>33750.6</v>
      </c>
      <c r="GT18" s="104"/>
      <c r="GU18" s="15">
        <v>11</v>
      </c>
      <c r="GV18" s="92">
        <v>945.74</v>
      </c>
      <c r="GW18" s="238">
        <v>44979</v>
      </c>
      <c r="GX18" s="92">
        <v>945.74</v>
      </c>
      <c r="GY18" s="797" t="s">
        <v>627</v>
      </c>
      <c r="GZ18" s="71">
        <v>40</v>
      </c>
      <c r="HA18" s="381">
        <f t="shared" si="25"/>
        <v>37829.599999999999</v>
      </c>
      <c r="HD18" s="104"/>
      <c r="HE18" s="15">
        <v>11</v>
      </c>
      <c r="HF18" s="92">
        <v>943.01</v>
      </c>
      <c r="HG18" s="238">
        <v>44981</v>
      </c>
      <c r="HH18" s="92">
        <v>943.01</v>
      </c>
      <c r="HI18" s="286" t="s">
        <v>650</v>
      </c>
      <c r="HJ18" s="71">
        <v>40</v>
      </c>
      <c r="HK18" s="237">
        <f t="shared" si="26"/>
        <v>37720.400000000001</v>
      </c>
      <c r="HN18" s="94"/>
      <c r="HO18" s="15">
        <v>11</v>
      </c>
      <c r="HP18" s="69">
        <v>884</v>
      </c>
      <c r="HQ18" s="246">
        <v>44982</v>
      </c>
      <c r="HR18" s="69">
        <v>884</v>
      </c>
      <c r="HS18" s="70" t="s">
        <v>664</v>
      </c>
      <c r="HT18" s="71">
        <v>40</v>
      </c>
      <c r="HU18" s="381">
        <f t="shared" si="6"/>
        <v>35360</v>
      </c>
      <c r="HX18" s="94"/>
      <c r="HY18" s="15">
        <v>11</v>
      </c>
      <c r="HZ18" s="69">
        <v>902.6</v>
      </c>
      <c r="IA18" s="246">
        <v>44981</v>
      </c>
      <c r="IB18" s="69">
        <v>902.6</v>
      </c>
      <c r="IC18" s="70" t="s">
        <v>648</v>
      </c>
      <c r="ID18" s="71">
        <v>40</v>
      </c>
      <c r="IE18" s="381">
        <f t="shared" si="27"/>
        <v>36104</v>
      </c>
      <c r="IH18" s="104"/>
      <c r="II18" s="15">
        <v>11</v>
      </c>
      <c r="IJ18" s="69">
        <v>931.67</v>
      </c>
      <c r="IK18" s="246">
        <v>44973</v>
      </c>
      <c r="IL18" s="69">
        <v>931.67</v>
      </c>
      <c r="IM18" s="70" t="s">
        <v>589</v>
      </c>
      <c r="IN18" s="71">
        <v>39</v>
      </c>
      <c r="IO18" s="237">
        <f t="shared" si="28"/>
        <v>36335.129999999997</v>
      </c>
      <c r="IR18" s="104"/>
      <c r="IS18" s="15">
        <v>11</v>
      </c>
      <c r="IT18" s="69">
        <v>868.2</v>
      </c>
      <c r="IU18" s="246">
        <v>44985</v>
      </c>
      <c r="IV18" s="69">
        <v>868.2</v>
      </c>
      <c r="IW18" s="70" t="s">
        <v>668</v>
      </c>
      <c r="IX18" s="71">
        <v>42</v>
      </c>
      <c r="IY18" s="237">
        <f t="shared" si="29"/>
        <v>36464.400000000001</v>
      </c>
      <c r="IZ18" s="92"/>
      <c r="JA18" s="69"/>
      <c r="JB18" s="104"/>
      <c r="JC18" s="15">
        <v>11</v>
      </c>
      <c r="JD18" s="92">
        <v>943.47</v>
      </c>
      <c r="JE18" s="246">
        <v>44987</v>
      </c>
      <c r="JF18" s="92">
        <v>943.47</v>
      </c>
      <c r="JG18" s="70" t="s">
        <v>709</v>
      </c>
      <c r="JH18" s="71">
        <v>42</v>
      </c>
      <c r="JI18" s="381">
        <f t="shared" si="30"/>
        <v>39625.74</v>
      </c>
      <c r="JJ18" s="103"/>
      <c r="JL18" s="104"/>
      <c r="JM18" s="15">
        <v>11</v>
      </c>
      <c r="JN18" s="92">
        <v>928</v>
      </c>
      <c r="JO18" s="238">
        <v>44987</v>
      </c>
      <c r="JP18" s="630">
        <v>928</v>
      </c>
      <c r="JQ18" s="70" t="s">
        <v>707</v>
      </c>
      <c r="JR18" s="71">
        <v>42</v>
      </c>
      <c r="JS18" s="381">
        <f t="shared" si="31"/>
        <v>38976</v>
      </c>
      <c r="JV18" s="104"/>
      <c r="JW18" s="15">
        <v>11</v>
      </c>
      <c r="JX18" s="69">
        <v>899</v>
      </c>
      <c r="JY18" s="246">
        <v>44988</v>
      </c>
      <c r="JZ18" s="69">
        <v>899</v>
      </c>
      <c r="KA18" s="70" t="s">
        <v>720</v>
      </c>
      <c r="KB18" s="71">
        <v>42</v>
      </c>
      <c r="KC18" s="381">
        <f t="shared" si="32"/>
        <v>37758</v>
      </c>
      <c r="KF18" s="104"/>
      <c r="KG18" s="15">
        <v>11</v>
      </c>
      <c r="KH18" s="69">
        <v>948</v>
      </c>
      <c r="KI18" s="246">
        <v>44989</v>
      </c>
      <c r="KJ18" s="69">
        <v>948</v>
      </c>
      <c r="KK18" s="70" t="s">
        <v>727</v>
      </c>
      <c r="KL18" s="71">
        <v>42</v>
      </c>
      <c r="KM18" s="381">
        <f t="shared" si="33"/>
        <v>39816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38"/>
      <c r="SM18" s="630"/>
      <c r="SN18" s="797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490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521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497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507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523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524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531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541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539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545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555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>
        <v>44968</v>
      </c>
      <c r="DV19" s="92">
        <v>924.4</v>
      </c>
      <c r="DW19" s="285" t="s">
        <v>560</v>
      </c>
      <c r="DX19" s="284">
        <v>39</v>
      </c>
      <c r="DY19" s="381">
        <f t="shared" si="17"/>
        <v>36051.599999999999</v>
      </c>
      <c r="EB19" s="104"/>
      <c r="EC19" s="15">
        <v>12</v>
      </c>
      <c r="ED19" s="69">
        <v>940.7</v>
      </c>
      <c r="EE19" s="246">
        <v>44968</v>
      </c>
      <c r="EF19" s="69">
        <v>940.7</v>
      </c>
      <c r="EG19" s="70" t="s">
        <v>562</v>
      </c>
      <c r="EH19" s="71">
        <v>39</v>
      </c>
      <c r="EI19" s="381">
        <f t="shared" si="18"/>
        <v>36687.300000000003</v>
      </c>
      <c r="EL19" s="104"/>
      <c r="EM19" s="15">
        <v>12</v>
      </c>
      <c r="EN19" s="69">
        <v>909.9</v>
      </c>
      <c r="EO19" s="246">
        <v>44972</v>
      </c>
      <c r="EP19" s="69">
        <v>909.9</v>
      </c>
      <c r="EQ19" s="70" t="s">
        <v>575</v>
      </c>
      <c r="ER19" s="71">
        <v>39</v>
      </c>
      <c r="ES19" s="381">
        <f t="shared" si="19"/>
        <v>35486.1</v>
      </c>
      <c r="EV19" s="104"/>
      <c r="EW19" s="15">
        <v>12</v>
      </c>
      <c r="EX19" s="92">
        <v>891.8</v>
      </c>
      <c r="EY19" s="238">
        <v>44974</v>
      </c>
      <c r="EZ19" s="92">
        <v>891.8</v>
      </c>
      <c r="FA19" s="70" t="s">
        <v>596</v>
      </c>
      <c r="FB19" s="71">
        <v>39</v>
      </c>
      <c r="FC19" s="381">
        <f t="shared" si="20"/>
        <v>34780.199999999997</v>
      </c>
      <c r="FF19" s="104"/>
      <c r="FG19" s="15">
        <v>12</v>
      </c>
      <c r="FH19" s="92">
        <v>909</v>
      </c>
      <c r="FI19" s="238">
        <v>44975</v>
      </c>
      <c r="FJ19" s="1160">
        <v>909.9</v>
      </c>
      <c r="FK19" s="631" t="s">
        <v>610</v>
      </c>
      <c r="FL19" s="632">
        <v>39</v>
      </c>
      <c r="FM19" s="237">
        <f t="shared" si="21"/>
        <v>35486.1</v>
      </c>
      <c r="FP19" s="104"/>
      <c r="FQ19" s="15">
        <v>12</v>
      </c>
      <c r="FR19" s="630">
        <v>938.02</v>
      </c>
      <c r="FS19" s="238">
        <v>44974</v>
      </c>
      <c r="FT19" s="92">
        <v>938.02</v>
      </c>
      <c r="FU19" s="70" t="s">
        <v>601</v>
      </c>
      <c r="FV19" s="71">
        <v>39</v>
      </c>
      <c r="FW19" s="381">
        <f t="shared" si="22"/>
        <v>36582.78</v>
      </c>
      <c r="FX19" s="71"/>
      <c r="FZ19" s="104"/>
      <c r="GA19" s="15">
        <v>12</v>
      </c>
      <c r="GB19" s="346">
        <v>892.2</v>
      </c>
      <c r="GC19" s="238">
        <v>44980</v>
      </c>
      <c r="GD19" s="346">
        <v>892.2</v>
      </c>
      <c r="GE19" s="95" t="s">
        <v>639</v>
      </c>
      <c r="GF19" s="71">
        <v>40</v>
      </c>
      <c r="GG19" s="381">
        <f t="shared" si="23"/>
        <v>35688</v>
      </c>
      <c r="GJ19" s="104"/>
      <c r="GK19" s="15">
        <v>12</v>
      </c>
      <c r="GL19" s="92">
        <v>884</v>
      </c>
      <c r="GM19" s="238">
        <v>44978</v>
      </c>
      <c r="GN19" s="92">
        <v>884</v>
      </c>
      <c r="GO19" s="95" t="s">
        <v>617</v>
      </c>
      <c r="GP19" s="71">
        <v>39</v>
      </c>
      <c r="GQ19" s="381">
        <f t="shared" si="24"/>
        <v>34476</v>
      </c>
      <c r="GT19" s="104"/>
      <c r="GU19" s="15">
        <v>12</v>
      </c>
      <c r="GV19" s="92">
        <v>932.13</v>
      </c>
      <c r="GW19" s="238">
        <v>44979</v>
      </c>
      <c r="GX19" s="92">
        <v>932.13</v>
      </c>
      <c r="GY19" s="797" t="s">
        <v>627</v>
      </c>
      <c r="GZ19" s="71">
        <v>40</v>
      </c>
      <c r="HA19" s="381">
        <f t="shared" si="25"/>
        <v>37285.199999999997</v>
      </c>
      <c r="HD19" s="104"/>
      <c r="HE19" s="15">
        <v>12</v>
      </c>
      <c r="HF19" s="92">
        <v>933.94</v>
      </c>
      <c r="HG19" s="238">
        <v>44981</v>
      </c>
      <c r="HH19" s="92">
        <v>933.94</v>
      </c>
      <c r="HI19" s="286" t="s">
        <v>654</v>
      </c>
      <c r="HJ19" s="71">
        <v>40</v>
      </c>
      <c r="HK19" s="237">
        <f t="shared" si="26"/>
        <v>37357.600000000006</v>
      </c>
      <c r="HN19" s="94"/>
      <c r="HO19" s="15">
        <v>12</v>
      </c>
      <c r="HP19" s="69">
        <v>920.3</v>
      </c>
      <c r="HQ19" s="246">
        <v>44982</v>
      </c>
      <c r="HR19" s="69">
        <v>920.3</v>
      </c>
      <c r="HS19" s="70" t="s">
        <v>664</v>
      </c>
      <c r="HT19" s="71">
        <v>40</v>
      </c>
      <c r="HU19" s="381">
        <f t="shared" si="6"/>
        <v>36812</v>
      </c>
      <c r="HX19" s="94"/>
      <c r="HY19" s="15">
        <v>12</v>
      </c>
      <c r="HZ19" s="69">
        <v>903.6</v>
      </c>
      <c r="IA19" s="246">
        <v>44981</v>
      </c>
      <c r="IB19" s="69">
        <v>903.6</v>
      </c>
      <c r="IC19" s="70" t="s">
        <v>648</v>
      </c>
      <c r="ID19" s="71">
        <v>40</v>
      </c>
      <c r="IE19" s="381">
        <f t="shared" si="27"/>
        <v>36144</v>
      </c>
      <c r="IH19" s="104"/>
      <c r="II19" s="15">
        <v>12</v>
      </c>
      <c r="IJ19" s="69">
        <v>941.65</v>
      </c>
      <c r="IK19" s="246">
        <v>44973</v>
      </c>
      <c r="IL19" s="69">
        <v>941.65</v>
      </c>
      <c r="IM19" s="70" t="s">
        <v>591</v>
      </c>
      <c r="IN19" s="71">
        <v>39</v>
      </c>
      <c r="IO19" s="237">
        <f t="shared" si="28"/>
        <v>36724.35</v>
      </c>
      <c r="IR19" s="104"/>
      <c r="IS19" s="15">
        <v>12</v>
      </c>
      <c r="IT19" s="69">
        <v>867.3</v>
      </c>
      <c r="IU19" s="246">
        <v>44985</v>
      </c>
      <c r="IV19" s="69">
        <v>867.3</v>
      </c>
      <c r="IW19" s="70" t="s">
        <v>668</v>
      </c>
      <c r="IX19" s="71">
        <v>42</v>
      </c>
      <c r="IY19" s="237">
        <f t="shared" si="29"/>
        <v>36426.6</v>
      </c>
      <c r="IZ19" s="92"/>
      <c r="JA19" s="103"/>
      <c r="JB19" s="104"/>
      <c r="JC19" s="15">
        <v>12</v>
      </c>
      <c r="JD19" s="92">
        <v>908.99</v>
      </c>
      <c r="JE19" s="246">
        <v>44987</v>
      </c>
      <c r="JF19" s="92">
        <v>908.99</v>
      </c>
      <c r="JG19" s="70" t="s">
        <v>709</v>
      </c>
      <c r="JH19" s="71">
        <v>42</v>
      </c>
      <c r="JI19" s="381">
        <f t="shared" si="30"/>
        <v>38177.58</v>
      </c>
      <c r="JL19" s="104"/>
      <c r="JM19" s="15">
        <v>12</v>
      </c>
      <c r="JN19" s="92">
        <v>909</v>
      </c>
      <c r="JO19" s="238">
        <v>44987</v>
      </c>
      <c r="JP19" s="630">
        <v>909</v>
      </c>
      <c r="JQ19" s="70" t="s">
        <v>707</v>
      </c>
      <c r="JR19" s="71">
        <v>42</v>
      </c>
      <c r="JS19" s="381">
        <f t="shared" si="31"/>
        <v>38178</v>
      </c>
      <c r="JV19" s="94"/>
      <c r="JW19" s="15">
        <v>12</v>
      </c>
      <c r="JX19" s="69">
        <v>921.7</v>
      </c>
      <c r="JY19" s="246">
        <v>44988</v>
      </c>
      <c r="JZ19" s="69">
        <v>921.7</v>
      </c>
      <c r="KA19" s="70" t="s">
        <v>720</v>
      </c>
      <c r="KB19" s="71">
        <v>42</v>
      </c>
      <c r="KC19" s="381">
        <f t="shared" si="32"/>
        <v>38711.4</v>
      </c>
      <c r="KF19" s="94"/>
      <c r="KG19" s="15">
        <v>12</v>
      </c>
      <c r="KH19" s="69">
        <v>954.35</v>
      </c>
      <c r="KI19" s="246">
        <v>44989</v>
      </c>
      <c r="KJ19" s="69">
        <v>954.35</v>
      </c>
      <c r="KK19" s="70" t="s">
        <v>727</v>
      </c>
      <c r="KL19" s="71">
        <v>42</v>
      </c>
      <c r="KM19" s="381">
        <f t="shared" si="33"/>
        <v>40082.700000000004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490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521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497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507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523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524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531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541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539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545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555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>
        <v>44968</v>
      </c>
      <c r="DV20" s="92">
        <v>940.7</v>
      </c>
      <c r="DW20" s="285" t="s">
        <v>560</v>
      </c>
      <c r="DX20" s="284">
        <v>39</v>
      </c>
      <c r="DY20" s="381">
        <f t="shared" si="17"/>
        <v>36687.300000000003</v>
      </c>
      <c r="EB20" s="104"/>
      <c r="EC20" s="15">
        <v>13</v>
      </c>
      <c r="ED20" s="69">
        <v>876.3</v>
      </c>
      <c r="EE20" s="246">
        <v>44968</v>
      </c>
      <c r="EF20" s="69">
        <v>876.3</v>
      </c>
      <c r="EG20" s="70" t="s">
        <v>562</v>
      </c>
      <c r="EH20" s="71">
        <v>39</v>
      </c>
      <c r="EI20" s="381">
        <f t="shared" si="18"/>
        <v>34175.699999999997</v>
      </c>
      <c r="EL20" s="104"/>
      <c r="EM20" s="15">
        <v>13</v>
      </c>
      <c r="EN20" s="69">
        <v>877.2</v>
      </c>
      <c r="EO20" s="246">
        <v>44972</v>
      </c>
      <c r="EP20" s="69">
        <v>877.2</v>
      </c>
      <c r="EQ20" s="70" t="s">
        <v>575</v>
      </c>
      <c r="ER20" s="71">
        <v>39</v>
      </c>
      <c r="ES20" s="381">
        <f t="shared" si="19"/>
        <v>34210.800000000003</v>
      </c>
      <c r="EV20" s="104"/>
      <c r="EW20" s="15">
        <v>13</v>
      </c>
      <c r="EX20" s="92">
        <v>881</v>
      </c>
      <c r="EY20" s="1197">
        <v>44974</v>
      </c>
      <c r="EZ20" s="1160">
        <v>880</v>
      </c>
      <c r="FA20" s="70" t="s">
        <v>599</v>
      </c>
      <c r="FB20" s="71">
        <v>39</v>
      </c>
      <c r="FC20" s="381">
        <f t="shared" si="20"/>
        <v>34320</v>
      </c>
      <c r="FF20" s="104"/>
      <c r="FG20" s="15">
        <v>13</v>
      </c>
      <c r="FH20" s="92">
        <v>868.2</v>
      </c>
      <c r="FI20" s="238">
        <v>44975</v>
      </c>
      <c r="FJ20" s="92">
        <v>868.2</v>
      </c>
      <c r="FK20" s="631" t="s">
        <v>610</v>
      </c>
      <c r="FL20" s="632">
        <v>39</v>
      </c>
      <c r="FM20" s="237">
        <f t="shared" si="21"/>
        <v>33859.800000000003</v>
      </c>
      <c r="FP20" s="104"/>
      <c r="FQ20" s="15">
        <v>13</v>
      </c>
      <c r="FR20" s="630">
        <v>951.18</v>
      </c>
      <c r="FS20" s="238">
        <v>44974</v>
      </c>
      <c r="FT20" s="92">
        <v>951.18</v>
      </c>
      <c r="FU20" s="70" t="s">
        <v>601</v>
      </c>
      <c r="FV20" s="71">
        <v>39</v>
      </c>
      <c r="FW20" s="381">
        <f t="shared" si="22"/>
        <v>37096.019999999997</v>
      </c>
      <c r="FX20" s="71"/>
      <c r="FZ20" s="104"/>
      <c r="GA20" s="15">
        <v>13</v>
      </c>
      <c r="GB20" s="346">
        <v>917.6</v>
      </c>
      <c r="GC20" s="238">
        <v>44980</v>
      </c>
      <c r="GD20" s="346">
        <v>917.6</v>
      </c>
      <c r="GE20" s="95" t="s">
        <v>639</v>
      </c>
      <c r="GF20" s="71">
        <v>40</v>
      </c>
      <c r="GG20" s="381">
        <f t="shared" si="23"/>
        <v>36704</v>
      </c>
      <c r="GJ20" s="104"/>
      <c r="GK20" s="15">
        <v>13</v>
      </c>
      <c r="GL20" s="92">
        <v>933.5</v>
      </c>
      <c r="GM20" s="238">
        <v>44978</v>
      </c>
      <c r="GN20" s="92">
        <v>933.5</v>
      </c>
      <c r="GO20" s="95" t="s">
        <v>617</v>
      </c>
      <c r="GP20" s="71">
        <v>39</v>
      </c>
      <c r="GQ20" s="381">
        <f t="shared" si="24"/>
        <v>36406.5</v>
      </c>
      <c r="GT20" s="104"/>
      <c r="GU20" s="15">
        <v>13</v>
      </c>
      <c r="GV20" s="92">
        <v>939.38</v>
      </c>
      <c r="GW20" s="238">
        <v>44979</v>
      </c>
      <c r="GX20" s="92">
        <v>939.38</v>
      </c>
      <c r="GY20" s="797" t="s">
        <v>628</v>
      </c>
      <c r="GZ20" s="71">
        <v>40</v>
      </c>
      <c r="HA20" s="237">
        <f t="shared" si="25"/>
        <v>37575.199999999997</v>
      </c>
      <c r="HD20" s="104"/>
      <c r="HE20" s="15">
        <v>13</v>
      </c>
      <c r="HF20" s="92">
        <v>926.68</v>
      </c>
      <c r="HG20" s="238">
        <v>44980</v>
      </c>
      <c r="HH20" s="92">
        <v>926.68</v>
      </c>
      <c r="HI20" s="286" t="s">
        <v>646</v>
      </c>
      <c r="HJ20" s="71">
        <v>40</v>
      </c>
      <c r="HK20" s="237">
        <f t="shared" si="26"/>
        <v>37067.199999999997</v>
      </c>
      <c r="HN20" s="94"/>
      <c r="HO20" s="15">
        <v>13</v>
      </c>
      <c r="HP20" s="69">
        <v>920.8</v>
      </c>
      <c r="HQ20" s="246">
        <v>44982</v>
      </c>
      <c r="HR20" s="69">
        <v>920.8</v>
      </c>
      <c r="HS20" s="70" t="s">
        <v>664</v>
      </c>
      <c r="HT20" s="71">
        <v>40</v>
      </c>
      <c r="HU20" s="381">
        <f t="shared" si="6"/>
        <v>36832</v>
      </c>
      <c r="HX20" s="94"/>
      <c r="HY20" s="15">
        <v>13</v>
      </c>
      <c r="HZ20" s="69">
        <v>922.6</v>
      </c>
      <c r="IA20" s="246">
        <v>44981</v>
      </c>
      <c r="IB20" s="69">
        <v>922.6</v>
      </c>
      <c r="IC20" s="70" t="s">
        <v>647</v>
      </c>
      <c r="ID20" s="71">
        <v>40</v>
      </c>
      <c r="IE20" s="381">
        <f t="shared" si="27"/>
        <v>36904</v>
      </c>
      <c r="IH20" s="104"/>
      <c r="II20" s="15">
        <v>13</v>
      </c>
      <c r="IJ20" s="69">
        <v>944.37</v>
      </c>
      <c r="IK20" s="246">
        <v>44973</v>
      </c>
      <c r="IL20" s="69">
        <v>944.37</v>
      </c>
      <c r="IM20" s="70" t="s">
        <v>589</v>
      </c>
      <c r="IN20" s="71">
        <v>39</v>
      </c>
      <c r="IO20" s="237">
        <f t="shared" si="28"/>
        <v>36830.43</v>
      </c>
      <c r="IR20" s="104"/>
      <c r="IS20" s="15">
        <v>13</v>
      </c>
      <c r="IT20" s="69">
        <v>874.5</v>
      </c>
      <c r="IU20" s="246">
        <v>44985</v>
      </c>
      <c r="IV20" s="69">
        <v>874.5</v>
      </c>
      <c r="IW20" s="70" t="s">
        <v>668</v>
      </c>
      <c r="IX20" s="71">
        <v>42</v>
      </c>
      <c r="IY20" s="237">
        <f t="shared" si="29"/>
        <v>36729</v>
      </c>
      <c r="IZ20" s="92"/>
      <c r="JB20" s="104"/>
      <c r="JC20" s="15">
        <v>13</v>
      </c>
      <c r="JD20" s="92">
        <v>939.84</v>
      </c>
      <c r="JE20" s="246">
        <v>44987</v>
      </c>
      <c r="JF20" s="92">
        <v>939.84</v>
      </c>
      <c r="JG20" s="70" t="s">
        <v>709</v>
      </c>
      <c r="JH20" s="71">
        <v>42</v>
      </c>
      <c r="JI20" s="381">
        <f t="shared" si="30"/>
        <v>39473.279999999999</v>
      </c>
      <c r="JL20" s="104"/>
      <c r="JM20" s="15">
        <v>13</v>
      </c>
      <c r="JN20" s="92">
        <v>909.9</v>
      </c>
      <c r="JO20" s="238">
        <v>44987</v>
      </c>
      <c r="JP20" s="630">
        <v>909.9</v>
      </c>
      <c r="JQ20" s="70" t="s">
        <v>707</v>
      </c>
      <c r="JR20" s="71">
        <v>42</v>
      </c>
      <c r="JS20" s="381">
        <f t="shared" si="31"/>
        <v>38215.799999999996</v>
      </c>
      <c r="JV20" s="94"/>
      <c r="JW20" s="15">
        <v>13</v>
      </c>
      <c r="JX20" s="69">
        <v>889.9</v>
      </c>
      <c r="JY20" s="246">
        <v>44988</v>
      </c>
      <c r="JZ20" s="69">
        <v>889.9</v>
      </c>
      <c r="KA20" s="70" t="s">
        <v>720</v>
      </c>
      <c r="KB20" s="71">
        <v>42</v>
      </c>
      <c r="KC20" s="381">
        <f t="shared" si="32"/>
        <v>37375.799999999996</v>
      </c>
      <c r="KF20" s="94"/>
      <c r="KG20" s="15">
        <v>13</v>
      </c>
      <c r="KH20" s="69">
        <v>951.18</v>
      </c>
      <c r="KI20" s="246">
        <v>44989</v>
      </c>
      <c r="KJ20" s="69">
        <v>951.18</v>
      </c>
      <c r="KK20" s="70" t="s">
        <v>727</v>
      </c>
      <c r="KL20" s="71">
        <v>42</v>
      </c>
      <c r="KM20" s="381">
        <f t="shared" si="33"/>
        <v>39949.56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490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521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497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507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523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524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531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541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539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545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550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>
        <v>44968</v>
      </c>
      <c r="DV21" s="92">
        <v>937.1</v>
      </c>
      <c r="DW21" s="285" t="s">
        <v>560</v>
      </c>
      <c r="DX21" s="284">
        <v>39</v>
      </c>
      <c r="DY21" s="381">
        <f t="shared" si="17"/>
        <v>36546.9</v>
      </c>
      <c r="EB21" s="104"/>
      <c r="EC21" s="15">
        <v>14</v>
      </c>
      <c r="ED21" s="69">
        <v>900.8</v>
      </c>
      <c r="EE21" s="246">
        <v>44968</v>
      </c>
      <c r="EF21" s="69">
        <v>900.8</v>
      </c>
      <c r="EG21" s="70" t="s">
        <v>562</v>
      </c>
      <c r="EH21" s="71">
        <v>39</v>
      </c>
      <c r="EI21" s="381">
        <f t="shared" si="18"/>
        <v>35131.199999999997</v>
      </c>
      <c r="EL21" s="104"/>
      <c r="EM21" s="15">
        <v>14</v>
      </c>
      <c r="EN21" s="69">
        <v>879.1</v>
      </c>
      <c r="EO21" s="246">
        <v>44972</v>
      </c>
      <c r="EP21" s="69">
        <v>879.1</v>
      </c>
      <c r="EQ21" s="70" t="s">
        <v>577</v>
      </c>
      <c r="ER21" s="71">
        <v>39</v>
      </c>
      <c r="ES21" s="381">
        <f t="shared" si="19"/>
        <v>34284.9</v>
      </c>
      <c r="EV21" s="104"/>
      <c r="EW21" s="15">
        <v>14</v>
      </c>
      <c r="EX21" s="92">
        <v>911.7</v>
      </c>
      <c r="EY21" s="238">
        <v>44974</v>
      </c>
      <c r="EZ21" s="92">
        <v>911.7</v>
      </c>
      <c r="FA21" s="70" t="s">
        <v>596</v>
      </c>
      <c r="FB21" s="71">
        <v>39</v>
      </c>
      <c r="FC21" s="381">
        <f t="shared" si="20"/>
        <v>35556.300000000003</v>
      </c>
      <c r="FF21" s="104"/>
      <c r="FG21" s="15">
        <v>14</v>
      </c>
      <c r="FH21" s="92">
        <v>893.6</v>
      </c>
      <c r="FI21" s="238">
        <v>44975</v>
      </c>
      <c r="FJ21" s="92">
        <v>893.6</v>
      </c>
      <c r="FK21" s="631" t="s">
        <v>610</v>
      </c>
      <c r="FL21" s="632">
        <v>39</v>
      </c>
      <c r="FM21" s="237">
        <f t="shared" si="21"/>
        <v>34850.400000000001</v>
      </c>
      <c r="FP21" s="104"/>
      <c r="FQ21" s="15">
        <v>14</v>
      </c>
      <c r="FR21" s="630">
        <v>938.93</v>
      </c>
      <c r="FS21" s="238">
        <v>44974</v>
      </c>
      <c r="FT21" s="92">
        <v>938.93</v>
      </c>
      <c r="FU21" s="70" t="s">
        <v>601</v>
      </c>
      <c r="FV21" s="71">
        <v>39</v>
      </c>
      <c r="FW21" s="381">
        <f t="shared" si="22"/>
        <v>36618.269999999997</v>
      </c>
      <c r="FX21" s="71"/>
      <c r="FZ21" s="104"/>
      <c r="GA21" s="15">
        <v>14</v>
      </c>
      <c r="GB21" s="346">
        <v>914</v>
      </c>
      <c r="GC21" s="238">
        <v>44980</v>
      </c>
      <c r="GD21" s="346">
        <v>914</v>
      </c>
      <c r="GE21" s="95" t="s">
        <v>646</v>
      </c>
      <c r="GF21" s="71">
        <v>40</v>
      </c>
      <c r="GG21" s="381">
        <f t="shared" si="23"/>
        <v>36560</v>
      </c>
      <c r="GJ21" s="104"/>
      <c r="GK21" s="15">
        <v>14</v>
      </c>
      <c r="GL21" s="92">
        <v>919.4</v>
      </c>
      <c r="GM21" s="238">
        <v>44978</v>
      </c>
      <c r="GN21" s="92">
        <v>919.4</v>
      </c>
      <c r="GO21" s="95" t="s">
        <v>617</v>
      </c>
      <c r="GP21" s="71">
        <v>39</v>
      </c>
      <c r="GQ21" s="381">
        <f t="shared" si="24"/>
        <v>35856.6</v>
      </c>
      <c r="GT21" s="104"/>
      <c r="GU21" s="15">
        <v>14</v>
      </c>
      <c r="GV21" s="92">
        <v>966.6</v>
      </c>
      <c r="GW21" s="238">
        <v>44979</v>
      </c>
      <c r="GX21" s="92">
        <v>966.6</v>
      </c>
      <c r="GY21" s="797" t="s">
        <v>627</v>
      </c>
      <c r="GZ21" s="71">
        <v>40</v>
      </c>
      <c r="HA21" s="237">
        <f t="shared" si="25"/>
        <v>38664</v>
      </c>
      <c r="HD21" s="104"/>
      <c r="HE21" s="15">
        <v>14</v>
      </c>
      <c r="HF21" s="92">
        <v>892.21</v>
      </c>
      <c r="HG21" s="238">
        <v>44981</v>
      </c>
      <c r="HH21" s="92">
        <v>892.21</v>
      </c>
      <c r="HI21" s="286" t="s">
        <v>654</v>
      </c>
      <c r="HJ21" s="71">
        <v>40</v>
      </c>
      <c r="HK21" s="237">
        <f t="shared" si="26"/>
        <v>35688.400000000001</v>
      </c>
      <c r="HN21" s="94"/>
      <c r="HO21" s="15">
        <v>14</v>
      </c>
      <c r="HP21" s="69">
        <v>927.6</v>
      </c>
      <c r="HQ21" s="246">
        <v>44982</v>
      </c>
      <c r="HR21" s="69">
        <v>927.6</v>
      </c>
      <c r="HS21" s="70" t="s">
        <v>664</v>
      </c>
      <c r="HT21" s="71">
        <v>40</v>
      </c>
      <c r="HU21" s="381">
        <f t="shared" si="6"/>
        <v>37104</v>
      </c>
      <c r="HX21" s="94"/>
      <c r="HY21" s="15">
        <v>14</v>
      </c>
      <c r="HZ21" s="69">
        <v>904.5</v>
      </c>
      <c r="IA21" s="246">
        <v>44981</v>
      </c>
      <c r="IB21" s="69">
        <v>904.5</v>
      </c>
      <c r="IC21" s="70" t="s">
        <v>647</v>
      </c>
      <c r="ID21" s="71">
        <v>40</v>
      </c>
      <c r="IE21" s="381">
        <f t="shared" si="27"/>
        <v>36180</v>
      </c>
      <c r="IH21" s="104"/>
      <c r="II21" s="15">
        <v>14</v>
      </c>
      <c r="IJ21" s="69">
        <v>935.3</v>
      </c>
      <c r="IK21" s="246">
        <v>44973</v>
      </c>
      <c r="IL21" s="69">
        <v>935.3</v>
      </c>
      <c r="IM21" s="70" t="s">
        <v>589</v>
      </c>
      <c r="IN21" s="71">
        <v>39</v>
      </c>
      <c r="IO21" s="237">
        <f t="shared" si="28"/>
        <v>36476.699999999997</v>
      </c>
      <c r="IR21" s="104"/>
      <c r="IS21" s="15">
        <v>14</v>
      </c>
      <c r="IT21" s="69">
        <v>893.6</v>
      </c>
      <c r="IU21" s="246">
        <v>44985</v>
      </c>
      <c r="IV21" s="69">
        <v>893.6</v>
      </c>
      <c r="IW21" s="70" t="s">
        <v>668</v>
      </c>
      <c r="IX21" s="71">
        <v>42</v>
      </c>
      <c r="IY21" s="237">
        <f t="shared" si="29"/>
        <v>37531.200000000004</v>
      </c>
      <c r="IZ21" s="92"/>
      <c r="JB21" s="104"/>
      <c r="JC21" s="15">
        <v>14</v>
      </c>
      <c r="JD21" s="92">
        <v>928.04</v>
      </c>
      <c r="JE21" s="246">
        <v>44987</v>
      </c>
      <c r="JF21" s="92">
        <v>928.04</v>
      </c>
      <c r="JG21" s="70" t="s">
        <v>709</v>
      </c>
      <c r="JH21" s="71">
        <v>42</v>
      </c>
      <c r="JI21" s="381">
        <f t="shared" si="30"/>
        <v>38977.68</v>
      </c>
      <c r="JL21" s="104"/>
      <c r="JM21" s="15">
        <v>14</v>
      </c>
      <c r="JN21" s="92">
        <v>889</v>
      </c>
      <c r="JO21" s="238">
        <v>44987</v>
      </c>
      <c r="JP21" s="630">
        <v>889</v>
      </c>
      <c r="JQ21" s="70" t="s">
        <v>707</v>
      </c>
      <c r="JR21" s="71">
        <v>42</v>
      </c>
      <c r="JS21" s="381">
        <f t="shared" si="31"/>
        <v>37338</v>
      </c>
      <c r="JV21" s="94"/>
      <c r="JW21" s="15">
        <v>14</v>
      </c>
      <c r="JX21" s="69">
        <v>889</v>
      </c>
      <c r="JY21" s="246">
        <v>44988</v>
      </c>
      <c r="JZ21" s="69">
        <v>889</v>
      </c>
      <c r="KA21" s="70" t="s">
        <v>720</v>
      </c>
      <c r="KB21" s="71">
        <v>42</v>
      </c>
      <c r="KC21" s="381">
        <f t="shared" si="32"/>
        <v>37338</v>
      </c>
      <c r="KF21" s="94"/>
      <c r="KG21" s="15">
        <v>14</v>
      </c>
      <c r="KH21" s="69">
        <v>922.15</v>
      </c>
      <c r="KI21" s="246">
        <v>44989</v>
      </c>
      <c r="KJ21" s="69">
        <v>922.15</v>
      </c>
      <c r="KK21" s="70" t="s">
        <v>727</v>
      </c>
      <c r="KL21" s="71">
        <v>42</v>
      </c>
      <c r="KM21" s="381">
        <f t="shared" si="33"/>
        <v>38730.299999999996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490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521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497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507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523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524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531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541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539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545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>
        <v>44967</v>
      </c>
      <c r="DL22" s="630">
        <v>957.53</v>
      </c>
      <c r="DM22" s="657" t="s">
        <v>556</v>
      </c>
      <c r="DN22" s="658">
        <v>39</v>
      </c>
      <c r="DO22" s="386">
        <f t="shared" si="16"/>
        <v>37343.67</v>
      </c>
      <c r="DR22" s="104"/>
      <c r="DS22" s="15">
        <v>15</v>
      </c>
      <c r="DT22" s="92">
        <v>940.7</v>
      </c>
      <c r="DU22" s="283">
        <v>44968</v>
      </c>
      <c r="DV22" s="92">
        <v>940.7</v>
      </c>
      <c r="DW22" s="285" t="s">
        <v>560</v>
      </c>
      <c r="DX22" s="284">
        <v>39</v>
      </c>
      <c r="DY22" s="381">
        <f t="shared" si="17"/>
        <v>36687.300000000003</v>
      </c>
      <c r="EB22" s="104"/>
      <c r="EC22" s="15">
        <v>15</v>
      </c>
      <c r="ED22" s="69">
        <v>926.2</v>
      </c>
      <c r="EE22" s="246">
        <v>44968</v>
      </c>
      <c r="EF22" s="69">
        <v>926.2</v>
      </c>
      <c r="EG22" s="70" t="s">
        <v>562</v>
      </c>
      <c r="EH22" s="71">
        <v>39</v>
      </c>
      <c r="EI22" s="381">
        <f t="shared" si="18"/>
        <v>36121.800000000003</v>
      </c>
      <c r="EL22" s="104"/>
      <c r="EM22" s="15">
        <v>15</v>
      </c>
      <c r="EN22" s="69">
        <v>898.1</v>
      </c>
      <c r="EO22" s="246">
        <v>44972</v>
      </c>
      <c r="EP22" s="69">
        <v>898.1</v>
      </c>
      <c r="EQ22" s="70" t="s">
        <v>575</v>
      </c>
      <c r="ER22" s="71">
        <v>39</v>
      </c>
      <c r="ES22" s="381">
        <f t="shared" si="19"/>
        <v>35025.9</v>
      </c>
      <c r="EV22" s="104"/>
      <c r="EW22" s="15">
        <v>15</v>
      </c>
      <c r="EX22" s="92">
        <v>925.3</v>
      </c>
      <c r="EY22" s="238">
        <v>44974</v>
      </c>
      <c r="EZ22" s="92">
        <v>925.3</v>
      </c>
      <c r="FA22" s="70" t="s">
        <v>597</v>
      </c>
      <c r="FB22" s="71">
        <v>39</v>
      </c>
      <c r="FC22" s="381">
        <f t="shared" si="20"/>
        <v>36086.699999999997</v>
      </c>
      <c r="FF22" s="104"/>
      <c r="FG22" s="15">
        <v>15</v>
      </c>
      <c r="FH22" s="92">
        <v>898.1</v>
      </c>
      <c r="FI22" s="238">
        <v>44975</v>
      </c>
      <c r="FJ22" s="92">
        <v>898.1</v>
      </c>
      <c r="FK22" s="631" t="s">
        <v>609</v>
      </c>
      <c r="FL22" s="632">
        <v>39</v>
      </c>
      <c r="FM22" s="237">
        <f t="shared" si="21"/>
        <v>35025.9</v>
      </c>
      <c r="FP22" s="104"/>
      <c r="FQ22" s="15">
        <v>15</v>
      </c>
      <c r="FR22" s="630">
        <v>931.67</v>
      </c>
      <c r="FS22" s="238">
        <v>44974</v>
      </c>
      <c r="FT22" s="92">
        <v>931.67</v>
      </c>
      <c r="FU22" s="70" t="s">
        <v>457</v>
      </c>
      <c r="FV22" s="71">
        <v>39</v>
      </c>
      <c r="FW22" s="381">
        <f t="shared" si="22"/>
        <v>36335.129999999997</v>
      </c>
      <c r="FX22" s="71"/>
      <c r="FZ22" s="104"/>
      <c r="GA22" s="15">
        <v>15</v>
      </c>
      <c r="GB22" s="346">
        <v>896.7</v>
      </c>
      <c r="GC22" s="238">
        <v>44980</v>
      </c>
      <c r="GD22" s="346">
        <v>896.7</v>
      </c>
      <c r="GE22" s="95" t="s">
        <v>646</v>
      </c>
      <c r="GF22" s="71">
        <v>40</v>
      </c>
      <c r="GG22" s="381">
        <f t="shared" si="23"/>
        <v>35868</v>
      </c>
      <c r="GJ22" s="104"/>
      <c r="GK22" s="15">
        <v>15</v>
      </c>
      <c r="GL22" s="92">
        <v>883.6</v>
      </c>
      <c r="GM22" s="238">
        <v>44978</v>
      </c>
      <c r="GN22" s="92">
        <v>883.6</v>
      </c>
      <c r="GO22" s="95" t="s">
        <v>617</v>
      </c>
      <c r="GP22" s="71">
        <v>39</v>
      </c>
      <c r="GQ22" s="381">
        <f t="shared" si="24"/>
        <v>34460.400000000001</v>
      </c>
      <c r="GT22" s="104"/>
      <c r="GU22" s="15">
        <v>15</v>
      </c>
      <c r="GV22" s="92">
        <v>952.99</v>
      </c>
      <c r="GW22" s="238">
        <v>44979</v>
      </c>
      <c r="GX22" s="92">
        <v>952.99</v>
      </c>
      <c r="GY22" s="797" t="s">
        <v>627</v>
      </c>
      <c r="GZ22" s="71">
        <v>40</v>
      </c>
      <c r="HA22" s="237">
        <f t="shared" si="25"/>
        <v>38119.599999999999</v>
      </c>
      <c r="HD22" s="104"/>
      <c r="HE22" s="15">
        <v>15</v>
      </c>
      <c r="HF22" s="92">
        <v>896.75</v>
      </c>
      <c r="HG22" s="238">
        <v>44981</v>
      </c>
      <c r="HH22" s="92">
        <v>896.75</v>
      </c>
      <c r="HI22" s="286" t="s">
        <v>652</v>
      </c>
      <c r="HJ22" s="71">
        <v>40</v>
      </c>
      <c r="HK22" s="237">
        <f t="shared" si="26"/>
        <v>35870</v>
      </c>
      <c r="HN22" s="94"/>
      <c r="HO22" s="15">
        <v>15</v>
      </c>
      <c r="HP22" s="69">
        <v>881.8</v>
      </c>
      <c r="HQ22" s="246">
        <v>44981</v>
      </c>
      <c r="HR22" s="69">
        <v>881.8</v>
      </c>
      <c r="HS22" s="70" t="s">
        <v>657</v>
      </c>
      <c r="HT22" s="71">
        <v>40</v>
      </c>
      <c r="HU22" s="381">
        <f t="shared" si="6"/>
        <v>35272</v>
      </c>
      <c r="HX22" s="94"/>
      <c r="HY22" s="15">
        <v>15</v>
      </c>
      <c r="HZ22" s="69">
        <v>919.9</v>
      </c>
      <c r="IA22" s="246">
        <v>44981</v>
      </c>
      <c r="IB22" s="69">
        <v>919.9</v>
      </c>
      <c r="IC22" s="70" t="s">
        <v>647</v>
      </c>
      <c r="ID22" s="71">
        <v>40</v>
      </c>
      <c r="IE22" s="381">
        <f t="shared" si="27"/>
        <v>36796</v>
      </c>
      <c r="IH22" s="104"/>
      <c r="II22" s="15">
        <v>15</v>
      </c>
      <c r="IJ22" s="69">
        <v>928.04</v>
      </c>
      <c r="IK22" s="246">
        <v>44973</v>
      </c>
      <c r="IL22" s="69">
        <v>928.04</v>
      </c>
      <c r="IM22" s="70" t="s">
        <v>590</v>
      </c>
      <c r="IN22" s="71">
        <v>39</v>
      </c>
      <c r="IO22" s="237">
        <f t="shared" si="28"/>
        <v>36193.56</v>
      </c>
      <c r="IR22" s="104"/>
      <c r="IS22" s="15">
        <v>15</v>
      </c>
      <c r="IT22" s="69">
        <v>881.8</v>
      </c>
      <c r="IU22" s="246">
        <v>44985</v>
      </c>
      <c r="IV22" s="69">
        <v>881.8</v>
      </c>
      <c r="IW22" s="70" t="s">
        <v>668</v>
      </c>
      <c r="IX22" s="71">
        <v>42</v>
      </c>
      <c r="IY22" s="237">
        <f t="shared" si="29"/>
        <v>37035.599999999999</v>
      </c>
      <c r="IZ22" s="92"/>
      <c r="JB22" s="104"/>
      <c r="JC22" s="15">
        <v>15</v>
      </c>
      <c r="JD22" s="92">
        <v>958.89</v>
      </c>
      <c r="JE22" s="246">
        <v>44987</v>
      </c>
      <c r="JF22" s="92">
        <v>958.89</v>
      </c>
      <c r="JG22" s="70" t="s">
        <v>709</v>
      </c>
      <c r="JH22" s="71">
        <v>42</v>
      </c>
      <c r="JI22" s="381">
        <f t="shared" si="30"/>
        <v>40273.379999999997</v>
      </c>
      <c r="JL22" s="104"/>
      <c r="JM22" s="15">
        <v>15</v>
      </c>
      <c r="JN22" s="92">
        <v>886.3</v>
      </c>
      <c r="JO22" s="238">
        <v>44987</v>
      </c>
      <c r="JP22" s="630">
        <v>886.3</v>
      </c>
      <c r="JQ22" s="70" t="s">
        <v>707</v>
      </c>
      <c r="JR22" s="71">
        <v>42</v>
      </c>
      <c r="JS22" s="381">
        <f t="shared" si="31"/>
        <v>37224.6</v>
      </c>
      <c r="JV22" s="94"/>
      <c r="JW22" s="15">
        <v>15</v>
      </c>
      <c r="JX22" s="69">
        <v>915.3</v>
      </c>
      <c r="JY22" s="246">
        <v>44988</v>
      </c>
      <c r="JZ22" s="69">
        <v>915.3</v>
      </c>
      <c r="KA22" s="70" t="s">
        <v>720</v>
      </c>
      <c r="KB22" s="71">
        <v>42</v>
      </c>
      <c r="KC22" s="381">
        <f t="shared" si="32"/>
        <v>38442.6</v>
      </c>
      <c r="KF22" s="94"/>
      <c r="KG22" s="15">
        <v>15</v>
      </c>
      <c r="KH22" s="69">
        <v>952.99</v>
      </c>
      <c r="KI22" s="246">
        <v>44989</v>
      </c>
      <c r="KJ22" s="69">
        <v>952.99</v>
      </c>
      <c r="KK22" s="70" t="s">
        <v>727</v>
      </c>
      <c r="KL22" s="71">
        <v>42</v>
      </c>
      <c r="KM22" s="381">
        <f t="shared" si="33"/>
        <v>40025.58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797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490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510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497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507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523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525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535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541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539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545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554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>
        <v>44968</v>
      </c>
      <c r="DV23" s="92">
        <v>897.2</v>
      </c>
      <c r="DW23" s="285" t="s">
        <v>560</v>
      </c>
      <c r="DX23" s="284">
        <v>39</v>
      </c>
      <c r="DY23" s="381">
        <f t="shared" si="17"/>
        <v>34990.800000000003</v>
      </c>
      <c r="EB23" s="104"/>
      <c r="EC23" s="15">
        <v>16</v>
      </c>
      <c r="ED23" s="69">
        <v>912.6</v>
      </c>
      <c r="EE23" s="246">
        <v>44968</v>
      </c>
      <c r="EF23" s="69">
        <v>912.6</v>
      </c>
      <c r="EG23" s="70" t="s">
        <v>562</v>
      </c>
      <c r="EH23" s="71">
        <v>39</v>
      </c>
      <c r="EI23" s="381">
        <f t="shared" si="18"/>
        <v>35591.4</v>
      </c>
      <c r="EL23" s="104"/>
      <c r="EM23" s="15">
        <v>16</v>
      </c>
      <c r="EN23" s="69">
        <v>900.8</v>
      </c>
      <c r="EO23" s="246">
        <v>44972</v>
      </c>
      <c r="EP23" s="69">
        <v>900.8</v>
      </c>
      <c r="EQ23" s="70" t="s">
        <v>576</v>
      </c>
      <c r="ER23" s="71">
        <v>39</v>
      </c>
      <c r="ES23" s="381">
        <f t="shared" si="19"/>
        <v>35131.199999999997</v>
      </c>
      <c r="EV23" s="104"/>
      <c r="EW23" s="15">
        <v>16</v>
      </c>
      <c r="EX23" s="92">
        <v>874.5</v>
      </c>
      <c r="EY23" s="238">
        <v>44974</v>
      </c>
      <c r="EZ23" s="92">
        <v>874.5</v>
      </c>
      <c r="FA23" s="70" t="s">
        <v>596</v>
      </c>
      <c r="FB23" s="71">
        <v>39</v>
      </c>
      <c r="FC23" s="381">
        <f t="shared" si="20"/>
        <v>34105.5</v>
      </c>
      <c r="FF23" s="104"/>
      <c r="FG23" s="15">
        <v>16</v>
      </c>
      <c r="FH23" s="92">
        <v>910.8</v>
      </c>
      <c r="FI23" s="238">
        <v>44975</v>
      </c>
      <c r="FJ23" s="92">
        <v>910.8</v>
      </c>
      <c r="FK23" s="631" t="s">
        <v>608</v>
      </c>
      <c r="FL23" s="632">
        <v>39</v>
      </c>
      <c r="FM23" s="237">
        <f t="shared" si="21"/>
        <v>35521.199999999997</v>
      </c>
      <c r="FP23" s="104"/>
      <c r="FQ23" s="15">
        <v>16</v>
      </c>
      <c r="FR23" s="630">
        <v>911.26</v>
      </c>
      <c r="FS23" s="238">
        <v>44975</v>
      </c>
      <c r="FT23" s="92">
        <v>911.26</v>
      </c>
      <c r="FU23" s="70" t="s">
        <v>609</v>
      </c>
      <c r="FV23" s="71">
        <v>39</v>
      </c>
      <c r="FW23" s="381">
        <f t="shared" si="22"/>
        <v>35539.14</v>
      </c>
      <c r="FX23" s="71"/>
      <c r="FZ23" s="104"/>
      <c r="GA23" s="15">
        <v>16</v>
      </c>
      <c r="GB23" s="346">
        <v>886.8</v>
      </c>
      <c r="GC23" s="238">
        <v>44980</v>
      </c>
      <c r="GD23" s="346">
        <v>886.8</v>
      </c>
      <c r="GE23" s="95" t="s">
        <v>646</v>
      </c>
      <c r="GF23" s="71">
        <v>40</v>
      </c>
      <c r="GG23" s="381">
        <f t="shared" si="23"/>
        <v>35472</v>
      </c>
      <c r="GJ23" s="104"/>
      <c r="GK23" s="15">
        <v>16</v>
      </c>
      <c r="GL23" s="92">
        <v>896.7</v>
      </c>
      <c r="GM23" s="238">
        <v>44978</v>
      </c>
      <c r="GN23" s="92">
        <v>896.7</v>
      </c>
      <c r="GO23" s="95" t="s">
        <v>617</v>
      </c>
      <c r="GP23" s="71">
        <v>39</v>
      </c>
      <c r="GQ23" s="381">
        <f t="shared" si="24"/>
        <v>34971.300000000003</v>
      </c>
      <c r="GT23" s="104"/>
      <c r="GU23" s="15">
        <v>16</v>
      </c>
      <c r="GV23" s="92">
        <v>925.32</v>
      </c>
      <c r="GW23" s="238">
        <v>44979</v>
      </c>
      <c r="GX23" s="92">
        <v>925.32</v>
      </c>
      <c r="GY23" s="797" t="s">
        <v>627</v>
      </c>
      <c r="GZ23" s="71">
        <v>40</v>
      </c>
      <c r="HA23" s="237">
        <f t="shared" si="25"/>
        <v>37012.800000000003</v>
      </c>
      <c r="HD23" s="104"/>
      <c r="HE23" s="15">
        <v>16</v>
      </c>
      <c r="HF23" s="92">
        <v>918.07</v>
      </c>
      <c r="HG23" s="238">
        <v>44981</v>
      </c>
      <c r="HH23" s="92">
        <v>918.07</v>
      </c>
      <c r="HI23" s="286" t="s">
        <v>650</v>
      </c>
      <c r="HJ23" s="71">
        <v>40</v>
      </c>
      <c r="HK23" s="237">
        <f t="shared" si="26"/>
        <v>36722.800000000003</v>
      </c>
      <c r="HN23" s="94"/>
      <c r="HO23" s="15">
        <v>16</v>
      </c>
      <c r="HP23" s="69">
        <v>935.8</v>
      </c>
      <c r="HQ23" s="246">
        <v>44982</v>
      </c>
      <c r="HR23" s="69">
        <v>935.8</v>
      </c>
      <c r="HS23" s="70" t="s">
        <v>664</v>
      </c>
      <c r="HT23" s="71">
        <v>40</v>
      </c>
      <c r="HU23" s="381">
        <f t="shared" si="6"/>
        <v>37432</v>
      </c>
      <c r="HX23" s="94"/>
      <c r="HY23" s="15">
        <v>16</v>
      </c>
      <c r="HZ23" s="69">
        <v>931.7</v>
      </c>
      <c r="IA23" s="246">
        <v>44981</v>
      </c>
      <c r="IB23" s="69">
        <v>931.7</v>
      </c>
      <c r="IC23" s="70" t="s">
        <v>647</v>
      </c>
      <c r="ID23" s="71">
        <v>40</v>
      </c>
      <c r="IE23" s="381">
        <f t="shared" si="27"/>
        <v>37268</v>
      </c>
      <c r="IH23" s="104"/>
      <c r="II23" s="15">
        <v>16</v>
      </c>
      <c r="IJ23" s="69">
        <v>960.7</v>
      </c>
      <c r="IK23" s="246">
        <v>44973</v>
      </c>
      <c r="IL23" s="69">
        <v>960.7</v>
      </c>
      <c r="IM23" s="70" t="s">
        <v>589</v>
      </c>
      <c r="IN23" s="71">
        <v>39</v>
      </c>
      <c r="IO23" s="237">
        <f t="shared" si="28"/>
        <v>37467.300000000003</v>
      </c>
      <c r="IR23" s="104"/>
      <c r="IS23" s="15">
        <v>16</v>
      </c>
      <c r="IT23" s="69">
        <v>861.8</v>
      </c>
      <c r="IU23" s="246">
        <v>44985</v>
      </c>
      <c r="IV23" s="69">
        <v>861.8</v>
      </c>
      <c r="IW23" s="70" t="s">
        <v>668</v>
      </c>
      <c r="IX23" s="71">
        <v>42</v>
      </c>
      <c r="IY23" s="237">
        <f t="shared" si="29"/>
        <v>36195.599999999999</v>
      </c>
      <c r="IZ23" s="103"/>
      <c r="JA23" s="69"/>
      <c r="JB23" s="104"/>
      <c r="JC23" s="15">
        <v>16</v>
      </c>
      <c r="JD23" s="92">
        <v>916.25</v>
      </c>
      <c r="JE23" s="246">
        <v>44987</v>
      </c>
      <c r="JF23" s="92">
        <v>916.25</v>
      </c>
      <c r="JG23" s="70" t="s">
        <v>709</v>
      </c>
      <c r="JH23" s="71">
        <v>42</v>
      </c>
      <c r="JI23" s="381">
        <f t="shared" si="30"/>
        <v>38482.5</v>
      </c>
      <c r="JL23" s="104"/>
      <c r="JM23" s="15">
        <v>16</v>
      </c>
      <c r="JN23" s="92">
        <v>939.8</v>
      </c>
      <c r="JO23" s="238">
        <v>44987</v>
      </c>
      <c r="JP23" s="630">
        <v>939.8</v>
      </c>
      <c r="JQ23" s="70" t="s">
        <v>707</v>
      </c>
      <c r="JR23" s="71">
        <v>42</v>
      </c>
      <c r="JS23" s="381">
        <f t="shared" si="31"/>
        <v>39471.599999999999</v>
      </c>
      <c r="JV23" s="94"/>
      <c r="JW23" s="15">
        <v>16</v>
      </c>
      <c r="JX23" s="69">
        <v>932.6</v>
      </c>
      <c r="JY23" s="246">
        <v>44988</v>
      </c>
      <c r="JZ23" s="69">
        <v>932.6</v>
      </c>
      <c r="KA23" s="70" t="s">
        <v>720</v>
      </c>
      <c r="KB23" s="71">
        <v>42</v>
      </c>
      <c r="KC23" s="381">
        <f t="shared" si="32"/>
        <v>39169.200000000004</v>
      </c>
      <c r="KF23" s="94"/>
      <c r="KG23" s="15">
        <v>16</v>
      </c>
      <c r="KH23" s="69">
        <v>884.95</v>
      </c>
      <c r="KI23" s="246">
        <v>44989</v>
      </c>
      <c r="KJ23" s="69">
        <v>884.95</v>
      </c>
      <c r="KK23" s="70" t="s">
        <v>727</v>
      </c>
      <c r="KL23" s="71">
        <v>42</v>
      </c>
      <c r="KM23" s="381">
        <f t="shared" si="33"/>
        <v>37167.9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491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510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497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507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523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525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531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541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539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545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>
        <v>44967</v>
      </c>
      <c r="DL24" s="630">
        <v>896.75</v>
      </c>
      <c r="DM24" s="657" t="s">
        <v>556</v>
      </c>
      <c r="DN24" s="658">
        <v>39</v>
      </c>
      <c r="DO24" s="386">
        <f t="shared" si="16"/>
        <v>34973.25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549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>
        <v>44968</v>
      </c>
      <c r="EF24" s="69">
        <v>919.9</v>
      </c>
      <c r="EG24" s="70" t="s">
        <v>562</v>
      </c>
      <c r="EH24" s="71">
        <v>39</v>
      </c>
      <c r="EI24" s="381">
        <f t="shared" si="18"/>
        <v>35876.1</v>
      </c>
      <c r="EL24" s="104"/>
      <c r="EM24" s="15">
        <v>17</v>
      </c>
      <c r="EN24" s="69">
        <v>894.5</v>
      </c>
      <c r="EO24" s="246">
        <v>44972</v>
      </c>
      <c r="EP24" s="69">
        <v>894.5</v>
      </c>
      <c r="EQ24" s="70" t="s">
        <v>575</v>
      </c>
      <c r="ER24" s="71">
        <v>39</v>
      </c>
      <c r="ES24" s="381">
        <f t="shared" si="19"/>
        <v>34885.5</v>
      </c>
      <c r="EV24" s="104"/>
      <c r="EW24" s="15">
        <v>17</v>
      </c>
      <c r="EX24" s="92">
        <v>896.3</v>
      </c>
      <c r="EY24" s="238">
        <v>44974</v>
      </c>
      <c r="EZ24" s="92">
        <v>896.3</v>
      </c>
      <c r="FA24" s="70" t="s">
        <v>596</v>
      </c>
      <c r="FB24" s="71">
        <v>39</v>
      </c>
      <c r="FC24" s="381">
        <f t="shared" si="20"/>
        <v>34955.699999999997</v>
      </c>
      <c r="FF24" s="104"/>
      <c r="FG24" s="15">
        <v>17</v>
      </c>
      <c r="FH24" s="92">
        <v>929.9</v>
      </c>
      <c r="FI24" s="238">
        <v>44975</v>
      </c>
      <c r="FJ24" s="92">
        <v>929.9</v>
      </c>
      <c r="FK24" s="631" t="s">
        <v>604</v>
      </c>
      <c r="FL24" s="632">
        <v>39</v>
      </c>
      <c r="FM24" s="237">
        <f t="shared" si="21"/>
        <v>36266.1</v>
      </c>
      <c r="FP24" s="104"/>
      <c r="FQ24" s="15">
        <v>17</v>
      </c>
      <c r="FR24" s="630">
        <v>909.45</v>
      </c>
      <c r="FS24" s="238">
        <v>44975</v>
      </c>
      <c r="FT24" s="92">
        <v>909.45</v>
      </c>
      <c r="FU24" s="70" t="s">
        <v>609</v>
      </c>
      <c r="FV24" s="71">
        <v>39</v>
      </c>
      <c r="FW24" s="381">
        <f t="shared" si="22"/>
        <v>35468.550000000003</v>
      </c>
      <c r="FX24" s="71"/>
      <c r="FZ24" s="104"/>
      <c r="GA24" s="15">
        <v>17</v>
      </c>
      <c r="GB24" s="346">
        <v>923.1</v>
      </c>
      <c r="GC24" s="238">
        <v>44980</v>
      </c>
      <c r="GD24" s="346">
        <v>923.1</v>
      </c>
      <c r="GE24" s="95" t="s">
        <v>639</v>
      </c>
      <c r="GF24" s="71">
        <v>40</v>
      </c>
      <c r="GG24" s="381">
        <f t="shared" si="23"/>
        <v>36924</v>
      </c>
      <c r="GJ24" s="104"/>
      <c r="GK24" s="15">
        <v>17</v>
      </c>
      <c r="GL24" s="92">
        <v>902.6</v>
      </c>
      <c r="GM24" s="238">
        <v>44978</v>
      </c>
      <c r="GN24" s="92">
        <v>902.6</v>
      </c>
      <c r="GO24" s="95" t="s">
        <v>617</v>
      </c>
      <c r="GP24" s="71">
        <v>39</v>
      </c>
      <c r="GQ24" s="381">
        <f t="shared" si="24"/>
        <v>35201.4</v>
      </c>
      <c r="GT24" s="104"/>
      <c r="GU24" s="15">
        <v>17</v>
      </c>
      <c r="GV24" s="92">
        <v>971.14</v>
      </c>
      <c r="GW24" s="238">
        <v>44979</v>
      </c>
      <c r="GX24" s="92">
        <v>971.14</v>
      </c>
      <c r="GY24" s="797" t="s">
        <v>627</v>
      </c>
      <c r="GZ24" s="71">
        <v>40</v>
      </c>
      <c r="HA24" s="237">
        <f t="shared" si="25"/>
        <v>38845.599999999999</v>
      </c>
      <c r="HD24" s="104"/>
      <c r="HE24" s="15">
        <v>17</v>
      </c>
      <c r="HF24" s="92">
        <v>895.84</v>
      </c>
      <c r="HG24" s="238">
        <v>44981</v>
      </c>
      <c r="HH24" s="92">
        <v>895.84</v>
      </c>
      <c r="HI24" s="286" t="s">
        <v>650</v>
      </c>
      <c r="HJ24" s="71">
        <v>40</v>
      </c>
      <c r="HK24" s="237">
        <f t="shared" si="26"/>
        <v>35833.599999999999</v>
      </c>
      <c r="HN24" s="104"/>
      <c r="HO24" s="15">
        <v>17</v>
      </c>
      <c r="HP24" s="69">
        <v>934.4</v>
      </c>
      <c r="HQ24" s="246">
        <v>44982</v>
      </c>
      <c r="HR24" s="69">
        <v>934.4</v>
      </c>
      <c r="HS24" s="70" t="s">
        <v>664</v>
      </c>
      <c r="HT24" s="71">
        <v>40</v>
      </c>
      <c r="HU24" s="381">
        <f t="shared" si="6"/>
        <v>37376</v>
      </c>
      <c r="HX24" s="104"/>
      <c r="HY24" s="15">
        <v>17</v>
      </c>
      <c r="HZ24" s="69">
        <v>899.9</v>
      </c>
      <c r="IA24" s="246">
        <v>44981</v>
      </c>
      <c r="IB24" s="69">
        <v>899.9</v>
      </c>
      <c r="IC24" s="70" t="s">
        <v>647</v>
      </c>
      <c r="ID24" s="71">
        <v>40</v>
      </c>
      <c r="IE24" s="381">
        <f t="shared" si="27"/>
        <v>35996</v>
      </c>
      <c r="IH24" s="104"/>
      <c r="II24" s="15">
        <v>17</v>
      </c>
      <c r="IJ24" s="69">
        <v>925.32</v>
      </c>
      <c r="IK24" s="246">
        <v>44973</v>
      </c>
      <c r="IL24" s="69">
        <v>925.32</v>
      </c>
      <c r="IM24" s="70" t="s">
        <v>590</v>
      </c>
      <c r="IN24" s="71">
        <v>39</v>
      </c>
      <c r="IO24" s="237">
        <f t="shared" si="28"/>
        <v>36087.480000000003</v>
      </c>
      <c r="IR24" s="104"/>
      <c r="IS24" s="15">
        <v>17</v>
      </c>
      <c r="IT24" s="69">
        <v>918.1</v>
      </c>
      <c r="IU24" s="246">
        <v>44985</v>
      </c>
      <c r="IV24" s="69">
        <v>918.1</v>
      </c>
      <c r="IW24" s="70" t="s">
        <v>668</v>
      </c>
      <c r="IX24" s="71">
        <v>42</v>
      </c>
      <c r="IY24" s="237">
        <f t="shared" si="29"/>
        <v>38560.200000000004</v>
      </c>
      <c r="JA24" s="69"/>
      <c r="JB24" s="104"/>
      <c r="JC24" s="15">
        <v>17</v>
      </c>
      <c r="JD24" s="92">
        <v>915.34</v>
      </c>
      <c r="JE24" s="246">
        <v>44987</v>
      </c>
      <c r="JF24" s="92">
        <v>915.34</v>
      </c>
      <c r="JG24" s="70" t="s">
        <v>709</v>
      </c>
      <c r="JH24" s="71">
        <v>42</v>
      </c>
      <c r="JI24" s="237">
        <f t="shared" si="30"/>
        <v>38444.28</v>
      </c>
      <c r="JL24" s="104"/>
      <c r="JM24" s="15">
        <v>17</v>
      </c>
      <c r="JN24" s="92">
        <v>924.4</v>
      </c>
      <c r="JO24" s="238">
        <v>44987</v>
      </c>
      <c r="JP24" s="630">
        <v>924.4</v>
      </c>
      <c r="JQ24" s="70" t="s">
        <v>707</v>
      </c>
      <c r="JR24" s="71">
        <v>42</v>
      </c>
      <c r="JS24" s="381">
        <f t="shared" si="31"/>
        <v>38824.799999999996</v>
      </c>
      <c r="JV24" s="94"/>
      <c r="JW24" s="15">
        <v>17</v>
      </c>
      <c r="JX24" s="69">
        <v>872.7</v>
      </c>
      <c r="JY24" s="246">
        <v>44988</v>
      </c>
      <c r="JZ24" s="69">
        <v>872.7</v>
      </c>
      <c r="KA24" s="70" t="s">
        <v>720</v>
      </c>
      <c r="KB24" s="71">
        <v>42</v>
      </c>
      <c r="KC24" s="381">
        <f t="shared" si="32"/>
        <v>36653.4</v>
      </c>
      <c r="KF24" s="94"/>
      <c r="KG24" s="15">
        <v>17</v>
      </c>
      <c r="KH24" s="69">
        <v>913.08</v>
      </c>
      <c r="KI24" s="246">
        <v>44989</v>
      </c>
      <c r="KJ24" s="69">
        <v>913.08</v>
      </c>
      <c r="KK24" s="70" t="s">
        <v>727</v>
      </c>
      <c r="KL24" s="71">
        <v>42</v>
      </c>
      <c r="KM24" s="381">
        <f t="shared" si="33"/>
        <v>38349.360000000001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491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510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497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507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520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524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535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541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539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545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550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>
        <v>44968</v>
      </c>
      <c r="DV25" s="92">
        <v>922.6</v>
      </c>
      <c r="DW25" s="285" t="s">
        <v>557</v>
      </c>
      <c r="DX25" s="284">
        <v>39</v>
      </c>
      <c r="DY25" s="381">
        <f t="shared" si="17"/>
        <v>35981.4</v>
      </c>
      <c r="EB25" s="94"/>
      <c r="EC25" s="15">
        <v>18</v>
      </c>
      <c r="ED25" s="69">
        <v>930.8</v>
      </c>
      <c r="EE25" s="246">
        <v>44968</v>
      </c>
      <c r="EF25" s="69">
        <v>930.8</v>
      </c>
      <c r="EG25" s="70" t="s">
        <v>562</v>
      </c>
      <c r="EH25" s="71">
        <v>39</v>
      </c>
      <c r="EI25" s="381">
        <f t="shared" si="18"/>
        <v>36301.199999999997</v>
      </c>
      <c r="EL25" s="94"/>
      <c r="EM25" s="15">
        <v>18</v>
      </c>
      <c r="EN25" s="69">
        <v>871.8</v>
      </c>
      <c r="EO25" s="246">
        <v>44973</v>
      </c>
      <c r="EP25" s="69">
        <v>871.8</v>
      </c>
      <c r="EQ25" s="70" t="s">
        <v>582</v>
      </c>
      <c r="ER25" s="71">
        <v>39</v>
      </c>
      <c r="ES25" s="381">
        <f t="shared" si="19"/>
        <v>34000.199999999997</v>
      </c>
      <c r="EV25" s="94"/>
      <c r="EW25" s="15">
        <v>18</v>
      </c>
      <c r="EX25" s="92">
        <v>899.9</v>
      </c>
      <c r="EY25" s="238">
        <v>44974</v>
      </c>
      <c r="EZ25" s="92">
        <v>899.9</v>
      </c>
      <c r="FA25" s="70" t="s">
        <v>599</v>
      </c>
      <c r="FB25" s="71">
        <v>39</v>
      </c>
      <c r="FC25" s="381">
        <f t="shared" si="20"/>
        <v>35096.1</v>
      </c>
      <c r="FF25" s="94"/>
      <c r="FG25" s="15">
        <v>18</v>
      </c>
      <c r="FH25" s="92">
        <v>898.1</v>
      </c>
      <c r="FI25" s="238">
        <v>44975</v>
      </c>
      <c r="FJ25" s="92">
        <v>898.1</v>
      </c>
      <c r="FK25" s="631" t="s">
        <v>610</v>
      </c>
      <c r="FL25" s="632">
        <v>39</v>
      </c>
      <c r="FM25" s="237">
        <f t="shared" si="21"/>
        <v>35025.9</v>
      </c>
      <c r="FP25" s="94"/>
      <c r="FQ25" s="15">
        <v>18</v>
      </c>
      <c r="FR25" s="630">
        <v>959.34</v>
      </c>
      <c r="FS25" s="238">
        <v>44974</v>
      </c>
      <c r="FT25" s="92">
        <v>959.34</v>
      </c>
      <c r="FU25" s="70" t="s">
        <v>457</v>
      </c>
      <c r="FV25" s="71">
        <v>39</v>
      </c>
      <c r="FW25" s="381">
        <f t="shared" si="22"/>
        <v>37414.26</v>
      </c>
      <c r="FX25" s="71"/>
      <c r="FZ25" s="94"/>
      <c r="GA25" s="15">
        <v>18</v>
      </c>
      <c r="GB25" s="346">
        <v>897.7</v>
      </c>
      <c r="GC25" s="238">
        <v>44980</v>
      </c>
      <c r="GD25" s="346">
        <v>897.7</v>
      </c>
      <c r="GE25" s="95" t="s">
        <v>640</v>
      </c>
      <c r="GF25" s="71">
        <v>40</v>
      </c>
      <c r="GG25" s="381">
        <f t="shared" si="23"/>
        <v>35908</v>
      </c>
      <c r="GJ25" s="94"/>
      <c r="GK25" s="15">
        <v>18</v>
      </c>
      <c r="GL25" s="92">
        <v>892.2</v>
      </c>
      <c r="GM25" s="238">
        <v>44978</v>
      </c>
      <c r="GN25" s="92">
        <v>892.2</v>
      </c>
      <c r="GO25" s="95" t="s">
        <v>617</v>
      </c>
      <c r="GP25" s="71">
        <v>39</v>
      </c>
      <c r="GQ25" s="381">
        <f t="shared" si="24"/>
        <v>34795.800000000003</v>
      </c>
      <c r="GT25" s="94"/>
      <c r="GU25" s="15">
        <v>18</v>
      </c>
      <c r="GV25" s="92">
        <v>943.01</v>
      </c>
      <c r="GW25" s="238">
        <v>44979</v>
      </c>
      <c r="GX25" s="92">
        <v>943.01</v>
      </c>
      <c r="GY25" s="797" t="s">
        <v>627</v>
      </c>
      <c r="GZ25" s="71">
        <v>40</v>
      </c>
      <c r="HA25" s="237">
        <f t="shared" si="25"/>
        <v>37720.400000000001</v>
      </c>
      <c r="HD25" s="209"/>
      <c r="HE25" s="15">
        <v>18</v>
      </c>
      <c r="HF25" s="92">
        <v>876.34</v>
      </c>
      <c r="HG25" s="238">
        <v>44981</v>
      </c>
      <c r="HH25" s="92">
        <v>876.34</v>
      </c>
      <c r="HI25" s="286" t="s">
        <v>652</v>
      </c>
      <c r="HJ25" s="71">
        <v>40</v>
      </c>
      <c r="HK25" s="237">
        <f t="shared" si="26"/>
        <v>35053.599999999999</v>
      </c>
      <c r="HN25" s="104"/>
      <c r="HO25" s="15">
        <v>18</v>
      </c>
      <c r="HP25" s="69">
        <v>877.2</v>
      </c>
      <c r="HQ25" s="246">
        <v>44982</v>
      </c>
      <c r="HR25" s="69">
        <v>877.2</v>
      </c>
      <c r="HS25" s="70" t="s">
        <v>664</v>
      </c>
      <c r="HT25" s="71">
        <v>40</v>
      </c>
      <c r="HU25" s="381">
        <f t="shared" si="6"/>
        <v>35088</v>
      </c>
      <c r="HX25" s="104"/>
      <c r="HY25" s="15">
        <v>18</v>
      </c>
      <c r="HZ25" s="69">
        <v>886.3</v>
      </c>
      <c r="IA25" s="246">
        <v>44981</v>
      </c>
      <c r="IB25" s="69">
        <v>886.3</v>
      </c>
      <c r="IC25" s="70" t="s">
        <v>647</v>
      </c>
      <c r="ID25" s="71">
        <v>40</v>
      </c>
      <c r="IE25" s="381">
        <f t="shared" si="27"/>
        <v>35452</v>
      </c>
      <c r="IH25" s="94"/>
      <c r="II25" s="15">
        <v>18</v>
      </c>
      <c r="IJ25" s="69">
        <v>931.67</v>
      </c>
      <c r="IK25" s="246">
        <v>44973</v>
      </c>
      <c r="IL25" s="69">
        <v>931.67</v>
      </c>
      <c r="IM25" s="70" t="s">
        <v>591</v>
      </c>
      <c r="IN25" s="71">
        <v>39</v>
      </c>
      <c r="IO25" s="237">
        <f t="shared" si="28"/>
        <v>36335.129999999997</v>
      </c>
      <c r="IR25" s="94"/>
      <c r="IS25" s="15">
        <v>18</v>
      </c>
      <c r="IT25" s="69">
        <v>886.3</v>
      </c>
      <c r="IU25" s="246">
        <v>44985</v>
      </c>
      <c r="IV25" s="69">
        <v>886.3</v>
      </c>
      <c r="IW25" s="70" t="s">
        <v>668</v>
      </c>
      <c r="IX25" s="71">
        <v>42</v>
      </c>
      <c r="IY25" s="237">
        <f t="shared" si="29"/>
        <v>37224.6</v>
      </c>
      <c r="JA25" s="69"/>
      <c r="JB25" s="94"/>
      <c r="JC25" s="15">
        <v>18</v>
      </c>
      <c r="JD25" s="92">
        <v>944.37</v>
      </c>
      <c r="JE25" s="246">
        <v>44987</v>
      </c>
      <c r="JF25" s="92">
        <v>944.37</v>
      </c>
      <c r="JG25" s="70" t="s">
        <v>709</v>
      </c>
      <c r="JH25" s="71">
        <v>42</v>
      </c>
      <c r="JI25" s="381">
        <f t="shared" si="30"/>
        <v>39663.54</v>
      </c>
      <c r="JL25" s="94"/>
      <c r="JM25" s="15">
        <v>18</v>
      </c>
      <c r="JN25" s="92">
        <v>909</v>
      </c>
      <c r="JO25" s="238">
        <v>44987</v>
      </c>
      <c r="JP25" s="630">
        <v>909</v>
      </c>
      <c r="JQ25" s="70" t="s">
        <v>720</v>
      </c>
      <c r="JR25" s="71">
        <v>42</v>
      </c>
      <c r="JS25" s="381">
        <f t="shared" si="31"/>
        <v>38178</v>
      </c>
      <c r="JV25" s="94"/>
      <c r="JW25" s="15">
        <v>18</v>
      </c>
      <c r="JX25" s="69">
        <v>917.2</v>
      </c>
      <c r="JY25" s="246">
        <v>44988</v>
      </c>
      <c r="JZ25" s="69">
        <v>917.2</v>
      </c>
      <c r="KA25" s="70" t="s">
        <v>720</v>
      </c>
      <c r="KB25" s="71">
        <v>42</v>
      </c>
      <c r="KC25" s="381">
        <f t="shared" si="32"/>
        <v>38522.400000000001</v>
      </c>
      <c r="KF25" s="94"/>
      <c r="KG25" s="15">
        <v>18</v>
      </c>
      <c r="KH25" s="69">
        <v>954.81</v>
      </c>
      <c r="KI25" s="246">
        <v>44989</v>
      </c>
      <c r="KJ25" s="69">
        <v>954.81</v>
      </c>
      <c r="KK25" s="70" t="s">
        <v>727</v>
      </c>
      <c r="KL25" s="71">
        <v>42</v>
      </c>
      <c r="KM25" s="381">
        <f t="shared" si="33"/>
        <v>40102.019999999997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491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510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497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507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523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524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533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541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539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545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550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549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>
        <v>44968</v>
      </c>
      <c r="EF26" s="69">
        <v>919</v>
      </c>
      <c r="EG26" s="70" t="s">
        <v>562</v>
      </c>
      <c r="EH26" s="71">
        <v>39</v>
      </c>
      <c r="EI26" s="381">
        <f t="shared" si="18"/>
        <v>35841</v>
      </c>
      <c r="EL26" s="104"/>
      <c r="EM26" s="15">
        <v>19</v>
      </c>
      <c r="EN26" s="69">
        <v>895.4</v>
      </c>
      <c r="EO26" s="246">
        <v>44972</v>
      </c>
      <c r="EP26" s="69">
        <v>895.4</v>
      </c>
      <c r="EQ26" s="70" t="s">
        <v>575</v>
      </c>
      <c r="ER26" s="71">
        <v>39</v>
      </c>
      <c r="ES26" s="381">
        <f t="shared" si="19"/>
        <v>34920.6</v>
      </c>
      <c r="EV26" s="94"/>
      <c r="EW26" s="15">
        <v>19</v>
      </c>
      <c r="EX26" s="92">
        <v>879.1</v>
      </c>
      <c r="EY26" s="238">
        <v>44974</v>
      </c>
      <c r="EZ26" s="92">
        <v>879.1</v>
      </c>
      <c r="FA26" s="70" t="s">
        <v>596</v>
      </c>
      <c r="FB26" s="71">
        <v>39</v>
      </c>
      <c r="FC26" s="381">
        <f t="shared" si="20"/>
        <v>34284.9</v>
      </c>
      <c r="FF26" s="94"/>
      <c r="FG26" s="15">
        <v>19</v>
      </c>
      <c r="FH26" s="92">
        <v>929.9</v>
      </c>
      <c r="FI26" s="238">
        <v>44975</v>
      </c>
      <c r="FJ26" s="92">
        <v>929.9</v>
      </c>
      <c r="FK26" s="631" t="s">
        <v>608</v>
      </c>
      <c r="FL26" s="632">
        <v>39</v>
      </c>
      <c r="FM26" s="237">
        <f t="shared" si="21"/>
        <v>36266.1</v>
      </c>
      <c r="FP26" s="104"/>
      <c r="FQ26" s="15">
        <v>19</v>
      </c>
      <c r="FR26" s="630">
        <v>950.27</v>
      </c>
      <c r="FS26" s="238">
        <v>44974</v>
      </c>
      <c r="FT26" s="92">
        <v>950.27</v>
      </c>
      <c r="FU26" s="70" t="s">
        <v>601</v>
      </c>
      <c r="FV26" s="71">
        <v>39</v>
      </c>
      <c r="FW26" s="381">
        <f t="shared" si="22"/>
        <v>37060.53</v>
      </c>
      <c r="FX26" s="71"/>
      <c r="FZ26" s="104"/>
      <c r="GA26" s="15">
        <v>19</v>
      </c>
      <c r="GB26" s="346">
        <v>923.1</v>
      </c>
      <c r="GC26" s="238">
        <v>44980</v>
      </c>
      <c r="GD26" s="346">
        <v>923.1</v>
      </c>
      <c r="GE26" s="95" t="s">
        <v>639</v>
      </c>
      <c r="GF26" s="71">
        <v>40</v>
      </c>
      <c r="GG26" s="381">
        <f t="shared" si="23"/>
        <v>36924</v>
      </c>
      <c r="GJ26" s="104"/>
      <c r="GK26" s="15">
        <v>19</v>
      </c>
      <c r="GL26" s="92">
        <v>903.6</v>
      </c>
      <c r="GM26" s="238">
        <v>44978</v>
      </c>
      <c r="GN26" s="92">
        <v>903.6</v>
      </c>
      <c r="GO26" s="95" t="s">
        <v>617</v>
      </c>
      <c r="GP26" s="71">
        <v>39</v>
      </c>
      <c r="GQ26" s="381">
        <f t="shared" si="24"/>
        <v>35240.400000000001</v>
      </c>
      <c r="GT26" s="104"/>
      <c r="GU26" s="15">
        <v>19</v>
      </c>
      <c r="GV26" s="92">
        <v>924.87</v>
      </c>
      <c r="GW26" s="238">
        <v>44979</v>
      </c>
      <c r="GX26" s="92">
        <v>924.87</v>
      </c>
      <c r="GY26" s="797" t="s">
        <v>626</v>
      </c>
      <c r="GZ26" s="71">
        <v>40</v>
      </c>
      <c r="HA26" s="237">
        <f t="shared" si="25"/>
        <v>36994.800000000003</v>
      </c>
      <c r="HD26" s="209"/>
      <c r="HE26" s="15">
        <v>19</v>
      </c>
      <c r="HF26" s="92">
        <v>928.95</v>
      </c>
      <c r="HG26" s="238">
        <v>44981</v>
      </c>
      <c r="HH26" s="92">
        <v>928.95</v>
      </c>
      <c r="HI26" s="286" t="s">
        <v>654</v>
      </c>
      <c r="HJ26" s="71">
        <v>40</v>
      </c>
      <c r="HK26" s="237">
        <f t="shared" si="26"/>
        <v>37158</v>
      </c>
      <c r="HN26" s="104"/>
      <c r="HO26" s="15">
        <v>19</v>
      </c>
      <c r="HP26" s="69">
        <v>893.6</v>
      </c>
      <c r="HQ26" s="246">
        <v>44982</v>
      </c>
      <c r="HR26" s="69">
        <v>893.6</v>
      </c>
      <c r="HS26" s="70" t="s">
        <v>662</v>
      </c>
      <c r="HT26" s="71">
        <v>40</v>
      </c>
      <c r="HU26" s="381">
        <f t="shared" si="6"/>
        <v>35744</v>
      </c>
      <c r="HX26" s="104"/>
      <c r="HY26" s="15">
        <v>19</v>
      </c>
      <c r="HZ26" s="69">
        <v>889</v>
      </c>
      <c r="IA26" s="246">
        <v>44981</v>
      </c>
      <c r="IB26" s="69">
        <v>889</v>
      </c>
      <c r="IC26" s="70" t="s">
        <v>647</v>
      </c>
      <c r="ID26" s="71">
        <v>40</v>
      </c>
      <c r="IE26" s="381">
        <f t="shared" si="27"/>
        <v>35560</v>
      </c>
      <c r="IH26" s="104"/>
      <c r="II26" s="15">
        <v>19</v>
      </c>
      <c r="IJ26" s="69">
        <v>946.19</v>
      </c>
      <c r="IK26" s="246">
        <v>44973</v>
      </c>
      <c r="IL26" s="69">
        <v>946.19</v>
      </c>
      <c r="IM26" s="70" t="s">
        <v>590</v>
      </c>
      <c r="IN26" s="71">
        <v>39</v>
      </c>
      <c r="IO26" s="237">
        <f t="shared" si="28"/>
        <v>36901.410000000003</v>
      </c>
      <c r="IR26" s="104"/>
      <c r="IS26" s="15">
        <v>19</v>
      </c>
      <c r="IT26" s="69">
        <v>908.1</v>
      </c>
      <c r="IU26" s="246">
        <v>44985</v>
      </c>
      <c r="IV26" s="69">
        <v>908.1</v>
      </c>
      <c r="IW26" s="70" t="s">
        <v>668</v>
      </c>
      <c r="IX26" s="71">
        <v>42</v>
      </c>
      <c r="IY26" s="237">
        <f t="shared" si="29"/>
        <v>38140.200000000004</v>
      </c>
      <c r="JA26" s="69"/>
      <c r="JB26" s="104"/>
      <c r="JC26" s="15">
        <v>19</v>
      </c>
      <c r="JD26" s="92">
        <v>919.88</v>
      </c>
      <c r="JE26" s="246">
        <v>44987</v>
      </c>
      <c r="JF26" s="92">
        <v>919.88</v>
      </c>
      <c r="JG26" s="70" t="s">
        <v>709</v>
      </c>
      <c r="JH26" s="71">
        <v>42</v>
      </c>
      <c r="JI26" s="381">
        <f t="shared" si="30"/>
        <v>38634.959999999999</v>
      </c>
      <c r="JL26" s="104"/>
      <c r="JM26" s="15">
        <v>19</v>
      </c>
      <c r="JN26" s="92">
        <v>882.7</v>
      </c>
      <c r="JO26" s="238">
        <v>44987</v>
      </c>
      <c r="JP26" s="630">
        <v>882.7</v>
      </c>
      <c r="JQ26" s="70" t="s">
        <v>707</v>
      </c>
      <c r="JR26" s="71">
        <v>42</v>
      </c>
      <c r="JS26" s="381">
        <f t="shared" si="31"/>
        <v>37073.4</v>
      </c>
      <c r="JV26" s="94"/>
      <c r="JW26" s="15">
        <v>19</v>
      </c>
      <c r="JX26" s="69">
        <v>932.6</v>
      </c>
      <c r="JY26" s="246">
        <v>44988</v>
      </c>
      <c r="JZ26" s="69">
        <v>932.6</v>
      </c>
      <c r="KA26" s="70" t="s">
        <v>720</v>
      </c>
      <c r="KB26" s="71">
        <v>42</v>
      </c>
      <c r="KC26" s="381">
        <f t="shared" si="32"/>
        <v>39169.200000000004</v>
      </c>
      <c r="KF26" s="94"/>
      <c r="KG26" s="15">
        <v>19</v>
      </c>
      <c r="KH26" s="69">
        <v>918.07</v>
      </c>
      <c r="KI26" s="246">
        <v>44989</v>
      </c>
      <c r="KJ26" s="69">
        <v>918.07</v>
      </c>
      <c r="KK26" s="70" t="s">
        <v>727</v>
      </c>
      <c r="KL26" s="71">
        <v>42</v>
      </c>
      <c r="KM26" s="381">
        <f t="shared" si="33"/>
        <v>38558.94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44972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491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521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497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507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523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524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535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541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539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545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554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160">
        <v>910.8</v>
      </c>
      <c r="DW27" s="285" t="s">
        <v>549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>
        <v>44968</v>
      </c>
      <c r="EF27" s="69">
        <v>908.1</v>
      </c>
      <c r="EG27" s="70" t="s">
        <v>562</v>
      </c>
      <c r="EH27" s="71">
        <v>39</v>
      </c>
      <c r="EI27" s="381">
        <f t="shared" si="18"/>
        <v>35415.9</v>
      </c>
      <c r="EL27" s="104"/>
      <c r="EM27" s="15">
        <v>20</v>
      </c>
      <c r="EN27" s="69">
        <v>899.9</v>
      </c>
      <c r="EO27" s="246">
        <v>44972</v>
      </c>
      <c r="EP27" s="69">
        <v>899.9</v>
      </c>
      <c r="EQ27" s="70" t="s">
        <v>575</v>
      </c>
      <c r="ER27" s="71">
        <v>39</v>
      </c>
      <c r="ES27" s="381">
        <f t="shared" si="19"/>
        <v>35096.1</v>
      </c>
      <c r="EV27" s="94"/>
      <c r="EW27" s="15">
        <v>20</v>
      </c>
      <c r="EX27" s="92">
        <v>912.6</v>
      </c>
      <c r="EY27" s="238">
        <v>44973</v>
      </c>
      <c r="EZ27" s="92">
        <v>912.6</v>
      </c>
      <c r="FA27" s="70" t="s">
        <v>591</v>
      </c>
      <c r="FB27" s="71">
        <v>39</v>
      </c>
      <c r="FC27" s="381">
        <f t="shared" si="20"/>
        <v>35591.4</v>
      </c>
      <c r="FF27" s="94"/>
      <c r="FG27" s="15">
        <v>20</v>
      </c>
      <c r="FH27" s="92">
        <v>878.2</v>
      </c>
      <c r="FI27" s="238">
        <v>44975</v>
      </c>
      <c r="FJ27" s="92">
        <v>878.2</v>
      </c>
      <c r="FK27" s="631" t="s">
        <v>609</v>
      </c>
      <c r="FL27" s="632">
        <v>39</v>
      </c>
      <c r="FM27" s="237">
        <f t="shared" si="21"/>
        <v>34249.800000000003</v>
      </c>
      <c r="FP27" s="104"/>
      <c r="FQ27" s="15">
        <v>20</v>
      </c>
      <c r="FR27" s="630">
        <v>974.31</v>
      </c>
      <c r="FS27" s="238">
        <v>44974</v>
      </c>
      <c r="FT27" s="92">
        <v>974.31</v>
      </c>
      <c r="FU27" s="70" t="s">
        <v>603</v>
      </c>
      <c r="FV27" s="71">
        <v>39</v>
      </c>
      <c r="FW27" s="381">
        <f t="shared" si="22"/>
        <v>37998.089999999997</v>
      </c>
      <c r="FX27" s="71"/>
      <c r="FZ27" s="104"/>
      <c r="GA27" s="15">
        <v>20</v>
      </c>
      <c r="GB27" s="346">
        <v>917.6</v>
      </c>
      <c r="GC27" s="238">
        <v>44980</v>
      </c>
      <c r="GD27" s="346">
        <v>917.6</v>
      </c>
      <c r="GE27" s="95" t="s">
        <v>646</v>
      </c>
      <c r="GF27" s="71">
        <v>40</v>
      </c>
      <c r="GG27" s="381">
        <f t="shared" si="23"/>
        <v>36704</v>
      </c>
      <c r="GJ27" s="104"/>
      <c r="GK27" s="15">
        <v>20</v>
      </c>
      <c r="GL27" s="92">
        <v>916.3</v>
      </c>
      <c r="GM27" s="238">
        <v>44978</v>
      </c>
      <c r="GN27" s="92">
        <v>916.3</v>
      </c>
      <c r="GO27" s="95" t="s">
        <v>617</v>
      </c>
      <c r="GP27" s="71">
        <v>39</v>
      </c>
      <c r="GQ27" s="381">
        <f t="shared" si="24"/>
        <v>35735.699999999997</v>
      </c>
      <c r="GT27" s="104"/>
      <c r="GU27" s="15">
        <v>20</v>
      </c>
      <c r="GV27" s="92">
        <v>924.87</v>
      </c>
      <c r="GW27" s="238">
        <v>44979</v>
      </c>
      <c r="GX27" s="92">
        <v>924.87</v>
      </c>
      <c r="GY27" s="797" t="s">
        <v>626</v>
      </c>
      <c r="GZ27" s="71">
        <v>40</v>
      </c>
      <c r="HA27" s="237">
        <f t="shared" si="25"/>
        <v>36994.800000000003</v>
      </c>
      <c r="HD27" s="209"/>
      <c r="HE27" s="15">
        <v>20</v>
      </c>
      <c r="HF27" s="92">
        <v>889.49</v>
      </c>
      <c r="HG27" s="238">
        <v>44981</v>
      </c>
      <c r="HH27" s="92">
        <v>889.49</v>
      </c>
      <c r="HI27" s="286" t="s">
        <v>650</v>
      </c>
      <c r="HJ27" s="71">
        <v>40</v>
      </c>
      <c r="HK27" s="237">
        <f t="shared" si="26"/>
        <v>35579.599999999999</v>
      </c>
      <c r="HN27" s="104"/>
      <c r="HO27" s="15">
        <v>20</v>
      </c>
      <c r="HP27" s="69">
        <v>929</v>
      </c>
      <c r="HQ27" s="246">
        <v>44981</v>
      </c>
      <c r="HR27" s="69">
        <v>929</v>
      </c>
      <c r="HS27" s="70" t="s">
        <v>658</v>
      </c>
      <c r="HT27" s="71">
        <v>40</v>
      </c>
      <c r="HU27" s="381">
        <f t="shared" si="6"/>
        <v>37160</v>
      </c>
      <c r="HX27" s="104"/>
      <c r="HY27" s="15">
        <v>20</v>
      </c>
      <c r="HZ27" s="69">
        <v>874.5</v>
      </c>
      <c r="IA27" s="246">
        <v>44981</v>
      </c>
      <c r="IB27" s="69">
        <v>874.5</v>
      </c>
      <c r="IC27" s="70" t="s">
        <v>647</v>
      </c>
      <c r="ID27" s="71">
        <v>40</v>
      </c>
      <c r="IE27" s="381">
        <f t="shared" si="27"/>
        <v>34980</v>
      </c>
      <c r="IH27" s="104"/>
      <c r="II27" s="15">
        <v>20</v>
      </c>
      <c r="IJ27" s="69">
        <v>928.04</v>
      </c>
      <c r="IK27" s="246">
        <v>44973</v>
      </c>
      <c r="IL27" s="69">
        <v>928.04</v>
      </c>
      <c r="IM27" s="70" t="s">
        <v>590</v>
      </c>
      <c r="IN27" s="71">
        <v>39</v>
      </c>
      <c r="IO27" s="237">
        <f t="shared" si="28"/>
        <v>36193.56</v>
      </c>
      <c r="IR27" s="104"/>
      <c r="IS27" s="15">
        <v>20</v>
      </c>
      <c r="IT27" s="69">
        <v>865.4</v>
      </c>
      <c r="IU27" s="246">
        <v>44985</v>
      </c>
      <c r="IV27" s="69">
        <v>865.4</v>
      </c>
      <c r="IW27" s="70" t="s">
        <v>668</v>
      </c>
      <c r="IX27" s="71">
        <v>42</v>
      </c>
      <c r="IY27" s="237">
        <f t="shared" si="29"/>
        <v>36346.799999999996</v>
      </c>
      <c r="JA27" s="69"/>
      <c r="JB27" s="104"/>
      <c r="JC27" s="15">
        <v>20</v>
      </c>
      <c r="JD27" s="92">
        <v>925.32</v>
      </c>
      <c r="JE27" s="246">
        <v>44987</v>
      </c>
      <c r="JF27" s="92">
        <v>925.32</v>
      </c>
      <c r="JG27" s="70" t="s">
        <v>709</v>
      </c>
      <c r="JH27" s="71">
        <v>42</v>
      </c>
      <c r="JI27" s="381">
        <f t="shared" si="30"/>
        <v>38863.440000000002</v>
      </c>
      <c r="JL27" s="104"/>
      <c r="JM27" s="15">
        <v>20</v>
      </c>
      <c r="JN27" s="92">
        <v>922.6</v>
      </c>
      <c r="JO27" s="238">
        <v>44987</v>
      </c>
      <c r="JP27" s="630">
        <v>922.6</v>
      </c>
      <c r="JQ27" s="70" t="s">
        <v>707</v>
      </c>
      <c r="JR27" s="71">
        <v>42</v>
      </c>
      <c r="JS27" s="381">
        <f t="shared" si="31"/>
        <v>38749.200000000004</v>
      </c>
      <c r="JV27" s="94"/>
      <c r="JW27" s="15">
        <v>20</v>
      </c>
      <c r="JX27" s="69">
        <v>905.4</v>
      </c>
      <c r="JY27" s="246">
        <v>44988</v>
      </c>
      <c r="JZ27" s="69">
        <v>905.4</v>
      </c>
      <c r="KA27" s="70" t="s">
        <v>720</v>
      </c>
      <c r="KB27" s="71">
        <v>42</v>
      </c>
      <c r="KC27" s="381">
        <f t="shared" si="32"/>
        <v>38026.799999999996</v>
      </c>
      <c r="KF27" s="94"/>
      <c r="KG27" s="15">
        <v>20</v>
      </c>
      <c r="KH27" s="69">
        <v>946.19</v>
      </c>
      <c r="KI27" s="246">
        <v>44989</v>
      </c>
      <c r="KJ27" s="69">
        <v>946.19</v>
      </c>
      <c r="KK27" s="70" t="s">
        <v>727</v>
      </c>
      <c r="KL27" s="71">
        <v>42</v>
      </c>
      <c r="KM27" s="381">
        <f t="shared" si="33"/>
        <v>39739.980000000003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491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521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507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524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535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541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539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549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>
        <v>44968</v>
      </c>
      <c r="EF28" s="69">
        <v>923.5</v>
      </c>
      <c r="EG28" s="70" t="s">
        <v>562</v>
      </c>
      <c r="EH28" s="71">
        <v>39</v>
      </c>
      <c r="EI28" s="381">
        <f t="shared" si="18"/>
        <v>36016.5</v>
      </c>
      <c r="EL28" s="104"/>
      <c r="EM28" s="15">
        <v>21</v>
      </c>
      <c r="EN28" s="69">
        <v>877.2</v>
      </c>
      <c r="EO28" s="246">
        <v>44972</v>
      </c>
      <c r="EP28" s="69">
        <v>877.2</v>
      </c>
      <c r="EQ28" s="70" t="s">
        <v>576</v>
      </c>
      <c r="ER28" s="71">
        <v>39</v>
      </c>
      <c r="ES28" s="381">
        <f t="shared" si="19"/>
        <v>34210.800000000003</v>
      </c>
      <c r="EV28" s="94"/>
      <c r="EW28" s="15">
        <v>21</v>
      </c>
      <c r="EX28" s="92">
        <v>938</v>
      </c>
      <c r="EY28" s="238">
        <v>44974</v>
      </c>
      <c r="EZ28" s="92">
        <v>938</v>
      </c>
      <c r="FA28" s="70" t="s">
        <v>599</v>
      </c>
      <c r="FB28" s="71">
        <v>39</v>
      </c>
      <c r="FC28" s="381">
        <f t="shared" si="20"/>
        <v>36582</v>
      </c>
      <c r="FF28" s="94"/>
      <c r="FG28" s="15">
        <v>21</v>
      </c>
      <c r="FH28" s="92">
        <v>898.1</v>
      </c>
      <c r="FI28" s="238">
        <v>44975</v>
      </c>
      <c r="FJ28" s="92">
        <v>898.1</v>
      </c>
      <c r="FK28" s="631" t="s">
        <v>604</v>
      </c>
      <c r="FL28" s="632">
        <v>39</v>
      </c>
      <c r="FM28" s="237">
        <f t="shared" si="21"/>
        <v>35025.9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>
        <v>44978</v>
      </c>
      <c r="GN28" s="92">
        <v>889.5</v>
      </c>
      <c r="GO28" s="95" t="s">
        <v>617</v>
      </c>
      <c r="GP28" s="71">
        <v>39</v>
      </c>
      <c r="GQ28" s="381">
        <f t="shared" si="24"/>
        <v>34690.5</v>
      </c>
      <c r="GT28" s="104"/>
      <c r="GU28" s="15">
        <v>21</v>
      </c>
      <c r="GV28" s="92"/>
      <c r="GW28" s="238"/>
      <c r="GX28" s="630"/>
      <c r="GY28" s="797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>
        <v>44982</v>
      </c>
      <c r="HR28" s="69">
        <v>916.3</v>
      </c>
      <c r="HS28" s="70" t="s">
        <v>662</v>
      </c>
      <c r="HT28" s="71">
        <v>40</v>
      </c>
      <c r="HU28" s="381">
        <f t="shared" si="6"/>
        <v>36652</v>
      </c>
      <c r="HX28" s="104"/>
      <c r="HY28" s="15">
        <v>21</v>
      </c>
      <c r="HZ28" s="69">
        <v>910.8</v>
      </c>
      <c r="IA28" s="246">
        <v>44981</v>
      </c>
      <c r="IB28" s="69">
        <v>910.8</v>
      </c>
      <c r="IC28" s="70" t="s">
        <v>647</v>
      </c>
      <c r="ID28" s="71">
        <v>40</v>
      </c>
      <c r="IE28" s="381">
        <f t="shared" si="27"/>
        <v>36432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>
        <v>44985</v>
      </c>
      <c r="IV28" s="69">
        <v>872.7</v>
      </c>
      <c r="IW28" s="70" t="s">
        <v>668</v>
      </c>
      <c r="IX28" s="71">
        <v>42</v>
      </c>
      <c r="IY28" s="237">
        <f t="shared" si="29"/>
        <v>36653.4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>
        <v>881.8</v>
      </c>
      <c r="JO28" s="238">
        <v>44987</v>
      </c>
      <c r="JP28" s="630">
        <v>881.8</v>
      </c>
      <c r="JQ28" s="70" t="s">
        <v>707</v>
      </c>
      <c r="JR28" s="71">
        <v>42</v>
      </c>
      <c r="JS28" s="381">
        <f>JR28*JP28</f>
        <v>37035.599999999999</v>
      </c>
      <c r="JV28" s="94"/>
      <c r="JW28" s="15">
        <v>21</v>
      </c>
      <c r="JX28" s="69">
        <v>900.8</v>
      </c>
      <c r="JY28" s="246">
        <v>44988</v>
      </c>
      <c r="JZ28" s="69">
        <v>900.8</v>
      </c>
      <c r="KA28" s="70" t="s">
        <v>720</v>
      </c>
      <c r="KB28" s="71">
        <v>42</v>
      </c>
      <c r="KC28" s="381">
        <f t="shared" si="32"/>
        <v>37833.599999999999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 t="str">
        <f t="shared" ref="B29:I29" si="77">JA5</f>
        <v>TYSON FRESH MEAT</v>
      </c>
      <c r="C29" s="75" t="str">
        <f t="shared" si="77"/>
        <v xml:space="preserve">I B P </v>
      </c>
      <c r="D29" s="100" t="str">
        <f t="shared" si="77"/>
        <v>PED.94551912</v>
      </c>
      <c r="E29" s="132">
        <f t="shared" si="77"/>
        <v>44987</v>
      </c>
      <c r="F29" s="86">
        <f t="shared" si="77"/>
        <v>18647</v>
      </c>
      <c r="G29" s="73">
        <f t="shared" si="77"/>
        <v>20</v>
      </c>
      <c r="H29" s="48">
        <f t="shared" si="77"/>
        <v>18654.68</v>
      </c>
      <c r="I29" s="103">
        <f t="shared" si="77"/>
        <v>-7.680000000000291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739365.9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734732.7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744779.10000000009</v>
      </c>
      <c r="GT29" s="104"/>
      <c r="GU29" s="15"/>
      <c r="GV29" s="92"/>
      <c r="GW29" s="238"/>
      <c r="GX29" s="630"/>
      <c r="GY29" s="797"/>
      <c r="GZ29" s="71"/>
      <c r="HA29" s="381">
        <f>SUM(HA8:HA28)</f>
        <v>754824.8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630"/>
      <c r="JQ29" s="70"/>
      <c r="JR29" s="71"/>
      <c r="JS29" s="381">
        <f>SUM(JS8:JS28)</f>
        <v>798222.6</v>
      </c>
      <c r="JV29" s="104"/>
      <c r="JW29" s="15"/>
      <c r="JX29" s="69"/>
      <c r="JY29" s="246"/>
      <c r="JZ29" s="69"/>
      <c r="KA29" s="70"/>
      <c r="KB29" s="71"/>
      <c r="KC29" s="381">
        <f>SUM(KC8:KC28)</f>
        <v>798420</v>
      </c>
      <c r="KF29" s="104"/>
      <c r="KG29" s="15"/>
      <c r="KH29" s="69"/>
      <c r="KI29" s="246"/>
      <c r="KJ29" s="69"/>
      <c r="KK29" s="70"/>
      <c r="KL29" s="71"/>
      <c r="KM29" s="381">
        <f>SUM(KM8:KM28)</f>
        <v>789902.82000000007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4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 t="str">
        <f t="shared" ref="B30:H30" si="78">JK5</f>
        <v xml:space="preserve">SEABOARD FOODS </v>
      </c>
      <c r="C30" s="75" t="str">
        <f t="shared" si="78"/>
        <v>Seaboard</v>
      </c>
      <c r="D30" s="100" t="str">
        <f t="shared" si="78"/>
        <v>PED. 94551914</v>
      </c>
      <c r="E30" s="132">
        <f t="shared" si="78"/>
        <v>44987</v>
      </c>
      <c r="F30" s="86">
        <f t="shared" si="78"/>
        <v>19047.03</v>
      </c>
      <c r="G30" s="73">
        <f t="shared" si="78"/>
        <v>21</v>
      </c>
      <c r="H30" s="48">
        <f t="shared" si="78"/>
        <v>19005.3</v>
      </c>
      <c r="I30" s="103">
        <f>F30-H30</f>
        <v>41.729999999999563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720408.39</v>
      </c>
      <c r="DR30" s="104"/>
      <c r="DS30" s="15"/>
      <c r="DT30" s="69"/>
      <c r="DU30" s="238"/>
      <c r="DV30" s="69"/>
      <c r="DW30" s="95"/>
      <c r="DX30" s="71"/>
      <c r="DY30" s="381">
        <f>SUM(DY8:DY29)</f>
        <v>749728.20000000007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738765.29999999993</v>
      </c>
      <c r="FF30" s="94"/>
      <c r="FG30" s="15"/>
      <c r="FH30" s="92"/>
      <c r="FI30" s="238"/>
      <c r="FJ30" s="103"/>
      <c r="FK30" s="70"/>
      <c r="FL30" s="71"/>
      <c r="FM30" s="381">
        <f>SUM(FM8:FM29)</f>
        <v>737150.7</v>
      </c>
      <c r="FP30" s="104"/>
      <c r="FQ30" s="15"/>
      <c r="FR30" s="92"/>
      <c r="FS30" s="238"/>
      <c r="FT30" s="92"/>
      <c r="FU30" s="70"/>
      <c r="FV30" s="71"/>
      <c r="FW30" s="381">
        <f>SUM(FW8:FW29)</f>
        <v>735463.56000000017</v>
      </c>
      <c r="FZ30" s="104"/>
      <c r="GA30" s="15"/>
      <c r="GB30" s="346"/>
      <c r="GC30" s="238"/>
      <c r="GD30" s="69"/>
      <c r="GE30" s="95"/>
      <c r="GF30" s="71"/>
      <c r="GG30" s="381">
        <f>SUM(GG8:GG29)</f>
        <v>723824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726813.6</v>
      </c>
      <c r="HN30" s="104"/>
      <c r="HO30" s="15"/>
      <c r="HP30" s="69"/>
      <c r="HQ30" s="246"/>
      <c r="HR30" s="103"/>
      <c r="HS30" s="70"/>
      <c r="HT30" s="71"/>
      <c r="HU30" s="381">
        <f>SUM(HU8:HU29)</f>
        <v>766768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764356</v>
      </c>
      <c r="IH30" s="104"/>
      <c r="II30" s="15"/>
      <c r="IJ30" s="69"/>
      <c r="IK30" s="246"/>
      <c r="IL30" s="103"/>
      <c r="IM30" s="70"/>
      <c r="IN30" s="71"/>
      <c r="IO30" s="381">
        <f>SUM(IO8:IO29)</f>
        <v>734487.78</v>
      </c>
      <c r="IR30" s="104"/>
      <c r="IS30" s="15"/>
      <c r="IT30" s="69"/>
      <c r="IU30" s="246"/>
      <c r="IV30" s="103"/>
      <c r="IW30" s="70"/>
      <c r="IX30" s="71"/>
      <c r="IY30" s="381">
        <f>SUM(IY8:IY29)</f>
        <v>781733.39999999991</v>
      </c>
      <c r="JB30" s="104"/>
      <c r="JC30" s="15"/>
      <c r="JD30" s="69"/>
      <c r="JE30" s="246"/>
      <c r="JF30" s="103"/>
      <c r="JG30" s="70"/>
      <c r="JH30" s="71"/>
      <c r="JI30" s="381">
        <f>SUM(JI8:JI29)</f>
        <v>783496.56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4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0" t="str">
        <f t="shared" si="79"/>
        <v>PED. 94616717</v>
      </c>
      <c r="E31" s="132">
        <f t="shared" si="79"/>
        <v>44988</v>
      </c>
      <c r="F31" s="86">
        <f t="shared" si="79"/>
        <v>19014.04</v>
      </c>
      <c r="G31" s="73">
        <f t="shared" si="79"/>
        <v>21</v>
      </c>
      <c r="H31" s="48">
        <f t="shared" si="79"/>
        <v>19010</v>
      </c>
      <c r="I31" s="103">
        <f t="shared" ref="I31:I92" si="80">F31-H31</f>
        <v>4.0400000000008731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086"/>
      <c r="GK31" s="52"/>
      <c r="GL31" s="305"/>
      <c r="GM31" s="306"/>
      <c r="GN31" s="307"/>
      <c r="GO31" s="308"/>
      <c r="GP31" s="309"/>
      <c r="GQ31" s="388"/>
      <c r="GT31" s="1086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 t="str">
        <f t="shared" ref="B32:H32" si="81">KE5</f>
        <v>TYSON FRESH MEAT</v>
      </c>
      <c r="C32" s="75" t="str">
        <f t="shared" si="81"/>
        <v xml:space="preserve">I B P </v>
      </c>
      <c r="D32" s="100" t="str">
        <f t="shared" si="81"/>
        <v>PED. 94652360</v>
      </c>
      <c r="E32" s="132">
        <f t="shared" si="81"/>
        <v>44989</v>
      </c>
      <c r="F32" s="86">
        <f t="shared" si="81"/>
        <v>18761.87</v>
      </c>
      <c r="G32" s="73">
        <f t="shared" si="81"/>
        <v>20</v>
      </c>
      <c r="H32" s="48">
        <f t="shared" si="81"/>
        <v>18807.21</v>
      </c>
      <c r="I32" s="103">
        <f t="shared" si="80"/>
        <v>-45.340000000000146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18472.009999999998</v>
      </c>
      <c r="DT32" s="103">
        <f>SUM(DT8:DT31)</f>
        <v>19223.599999999999</v>
      </c>
      <c r="DV32" s="103">
        <f>SUM(DV8:DV31)</f>
        <v>19223.8</v>
      </c>
      <c r="ED32" s="103">
        <f>SUM(ED8:ED31)</f>
        <v>18958.099999999999</v>
      </c>
      <c r="EF32" s="103">
        <f>SUM(EF8:EF31)</f>
        <v>18958.099999999999</v>
      </c>
      <c r="EN32" s="103">
        <f>SUM(EN8:EN31)</f>
        <v>18839.300000000003</v>
      </c>
      <c r="EP32" s="103">
        <f>SUM(EP8:EP31)</f>
        <v>18839.300000000003</v>
      </c>
      <c r="EX32" s="103">
        <f>SUM(EX8:EX31)</f>
        <v>18943.699999999997</v>
      </c>
      <c r="EZ32" s="103">
        <f>SUM(EZ8:EZ31)</f>
        <v>18942.699999999997</v>
      </c>
      <c r="FH32" s="129">
        <f>SUM(FH8:FH31)</f>
        <v>18900.400000000001</v>
      </c>
      <c r="FJ32" s="103">
        <f>SUM(FJ8:FJ31)</f>
        <v>18901.3</v>
      </c>
      <c r="FR32" s="103">
        <f>SUM(FR8:FR31)</f>
        <v>18858.04</v>
      </c>
      <c r="FS32" s="103"/>
      <c r="FT32" s="103">
        <f>SUM(FT8:FT31)</f>
        <v>18858.04</v>
      </c>
      <c r="FU32" s="75" t="s">
        <v>36</v>
      </c>
      <c r="GB32" s="103">
        <f>SUM(GB8:GB31)</f>
        <v>18095.599999999999</v>
      </c>
      <c r="GD32" s="103">
        <f>SUM(GD8:GD31)</f>
        <v>18095.599999999999</v>
      </c>
      <c r="GL32" s="103">
        <f>SUM(GL8:GL31)</f>
        <v>19096.899999999998</v>
      </c>
      <c r="GN32" s="103">
        <f>SUM(GN8:GN31)</f>
        <v>19096.899999999998</v>
      </c>
      <c r="GV32" s="103">
        <f>SUM(GV8:GV31)</f>
        <v>18900.619999999992</v>
      </c>
      <c r="GX32" s="103">
        <f>SUM(GX8:GX31)</f>
        <v>18870.619999999992</v>
      </c>
      <c r="HF32" s="103">
        <f>SUM(HF8:HF31)</f>
        <v>18170.340000000004</v>
      </c>
      <c r="HH32" s="103">
        <f>SUM(HH8:HH31)</f>
        <v>18170.340000000004</v>
      </c>
      <c r="HP32" s="103">
        <f>SUM(HP8:HP31)</f>
        <v>19168.299999999996</v>
      </c>
      <c r="HR32" s="103">
        <f>SUM(HR8:HR31)</f>
        <v>19169.199999999993</v>
      </c>
      <c r="HZ32" s="103">
        <f>SUM(HZ8:HZ31)</f>
        <v>19108.900000000001</v>
      </c>
      <c r="IB32" s="103">
        <f>SUM(IB8:IB31)</f>
        <v>19108.900000000001</v>
      </c>
      <c r="IJ32" s="103">
        <f>SUM(IJ8:IJ31)</f>
        <v>18833.019999999997</v>
      </c>
      <c r="IL32" s="103">
        <f>SUM(IL8:IL31)</f>
        <v>18833.019999999997</v>
      </c>
      <c r="IT32" s="103">
        <f>SUM(IT8:IT31)</f>
        <v>18612.7</v>
      </c>
      <c r="IV32" s="103">
        <f>SUM(IV8:IV31)</f>
        <v>18612.7</v>
      </c>
      <c r="JD32" s="103">
        <f>SUM(JD8:JD31)</f>
        <v>18654.68</v>
      </c>
      <c r="JF32" s="103">
        <f>SUM(JF8:JF31)</f>
        <v>18654.68</v>
      </c>
      <c r="JN32" s="103">
        <f>SUM(JN8:JN31)</f>
        <v>19005.299999999996</v>
      </c>
      <c r="JP32" s="103">
        <f>SUM(JP8:JP31)</f>
        <v>19005.299999999996</v>
      </c>
      <c r="JX32" s="103">
        <f>SUM(JX8:JX31)</f>
        <v>19010.000000000004</v>
      </c>
      <c r="JZ32" s="103">
        <f>SUM(JZ8:JZ31)</f>
        <v>19010.000000000004</v>
      </c>
      <c r="KH32" s="103">
        <f>SUM(KH8:KH31)</f>
        <v>18807.21</v>
      </c>
      <c r="KJ32" s="103">
        <f>SUM(KJ8:KJ31)</f>
        <v>18807.21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 t="str">
        <f t="shared" ref="B33:H33" si="82">KO5</f>
        <v>SEABOARD FOODS</v>
      </c>
      <c r="C33" s="75" t="str">
        <f t="shared" si="82"/>
        <v>Seaboard</v>
      </c>
      <c r="D33" s="100" t="str">
        <f t="shared" si="82"/>
        <v xml:space="preserve">PED. </v>
      </c>
      <c r="E33" s="132">
        <f t="shared" si="82"/>
        <v>44978</v>
      </c>
      <c r="F33" s="86">
        <f t="shared" si="82"/>
        <v>18858.419999999998</v>
      </c>
      <c r="G33" s="73">
        <f t="shared" si="82"/>
        <v>21</v>
      </c>
      <c r="H33" s="48">
        <f t="shared" si="82"/>
        <v>18500</v>
      </c>
      <c r="I33" s="103">
        <f t="shared" si="80"/>
        <v>358.41999999999825</v>
      </c>
      <c r="N33" s="1376" t="s">
        <v>21</v>
      </c>
      <c r="O33" s="1377"/>
      <c r="P33" s="212">
        <f>SUM(Q5-P32)</f>
        <v>0</v>
      </c>
      <c r="X33" s="798" t="s">
        <v>21</v>
      </c>
      <c r="Y33" s="799"/>
      <c r="Z33" s="212">
        <f>AA5-Z32</f>
        <v>9.0000000000145519E-2</v>
      </c>
      <c r="AA33" s="1156"/>
      <c r="AB33" s="1156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0</v>
      </c>
      <c r="DT33" s="254" t="s">
        <v>21</v>
      </c>
      <c r="DU33" s="255"/>
      <c r="DV33" s="138">
        <f>DT32-DV32</f>
        <v>-0.2000000000007276</v>
      </c>
      <c r="ED33" s="254" t="s">
        <v>21</v>
      </c>
      <c r="EE33" s="255"/>
      <c r="EF33" s="138">
        <f>ED32-EF32</f>
        <v>0</v>
      </c>
      <c r="EN33" s="254" t="s">
        <v>21</v>
      </c>
      <c r="EO33" s="255"/>
      <c r="EP33" s="138">
        <f>EN32-EP32</f>
        <v>0</v>
      </c>
      <c r="EX33" s="254" t="s">
        <v>21</v>
      </c>
      <c r="EY33" s="255"/>
      <c r="EZ33" s="212">
        <f>EX32-EZ32</f>
        <v>1</v>
      </c>
      <c r="FH33" s="254" t="s">
        <v>21</v>
      </c>
      <c r="FI33" s="255"/>
      <c r="FJ33" s="212">
        <f>FH32-FJ32</f>
        <v>-0.89999999999781721</v>
      </c>
      <c r="FR33" s="254" t="s">
        <v>21</v>
      </c>
      <c r="FS33" s="255"/>
      <c r="FT33" s="138">
        <f>FR32-FT32</f>
        <v>0</v>
      </c>
      <c r="GB33" s="1084" t="s">
        <v>21</v>
      </c>
      <c r="GC33" s="1085"/>
      <c r="GD33" s="138">
        <f>GB32-GD32</f>
        <v>0</v>
      </c>
      <c r="GL33" s="1084" t="s">
        <v>21</v>
      </c>
      <c r="GM33" s="1085"/>
      <c r="GN33" s="138">
        <f>GL32-GN32</f>
        <v>0</v>
      </c>
      <c r="GV33" s="1084" t="s">
        <v>21</v>
      </c>
      <c r="GW33" s="1085"/>
      <c r="GX33" s="138">
        <f>GV32-GX32</f>
        <v>30</v>
      </c>
      <c r="HF33" s="1084" t="s">
        <v>21</v>
      </c>
      <c r="HG33" s="1085"/>
      <c r="HH33" s="138">
        <f>HF32-HH32</f>
        <v>0</v>
      </c>
      <c r="HP33" s="1084" t="s">
        <v>21</v>
      </c>
      <c r="HQ33" s="1085"/>
      <c r="HR33" s="138">
        <f>HS5-HR32</f>
        <v>-0.89999999999417923</v>
      </c>
      <c r="HZ33" s="1084" t="s">
        <v>21</v>
      </c>
      <c r="IA33" s="1085"/>
      <c r="IB33" s="138">
        <f>HZ32-IB32</f>
        <v>0</v>
      </c>
      <c r="IJ33" s="1084" t="s">
        <v>21</v>
      </c>
      <c r="IK33" s="1085"/>
      <c r="IL33" s="138">
        <f>IM5-IL32</f>
        <v>0</v>
      </c>
      <c r="IT33" s="1084" t="s">
        <v>21</v>
      </c>
      <c r="IU33" s="1085"/>
      <c r="IV33" s="138">
        <f>IW5-IV32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18500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376" t="s">
        <v>21</v>
      </c>
      <c r="SB33" s="1377"/>
      <c r="SC33" s="138">
        <f>SUM(SD5-SC32)</f>
        <v>0</v>
      </c>
      <c r="SK33" s="1376" t="s">
        <v>21</v>
      </c>
      <c r="SL33" s="1377"/>
      <c r="SM33" s="138">
        <f>SUM(SN5-SM32)</f>
        <v>0</v>
      </c>
      <c r="SU33" s="1376" t="s">
        <v>21</v>
      </c>
      <c r="SV33" s="1377"/>
      <c r="SW33" s="212">
        <f>SUM(SX5-SW32)</f>
        <v>0</v>
      </c>
      <c r="TE33" s="1376" t="s">
        <v>21</v>
      </c>
      <c r="TF33" s="1377"/>
      <c r="TG33" s="138">
        <f>SUM(TH5-TG32)</f>
        <v>0</v>
      </c>
      <c r="TO33" s="1376" t="s">
        <v>21</v>
      </c>
      <c r="TP33" s="1377"/>
      <c r="TQ33" s="138">
        <f>SUM(TR5-TQ32)</f>
        <v>0</v>
      </c>
      <c r="TY33" s="1376" t="s">
        <v>21</v>
      </c>
      <c r="TZ33" s="1377"/>
      <c r="UA33" s="138">
        <f>SUM(UB5-UA32)</f>
        <v>0</v>
      </c>
      <c r="UH33" s="1376" t="s">
        <v>21</v>
      </c>
      <c r="UI33" s="1377"/>
      <c r="UJ33" s="138">
        <f>SUM(UK5-UJ32)</f>
        <v>0</v>
      </c>
      <c r="UQ33" s="1376" t="s">
        <v>21</v>
      </c>
      <c r="UR33" s="1377"/>
      <c r="US33" s="138">
        <f>SUM(UT5-US32)</f>
        <v>0</v>
      </c>
      <c r="UZ33" s="1376" t="s">
        <v>21</v>
      </c>
      <c r="VA33" s="1377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376" t="s">
        <v>21</v>
      </c>
      <c r="WB33" s="1377"/>
      <c r="WC33" s="138">
        <f>WD5-WC32</f>
        <v>-22</v>
      </c>
      <c r="WJ33" s="1376" t="s">
        <v>21</v>
      </c>
      <c r="WK33" s="1377"/>
      <c r="WL33" s="138">
        <f>WM5-WL32</f>
        <v>-22</v>
      </c>
      <c r="WS33" s="1376" t="s">
        <v>21</v>
      </c>
      <c r="WT33" s="1377"/>
      <c r="WU33" s="138">
        <f>WV5-WU32</f>
        <v>-22</v>
      </c>
      <c r="XB33" s="1376" t="s">
        <v>21</v>
      </c>
      <c r="XC33" s="1377"/>
      <c r="XD33" s="138">
        <f>XE5-XD32</f>
        <v>-22</v>
      </c>
      <c r="XK33" s="1376" t="s">
        <v>21</v>
      </c>
      <c r="XL33" s="1377"/>
      <c r="XM33" s="138">
        <f>XN5-XM32</f>
        <v>-22</v>
      </c>
      <c r="XT33" s="1376" t="s">
        <v>21</v>
      </c>
      <c r="XU33" s="1377"/>
      <c r="XV33" s="138">
        <f>XW5-XV32</f>
        <v>-22</v>
      </c>
      <c r="YC33" s="1376" t="s">
        <v>21</v>
      </c>
      <c r="YD33" s="1377"/>
      <c r="YE33" s="138">
        <f>YF5-YE32</f>
        <v>-22</v>
      </c>
      <c r="YL33" s="1376" t="s">
        <v>21</v>
      </c>
      <c r="YM33" s="1377"/>
      <c r="YN33" s="138">
        <f>YO5-YN32</f>
        <v>-22</v>
      </c>
      <c r="YU33" s="1376" t="s">
        <v>21</v>
      </c>
      <c r="YV33" s="1377"/>
      <c r="YW33" s="138">
        <f>YX5-YW32</f>
        <v>-22</v>
      </c>
      <c r="ZD33" s="1376" t="s">
        <v>21</v>
      </c>
      <c r="ZE33" s="1377"/>
      <c r="ZF33" s="138">
        <f>ZG5-ZF32</f>
        <v>-22</v>
      </c>
      <c r="ZM33" s="1376" t="s">
        <v>21</v>
      </c>
      <c r="ZN33" s="1377"/>
      <c r="ZO33" s="138">
        <f>ZP5-ZO32</f>
        <v>-22</v>
      </c>
      <c r="ZV33" s="1376" t="s">
        <v>21</v>
      </c>
      <c r="ZW33" s="1377"/>
      <c r="ZX33" s="138">
        <f>ZY5-ZX32</f>
        <v>-22</v>
      </c>
      <c r="AAE33" s="1376" t="s">
        <v>21</v>
      </c>
      <c r="AAF33" s="1377"/>
      <c r="AAG33" s="138">
        <f>AAH5-AAG32</f>
        <v>-22</v>
      </c>
      <c r="AAN33" s="1376" t="s">
        <v>21</v>
      </c>
      <c r="AAO33" s="1377"/>
      <c r="AAP33" s="138">
        <f>AAQ5-AAP32</f>
        <v>-22</v>
      </c>
      <c r="AAW33" s="1376" t="s">
        <v>21</v>
      </c>
      <c r="AAX33" s="1377"/>
      <c r="AAY33" s="138">
        <f>AAZ5-AAY32</f>
        <v>-22</v>
      </c>
      <c r="ABF33" s="1376" t="s">
        <v>21</v>
      </c>
      <c r="ABG33" s="1377"/>
      <c r="ABH33" s="138">
        <f>ABH32-ABF32</f>
        <v>22</v>
      </c>
      <c r="ABO33" s="1376" t="s">
        <v>21</v>
      </c>
      <c r="ABP33" s="1377"/>
      <c r="ABQ33" s="138">
        <f>ABR5-ABQ32</f>
        <v>-22</v>
      </c>
      <c r="ABX33" s="1376" t="s">
        <v>21</v>
      </c>
      <c r="ABY33" s="1377"/>
      <c r="ABZ33" s="138">
        <f>ACA5-ABZ32</f>
        <v>-22</v>
      </c>
      <c r="ACG33" s="1376" t="s">
        <v>21</v>
      </c>
      <c r="ACH33" s="1377"/>
      <c r="ACI33" s="138">
        <f>ACJ5-ACI32</f>
        <v>-22</v>
      </c>
      <c r="ACP33" s="1376" t="s">
        <v>21</v>
      </c>
      <c r="ACQ33" s="1377"/>
      <c r="ACR33" s="138">
        <f>ACS5-ACR32</f>
        <v>-22</v>
      </c>
      <c r="ACY33" s="1376" t="s">
        <v>21</v>
      </c>
      <c r="ACZ33" s="1377"/>
      <c r="ADA33" s="138">
        <f>ADB5-ADA32</f>
        <v>-22</v>
      </c>
      <c r="ADH33" s="1376" t="s">
        <v>21</v>
      </c>
      <c r="ADI33" s="1377"/>
      <c r="ADJ33" s="138">
        <f>ADK5-ADJ32</f>
        <v>-22</v>
      </c>
      <c r="ADQ33" s="1376" t="s">
        <v>21</v>
      </c>
      <c r="ADR33" s="1377"/>
      <c r="ADS33" s="138">
        <f>ADT5-ADS32</f>
        <v>-22</v>
      </c>
      <c r="ADZ33" s="1376" t="s">
        <v>21</v>
      </c>
      <c r="AEA33" s="1377"/>
      <c r="AEB33" s="138">
        <f>AEC5-AEB32</f>
        <v>-22</v>
      </c>
      <c r="AEI33" s="1376" t="s">
        <v>21</v>
      </c>
      <c r="AEJ33" s="1377"/>
      <c r="AEK33" s="138">
        <f>AEL5-AEK32</f>
        <v>-22</v>
      </c>
      <c r="AER33" s="1376" t="s">
        <v>21</v>
      </c>
      <c r="AES33" s="1377"/>
      <c r="AET33" s="138">
        <f>AEU5-AET32</f>
        <v>-22</v>
      </c>
      <c r="AFA33" s="1376" t="s">
        <v>21</v>
      </c>
      <c r="AFB33" s="1377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378" t="s">
        <v>4</v>
      </c>
      <c r="O34" s="1379"/>
      <c r="P34" s="49"/>
      <c r="X34" s="800" t="s">
        <v>4</v>
      </c>
      <c r="Y34" s="801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086" t="s">
        <v>4</v>
      </c>
      <c r="GC34" s="1087"/>
      <c r="GD34" s="49"/>
      <c r="GL34" s="1086" t="s">
        <v>4</v>
      </c>
      <c r="GM34" s="1087"/>
      <c r="GN34" s="49"/>
      <c r="GV34" s="1086" t="s">
        <v>4</v>
      </c>
      <c r="GW34" s="1087"/>
      <c r="GX34" s="49"/>
      <c r="HF34" s="1086" t="s">
        <v>4</v>
      </c>
      <c r="HG34" s="1087"/>
      <c r="HH34" s="49">
        <v>0</v>
      </c>
      <c r="HP34" s="1086" t="s">
        <v>4</v>
      </c>
      <c r="HQ34" s="1087"/>
      <c r="HR34" s="49"/>
      <c r="HZ34" s="1086" t="s">
        <v>4</v>
      </c>
      <c r="IA34" s="1087"/>
      <c r="IB34" s="49"/>
      <c r="IJ34" s="1086" t="s">
        <v>4</v>
      </c>
      <c r="IK34" s="1087"/>
      <c r="IL34" s="49"/>
      <c r="IT34" s="1086" t="s">
        <v>4</v>
      </c>
      <c r="IU34" s="1087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378" t="s">
        <v>4</v>
      </c>
      <c r="SB34" s="1379"/>
      <c r="SC34" s="49"/>
      <c r="SK34" s="1378" t="s">
        <v>4</v>
      </c>
      <c r="SL34" s="1379"/>
      <c r="SM34" s="49"/>
      <c r="SU34" s="1378" t="s">
        <v>4</v>
      </c>
      <c r="SV34" s="1379"/>
      <c r="SW34" s="49"/>
      <c r="TE34" s="1378" t="s">
        <v>4</v>
      </c>
      <c r="TF34" s="1379"/>
      <c r="TG34" s="49"/>
      <c r="TO34" s="1378" t="s">
        <v>4</v>
      </c>
      <c r="TP34" s="1379"/>
      <c r="TQ34" s="49"/>
      <c r="TY34" s="1378" t="s">
        <v>4</v>
      </c>
      <c r="TZ34" s="1379"/>
      <c r="UA34" s="49"/>
      <c r="UH34" s="1378" t="s">
        <v>4</v>
      </c>
      <c r="UI34" s="1379"/>
      <c r="UJ34" s="49"/>
      <c r="UQ34" s="1378" t="s">
        <v>4</v>
      </c>
      <c r="UR34" s="1379"/>
      <c r="US34" s="49"/>
      <c r="UZ34" s="1378" t="s">
        <v>4</v>
      </c>
      <c r="VA34" s="1379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378" t="s">
        <v>4</v>
      </c>
      <c r="WB34" s="1379"/>
      <c r="WC34" s="49"/>
      <c r="WJ34" s="1378" t="s">
        <v>4</v>
      </c>
      <c r="WK34" s="1379"/>
      <c r="WL34" s="49"/>
      <c r="WS34" s="1378" t="s">
        <v>4</v>
      </c>
      <c r="WT34" s="1379"/>
      <c r="WU34" s="49"/>
      <c r="XB34" s="1378" t="s">
        <v>4</v>
      </c>
      <c r="XC34" s="1379"/>
      <c r="XD34" s="49"/>
      <c r="XK34" s="1378" t="s">
        <v>4</v>
      </c>
      <c r="XL34" s="1379"/>
      <c r="XM34" s="49"/>
      <c r="XT34" s="1378" t="s">
        <v>4</v>
      </c>
      <c r="XU34" s="1379"/>
      <c r="XV34" s="49"/>
      <c r="YC34" s="1378" t="s">
        <v>4</v>
      </c>
      <c r="YD34" s="1379"/>
      <c r="YE34" s="49"/>
      <c r="YL34" s="1378" t="s">
        <v>4</v>
      </c>
      <c r="YM34" s="1379"/>
      <c r="YN34" s="49"/>
      <c r="YU34" s="1378" t="s">
        <v>4</v>
      </c>
      <c r="YV34" s="1379"/>
      <c r="YW34" s="49"/>
      <c r="ZD34" s="1378" t="s">
        <v>4</v>
      </c>
      <c r="ZE34" s="1379"/>
      <c r="ZF34" s="49"/>
      <c r="ZM34" s="1378" t="s">
        <v>4</v>
      </c>
      <c r="ZN34" s="1379"/>
      <c r="ZO34" s="49"/>
      <c r="ZV34" s="1378" t="s">
        <v>4</v>
      </c>
      <c r="ZW34" s="1379"/>
      <c r="ZX34" s="49"/>
      <c r="AAE34" s="1378" t="s">
        <v>4</v>
      </c>
      <c r="AAF34" s="1379"/>
      <c r="AAG34" s="49"/>
      <c r="AAN34" s="1378" t="s">
        <v>4</v>
      </c>
      <c r="AAO34" s="1379"/>
      <c r="AAP34" s="49"/>
      <c r="AAW34" s="1378" t="s">
        <v>4</v>
      </c>
      <c r="AAX34" s="1379"/>
      <c r="AAY34" s="49"/>
      <c r="ABF34" s="1378" t="s">
        <v>4</v>
      </c>
      <c r="ABG34" s="1379"/>
      <c r="ABH34" s="49"/>
      <c r="ABO34" s="1378" t="s">
        <v>4</v>
      </c>
      <c r="ABP34" s="1379"/>
      <c r="ABQ34" s="49"/>
      <c r="ABX34" s="1378" t="s">
        <v>4</v>
      </c>
      <c r="ABY34" s="1379"/>
      <c r="ABZ34" s="49"/>
      <c r="ACG34" s="1378" t="s">
        <v>4</v>
      </c>
      <c r="ACH34" s="1379"/>
      <c r="ACI34" s="49"/>
      <c r="ACP34" s="1378" t="s">
        <v>4</v>
      </c>
      <c r="ACQ34" s="1379"/>
      <c r="ACR34" s="49"/>
      <c r="ACY34" s="1378" t="s">
        <v>4</v>
      </c>
      <c r="ACZ34" s="1379"/>
      <c r="ADA34" s="49"/>
      <c r="ADH34" s="1378" t="s">
        <v>4</v>
      </c>
      <c r="ADI34" s="1379"/>
      <c r="ADJ34" s="49"/>
      <c r="ADQ34" s="1378" t="s">
        <v>4</v>
      </c>
      <c r="ADR34" s="1379"/>
      <c r="ADS34" s="49"/>
      <c r="ADZ34" s="1378" t="s">
        <v>4</v>
      </c>
      <c r="AEA34" s="1379"/>
      <c r="AEB34" s="49"/>
      <c r="AEI34" s="1378" t="s">
        <v>4</v>
      </c>
      <c r="AEJ34" s="1379"/>
      <c r="AEK34" s="49"/>
      <c r="AER34" s="1378" t="s">
        <v>4</v>
      </c>
      <c r="AES34" s="1379"/>
      <c r="AET34" s="49"/>
      <c r="AFA34" s="1378" t="s">
        <v>4</v>
      </c>
      <c r="AFB34" s="1379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5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KO6:KO7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0" t="s">
        <v>391</v>
      </c>
      <c r="B1" s="1380"/>
      <c r="C1" s="1380"/>
      <c r="D1" s="1380"/>
      <c r="E1" s="1380"/>
      <c r="F1" s="1380"/>
      <c r="G1" s="1380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241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400" t="s">
        <v>680</v>
      </c>
      <c r="B5" s="1412" t="s">
        <v>722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4"/>
    </row>
    <row r="6" spans="1:10" x14ac:dyDescent="0.25">
      <c r="A6" s="1400"/>
      <c r="B6" s="1412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12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142</v>
      </c>
      <c r="C12" s="15">
        <v>2</v>
      </c>
      <c r="D12" s="69">
        <v>20</v>
      </c>
      <c r="E12" s="246">
        <v>44989</v>
      </c>
      <c r="F12" s="92">
        <f t="shared" si="0"/>
        <v>20</v>
      </c>
      <c r="G12" s="70" t="s">
        <v>468</v>
      </c>
      <c r="H12" s="71">
        <v>47</v>
      </c>
      <c r="I12" s="237">
        <f t="shared" si="3"/>
        <v>1420</v>
      </c>
      <c r="J12" s="60">
        <f t="shared" si="1"/>
        <v>940</v>
      </c>
    </row>
    <row r="13" spans="1:10" x14ac:dyDescent="0.25">
      <c r="A13" s="75"/>
      <c r="B13" s="178">
        <f t="shared" si="2"/>
        <v>141</v>
      </c>
      <c r="C13" s="15">
        <v>1</v>
      </c>
      <c r="D13" s="69">
        <v>10</v>
      </c>
      <c r="E13" s="246">
        <v>44989</v>
      </c>
      <c r="F13" s="92">
        <f t="shared" si="0"/>
        <v>10</v>
      </c>
      <c r="G13" s="70" t="s">
        <v>733</v>
      </c>
      <c r="H13" s="71">
        <v>47</v>
      </c>
      <c r="I13" s="237">
        <f t="shared" si="3"/>
        <v>1410</v>
      </c>
      <c r="J13" s="60">
        <f t="shared" si="1"/>
        <v>470</v>
      </c>
    </row>
    <row r="14" spans="1:10" x14ac:dyDescent="0.25">
      <c r="A14" s="75"/>
      <c r="B14" s="178">
        <f t="shared" si="2"/>
        <v>141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1410</v>
      </c>
      <c r="J14" s="60">
        <f t="shared" si="1"/>
        <v>0</v>
      </c>
    </row>
    <row r="15" spans="1:10" x14ac:dyDescent="0.25">
      <c r="A15" s="75"/>
      <c r="B15" s="178">
        <f t="shared" si="2"/>
        <v>141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1410</v>
      </c>
      <c r="J15" s="60">
        <f t="shared" si="1"/>
        <v>0</v>
      </c>
    </row>
    <row r="16" spans="1:10" x14ac:dyDescent="0.25">
      <c r="A16" s="75"/>
      <c r="B16" s="178">
        <f t="shared" si="2"/>
        <v>141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1410</v>
      </c>
      <c r="J16" s="60">
        <f t="shared" si="1"/>
        <v>0</v>
      </c>
    </row>
    <row r="17" spans="1:10" x14ac:dyDescent="0.25">
      <c r="A17" s="75"/>
      <c r="B17" s="178">
        <f t="shared" si="2"/>
        <v>141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1410</v>
      </c>
      <c r="J17" s="60">
        <f t="shared" si="1"/>
        <v>0</v>
      </c>
    </row>
    <row r="18" spans="1:10" x14ac:dyDescent="0.25">
      <c r="A18" s="75"/>
      <c r="B18" s="178">
        <f t="shared" si="2"/>
        <v>141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1410</v>
      </c>
      <c r="J18" s="60">
        <f t="shared" si="1"/>
        <v>0</v>
      </c>
    </row>
    <row r="19" spans="1:10" x14ac:dyDescent="0.25">
      <c r="A19" s="75"/>
      <c r="B19" s="178">
        <f t="shared" si="2"/>
        <v>141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1410</v>
      </c>
      <c r="J19" s="60">
        <f t="shared" si="1"/>
        <v>0</v>
      </c>
    </row>
    <row r="20" spans="1:10" x14ac:dyDescent="0.25">
      <c r="A20" s="75"/>
      <c r="B20" s="178">
        <f t="shared" si="2"/>
        <v>141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1410</v>
      </c>
      <c r="J20" s="60">
        <f t="shared" si="1"/>
        <v>0</v>
      </c>
    </row>
    <row r="21" spans="1:10" x14ac:dyDescent="0.25">
      <c r="A21" s="75"/>
      <c r="B21" s="178">
        <f t="shared" si="2"/>
        <v>141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1410</v>
      </c>
      <c r="J21" s="60">
        <f t="shared" si="1"/>
        <v>0</v>
      </c>
    </row>
    <row r="22" spans="1:10" x14ac:dyDescent="0.25">
      <c r="A22" s="75"/>
      <c r="B22" s="178">
        <f t="shared" si="2"/>
        <v>141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1410</v>
      </c>
      <c r="J22" s="60">
        <f t="shared" si="1"/>
        <v>0</v>
      </c>
    </row>
    <row r="23" spans="1:10" x14ac:dyDescent="0.25">
      <c r="A23" s="19"/>
      <c r="B23" s="178">
        <f t="shared" si="2"/>
        <v>141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1410</v>
      </c>
      <c r="J23" s="60">
        <f t="shared" si="1"/>
        <v>0</v>
      </c>
    </row>
    <row r="24" spans="1:10" x14ac:dyDescent="0.25">
      <c r="A24" s="19"/>
      <c r="B24" s="178">
        <f t="shared" si="2"/>
        <v>141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1410</v>
      </c>
      <c r="J24" s="60">
        <f t="shared" si="1"/>
        <v>0</v>
      </c>
    </row>
    <row r="25" spans="1:10" x14ac:dyDescent="0.25">
      <c r="A25" s="19"/>
      <c r="B25" s="178">
        <f t="shared" si="2"/>
        <v>141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1410</v>
      </c>
      <c r="J25" s="60">
        <f t="shared" si="1"/>
        <v>0</v>
      </c>
    </row>
    <row r="26" spans="1:10" x14ac:dyDescent="0.25">
      <c r="A26" s="19"/>
      <c r="B26" s="178">
        <f t="shared" si="2"/>
        <v>141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1410</v>
      </c>
      <c r="J26" s="60">
        <f t="shared" si="1"/>
        <v>0</v>
      </c>
    </row>
    <row r="27" spans="1:10" x14ac:dyDescent="0.25">
      <c r="A27" s="19"/>
      <c r="B27" s="178">
        <f t="shared" si="2"/>
        <v>141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1410</v>
      </c>
      <c r="J27" s="60">
        <f t="shared" si="1"/>
        <v>0</v>
      </c>
    </row>
    <row r="28" spans="1:10" x14ac:dyDescent="0.25">
      <c r="B28" s="178">
        <f t="shared" si="2"/>
        <v>141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76" t="s">
        <v>21</v>
      </c>
      <c r="E32" s="1377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0" t="s">
        <v>391</v>
      </c>
      <c r="B1" s="1380"/>
      <c r="C1" s="1380"/>
      <c r="D1" s="1380"/>
      <c r="E1" s="1380"/>
      <c r="F1" s="1380"/>
      <c r="G1" s="1380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400"/>
      <c r="B5" s="1413"/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400"/>
      <c r="B6" s="1413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76" t="s">
        <v>21</v>
      </c>
      <c r="E32" s="1377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38"/>
      <c r="F10" s="666">
        <f t="shared" si="0"/>
        <v>0</v>
      </c>
      <c r="G10" s="631"/>
      <c r="H10" s="632"/>
      <c r="I10" s="925">
        <f>I9-F10</f>
        <v>0</v>
      </c>
    </row>
    <row r="11" spans="1:9" x14ac:dyDescent="0.25">
      <c r="B11" s="404">
        <f>B10-C11</f>
        <v>0</v>
      </c>
      <c r="C11" s="73"/>
      <c r="D11" s="69"/>
      <c r="E11" s="738"/>
      <c r="F11" s="666">
        <f t="shared" si="0"/>
        <v>0</v>
      </c>
      <c r="G11" s="631"/>
      <c r="H11" s="632"/>
      <c r="I11" s="925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38"/>
      <c r="F12" s="666">
        <f t="shared" si="0"/>
        <v>0</v>
      </c>
      <c r="G12" s="631"/>
      <c r="H12" s="632"/>
      <c r="I12" s="925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38"/>
      <c r="F13" s="666">
        <f t="shared" si="0"/>
        <v>0</v>
      </c>
      <c r="G13" s="631"/>
      <c r="H13" s="632"/>
      <c r="I13" s="925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38"/>
      <c r="F14" s="666">
        <f t="shared" si="0"/>
        <v>0</v>
      </c>
      <c r="G14" s="631"/>
      <c r="H14" s="632"/>
      <c r="I14" s="925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376" t="s">
        <v>21</v>
      </c>
      <c r="E29" s="1377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0" t="s">
        <v>391</v>
      </c>
      <c r="B1" s="1380"/>
      <c r="C1" s="1380"/>
      <c r="D1" s="1380"/>
      <c r="E1" s="1380"/>
      <c r="F1" s="1380"/>
      <c r="G1" s="1380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1202"/>
      <c r="H4" s="145"/>
      <c r="I4" s="387"/>
    </row>
    <row r="5" spans="1:10" ht="14.25" customHeight="1" x14ac:dyDescent="0.25">
      <c r="A5" s="1400" t="s">
        <v>680</v>
      </c>
      <c r="B5" s="1413" t="s">
        <v>721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4"/>
    </row>
    <row r="6" spans="1:10" x14ac:dyDescent="0.25">
      <c r="A6" s="1400"/>
      <c r="B6" s="1413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144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1440</v>
      </c>
      <c r="J12" s="60">
        <f t="shared" si="1"/>
        <v>0</v>
      </c>
    </row>
    <row r="13" spans="1:10" x14ac:dyDescent="0.25">
      <c r="A13" s="75"/>
      <c r="B13" s="178">
        <f t="shared" si="2"/>
        <v>144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1440</v>
      </c>
      <c r="J13" s="60">
        <f t="shared" si="1"/>
        <v>0</v>
      </c>
    </row>
    <row r="14" spans="1:10" x14ac:dyDescent="0.25">
      <c r="A14" s="75"/>
      <c r="B14" s="178">
        <f t="shared" si="2"/>
        <v>144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1440</v>
      </c>
      <c r="J14" s="60">
        <f t="shared" si="1"/>
        <v>0</v>
      </c>
    </row>
    <row r="15" spans="1:10" x14ac:dyDescent="0.25">
      <c r="A15" s="75"/>
      <c r="B15" s="178">
        <f t="shared" si="2"/>
        <v>144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1440</v>
      </c>
      <c r="J15" s="60">
        <f t="shared" si="1"/>
        <v>0</v>
      </c>
    </row>
    <row r="16" spans="1:10" x14ac:dyDescent="0.25">
      <c r="A16" s="75"/>
      <c r="B16" s="178">
        <f t="shared" si="2"/>
        <v>144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1440</v>
      </c>
      <c r="J16" s="60">
        <f t="shared" si="1"/>
        <v>0</v>
      </c>
    </row>
    <row r="17" spans="1:10" x14ac:dyDescent="0.25">
      <c r="A17" s="75"/>
      <c r="B17" s="178">
        <f t="shared" si="2"/>
        <v>144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1440</v>
      </c>
      <c r="J17" s="60">
        <f t="shared" si="1"/>
        <v>0</v>
      </c>
    </row>
    <row r="18" spans="1:10" x14ac:dyDescent="0.25">
      <c r="A18" s="75"/>
      <c r="B18" s="178">
        <f t="shared" si="2"/>
        <v>144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1440</v>
      </c>
      <c r="J18" s="60">
        <f t="shared" si="1"/>
        <v>0</v>
      </c>
    </row>
    <row r="19" spans="1:10" x14ac:dyDescent="0.25">
      <c r="A19" s="75"/>
      <c r="B19" s="178">
        <f t="shared" si="2"/>
        <v>144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1440</v>
      </c>
      <c r="J19" s="60">
        <f t="shared" si="1"/>
        <v>0</v>
      </c>
    </row>
    <row r="20" spans="1:10" x14ac:dyDescent="0.25">
      <c r="A20" s="75"/>
      <c r="B20" s="178">
        <f t="shared" si="2"/>
        <v>144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1440</v>
      </c>
      <c r="J20" s="60">
        <f t="shared" si="1"/>
        <v>0</v>
      </c>
    </row>
    <row r="21" spans="1:10" x14ac:dyDescent="0.25">
      <c r="A21" s="75"/>
      <c r="B21" s="178">
        <f t="shared" si="2"/>
        <v>144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1440</v>
      </c>
      <c r="J21" s="60">
        <f t="shared" si="1"/>
        <v>0</v>
      </c>
    </row>
    <row r="22" spans="1:10" x14ac:dyDescent="0.25">
      <c r="A22" s="75"/>
      <c r="B22" s="178">
        <f t="shared" si="2"/>
        <v>144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1440</v>
      </c>
      <c r="J22" s="60">
        <f t="shared" si="1"/>
        <v>0</v>
      </c>
    </row>
    <row r="23" spans="1:10" x14ac:dyDescent="0.25">
      <c r="A23" s="19"/>
      <c r="B23" s="178">
        <f t="shared" si="2"/>
        <v>144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1440</v>
      </c>
      <c r="J23" s="60">
        <f t="shared" si="1"/>
        <v>0</v>
      </c>
    </row>
    <row r="24" spans="1:10" x14ac:dyDescent="0.25">
      <c r="A24" s="19"/>
      <c r="B24" s="178">
        <f t="shared" si="2"/>
        <v>144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1440</v>
      </c>
      <c r="J24" s="60">
        <f t="shared" si="1"/>
        <v>0</v>
      </c>
    </row>
    <row r="25" spans="1:10" x14ac:dyDescent="0.25">
      <c r="A25" s="19"/>
      <c r="B25" s="178">
        <f t="shared" si="2"/>
        <v>144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1440</v>
      </c>
      <c r="J25" s="60">
        <f t="shared" si="1"/>
        <v>0</v>
      </c>
    </row>
    <row r="26" spans="1:10" x14ac:dyDescent="0.25">
      <c r="A26" s="19"/>
      <c r="B26" s="178">
        <f t="shared" si="2"/>
        <v>144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1440</v>
      </c>
      <c r="J26" s="60">
        <f t="shared" si="1"/>
        <v>0</v>
      </c>
    </row>
    <row r="27" spans="1:10" x14ac:dyDescent="0.25">
      <c r="A27" s="19"/>
      <c r="B27" s="178">
        <f t="shared" si="2"/>
        <v>144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1440</v>
      </c>
      <c r="J27" s="60">
        <f t="shared" si="1"/>
        <v>0</v>
      </c>
    </row>
    <row r="28" spans="1:10" x14ac:dyDescent="0.25">
      <c r="B28" s="178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144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76" t="s">
        <v>21</v>
      </c>
      <c r="E32" s="1377"/>
      <c r="F32" s="138">
        <f>G5-F30</f>
        <v>0</v>
      </c>
    </row>
    <row r="33" spans="1:6" ht="15.75" thickBot="1" x14ac:dyDescent="0.3">
      <c r="A33" s="122"/>
      <c r="D33" s="1198" t="s">
        <v>4</v>
      </c>
      <c r="E33" s="1199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0" t="s">
        <v>391</v>
      </c>
      <c r="B1" s="1380"/>
      <c r="C1" s="1380"/>
      <c r="D1" s="1380"/>
      <c r="E1" s="1380"/>
      <c r="F1" s="1380"/>
      <c r="G1" s="1380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414" t="s">
        <v>723</v>
      </c>
      <c r="C4" s="237"/>
      <c r="D4" s="131"/>
      <c r="E4" s="371"/>
      <c r="F4" s="73"/>
      <c r="G4" s="1202"/>
      <c r="H4" s="145"/>
      <c r="I4" s="387"/>
    </row>
    <row r="5" spans="1:10" ht="14.25" customHeight="1" x14ac:dyDescent="0.25">
      <c r="A5" s="1400" t="s">
        <v>680</v>
      </c>
      <c r="B5" s="1414"/>
      <c r="C5" s="379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4"/>
    </row>
    <row r="6" spans="1:10" x14ac:dyDescent="0.25">
      <c r="A6" s="1400"/>
      <c r="B6" s="1414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1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90</v>
      </c>
      <c r="C9" s="15">
        <v>10</v>
      </c>
      <c r="D9" s="69">
        <v>100</v>
      </c>
      <c r="E9" s="246">
        <v>44989</v>
      </c>
      <c r="F9" s="92">
        <f>D9</f>
        <v>100</v>
      </c>
      <c r="G9" s="70" t="s">
        <v>724</v>
      </c>
      <c r="H9" s="71">
        <v>51</v>
      </c>
      <c r="I9" s="237">
        <f>E4+E5+E6-F9+E7</f>
        <v>900</v>
      </c>
      <c r="J9" s="60">
        <f>H9*F9</f>
        <v>5100</v>
      </c>
    </row>
    <row r="10" spans="1:10" x14ac:dyDescent="0.25">
      <c r="A10" s="75"/>
      <c r="B10" s="178">
        <f>B9-C10</f>
        <v>85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51</v>
      </c>
      <c r="I10" s="237">
        <f>I9-F10</f>
        <v>850</v>
      </c>
      <c r="J10" s="60">
        <f t="shared" ref="J10:J28" si="1">H10*F10</f>
        <v>2550</v>
      </c>
    </row>
    <row r="11" spans="1:10" x14ac:dyDescent="0.25">
      <c r="A11" s="75"/>
      <c r="B11" s="178">
        <f t="shared" ref="B11:B29" si="2">B10-C11</f>
        <v>84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51</v>
      </c>
      <c r="I11" s="237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8">
        <f t="shared" si="2"/>
        <v>83</v>
      </c>
      <c r="C12" s="15">
        <v>1</v>
      </c>
      <c r="D12" s="69">
        <v>10</v>
      </c>
      <c r="E12" s="246">
        <v>44989</v>
      </c>
      <c r="F12" s="92">
        <f t="shared" si="0"/>
        <v>10</v>
      </c>
      <c r="G12" s="70" t="s">
        <v>733</v>
      </c>
      <c r="H12" s="71">
        <v>51</v>
      </c>
      <c r="I12" s="237">
        <f t="shared" si="3"/>
        <v>830</v>
      </c>
      <c r="J12" s="60">
        <f t="shared" si="1"/>
        <v>510</v>
      </c>
    </row>
    <row r="13" spans="1:10" x14ac:dyDescent="0.25">
      <c r="A13" s="75"/>
      <c r="B13" s="178">
        <f t="shared" si="2"/>
        <v>83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830</v>
      </c>
      <c r="J13" s="60">
        <f t="shared" si="1"/>
        <v>0</v>
      </c>
    </row>
    <row r="14" spans="1:10" x14ac:dyDescent="0.25">
      <c r="A14" s="75"/>
      <c r="B14" s="178">
        <f t="shared" si="2"/>
        <v>83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830</v>
      </c>
      <c r="J14" s="60">
        <f t="shared" si="1"/>
        <v>0</v>
      </c>
    </row>
    <row r="15" spans="1:10" x14ac:dyDescent="0.25">
      <c r="A15" s="75"/>
      <c r="B15" s="178">
        <f t="shared" si="2"/>
        <v>83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830</v>
      </c>
      <c r="J15" s="60">
        <f t="shared" si="1"/>
        <v>0</v>
      </c>
    </row>
    <row r="16" spans="1:10" x14ac:dyDescent="0.25">
      <c r="A16" s="75"/>
      <c r="B16" s="178">
        <f t="shared" si="2"/>
        <v>83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830</v>
      </c>
      <c r="J16" s="60">
        <f t="shared" si="1"/>
        <v>0</v>
      </c>
    </row>
    <row r="17" spans="1:10" x14ac:dyDescent="0.25">
      <c r="A17" s="75"/>
      <c r="B17" s="178">
        <f t="shared" si="2"/>
        <v>83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830</v>
      </c>
      <c r="J17" s="60">
        <f t="shared" si="1"/>
        <v>0</v>
      </c>
    </row>
    <row r="18" spans="1:10" x14ac:dyDescent="0.25">
      <c r="A18" s="75"/>
      <c r="B18" s="178">
        <f t="shared" si="2"/>
        <v>83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830</v>
      </c>
      <c r="J18" s="60">
        <f t="shared" si="1"/>
        <v>0</v>
      </c>
    </row>
    <row r="19" spans="1:10" x14ac:dyDescent="0.25">
      <c r="A19" s="75"/>
      <c r="B19" s="178">
        <f t="shared" si="2"/>
        <v>83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830</v>
      </c>
      <c r="J19" s="60">
        <f t="shared" si="1"/>
        <v>0</v>
      </c>
    </row>
    <row r="20" spans="1:10" x14ac:dyDescent="0.25">
      <c r="A20" s="75"/>
      <c r="B20" s="178">
        <f t="shared" si="2"/>
        <v>83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830</v>
      </c>
      <c r="J20" s="60">
        <f t="shared" si="1"/>
        <v>0</v>
      </c>
    </row>
    <row r="21" spans="1:10" x14ac:dyDescent="0.25">
      <c r="A21" s="75"/>
      <c r="B21" s="178">
        <f t="shared" si="2"/>
        <v>83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830</v>
      </c>
      <c r="J21" s="60">
        <f t="shared" si="1"/>
        <v>0</v>
      </c>
    </row>
    <row r="22" spans="1:10" x14ac:dyDescent="0.25">
      <c r="A22" s="75"/>
      <c r="B22" s="178">
        <f t="shared" si="2"/>
        <v>83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830</v>
      </c>
      <c r="J22" s="60">
        <f t="shared" si="1"/>
        <v>0</v>
      </c>
    </row>
    <row r="23" spans="1:10" x14ac:dyDescent="0.25">
      <c r="A23" s="19"/>
      <c r="B23" s="178">
        <f t="shared" si="2"/>
        <v>83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830</v>
      </c>
      <c r="J23" s="60">
        <f t="shared" si="1"/>
        <v>0</v>
      </c>
    </row>
    <row r="24" spans="1:10" x14ac:dyDescent="0.25">
      <c r="A24" s="19"/>
      <c r="B24" s="178">
        <f t="shared" si="2"/>
        <v>83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830</v>
      </c>
      <c r="J24" s="60">
        <f t="shared" si="1"/>
        <v>0</v>
      </c>
    </row>
    <row r="25" spans="1:10" x14ac:dyDescent="0.25">
      <c r="A25" s="19"/>
      <c r="B25" s="178">
        <f t="shared" si="2"/>
        <v>83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830</v>
      </c>
      <c r="J25" s="60">
        <f t="shared" si="1"/>
        <v>0</v>
      </c>
    </row>
    <row r="26" spans="1:10" x14ac:dyDescent="0.25">
      <c r="A26" s="19"/>
      <c r="B26" s="178">
        <f t="shared" si="2"/>
        <v>83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830</v>
      </c>
      <c r="J26" s="60">
        <f t="shared" si="1"/>
        <v>0</v>
      </c>
    </row>
    <row r="27" spans="1:10" x14ac:dyDescent="0.25">
      <c r="A27" s="19"/>
      <c r="B27" s="178">
        <f t="shared" si="2"/>
        <v>83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830</v>
      </c>
      <c r="J27" s="60">
        <f t="shared" si="1"/>
        <v>0</v>
      </c>
    </row>
    <row r="28" spans="1:10" x14ac:dyDescent="0.25">
      <c r="B28" s="178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83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76" t="s">
        <v>21</v>
      </c>
      <c r="E32" s="1377"/>
      <c r="F32" s="138">
        <f>G5-F30</f>
        <v>0</v>
      </c>
    </row>
    <row r="33" spans="1:6" ht="15.75" thickBot="1" x14ac:dyDescent="0.3">
      <c r="A33" s="122"/>
      <c r="D33" s="1198" t="s">
        <v>4</v>
      </c>
      <c r="E33" s="1199"/>
      <c r="F33" s="49">
        <v>0</v>
      </c>
    </row>
    <row r="34" spans="1:6" x14ac:dyDescent="0.25">
      <c r="B34" s="180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90" t="s">
        <v>391</v>
      </c>
      <c r="B1" s="1390"/>
      <c r="C1" s="1390"/>
      <c r="D1" s="1390"/>
      <c r="E1" s="1390"/>
      <c r="F1" s="1390"/>
      <c r="G1" s="13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2792.7599999999998</v>
      </c>
      <c r="H5" s="151">
        <f>E5-G5+E6</f>
        <v>-1836.5899999999997</v>
      </c>
    </row>
    <row r="6" spans="1:10" ht="15.75" x14ac:dyDescent="0.25">
      <c r="A6" s="220" t="s">
        <v>114</v>
      </c>
      <c r="B6" s="419" t="s">
        <v>57</v>
      </c>
      <c r="C6" s="153">
        <v>24.8</v>
      </c>
      <c r="D6" s="146">
        <v>44988</v>
      </c>
      <c r="E6" s="129">
        <v>956.17</v>
      </c>
      <c r="F6" s="73">
        <v>1</v>
      </c>
      <c r="G6" s="333"/>
    </row>
    <row r="7" spans="1:10" ht="15.75" thickBot="1" x14ac:dyDescent="0.3">
      <c r="B7" s="73"/>
      <c r="C7" s="153">
        <v>24.8</v>
      </c>
      <c r="D7" s="146">
        <v>44989</v>
      </c>
      <c r="E7" s="129">
        <v>1836.59</v>
      </c>
      <c r="F7" s="73">
        <v>2</v>
      </c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>
        <v>1</v>
      </c>
      <c r="D9" s="413">
        <v>956.17</v>
      </c>
      <c r="E9" s="414">
        <v>44988</v>
      </c>
      <c r="F9" s="415">
        <f>D9</f>
        <v>956.17</v>
      </c>
      <c r="G9" s="70" t="s">
        <v>718</v>
      </c>
      <c r="H9" s="71">
        <v>25.8</v>
      </c>
      <c r="I9" s="129">
        <f>E5+E6+E4+E7-F9</f>
        <v>1836.5899999999997</v>
      </c>
      <c r="J9" s="60">
        <f>H9*F9</f>
        <v>24669.185999999998</v>
      </c>
    </row>
    <row r="10" spans="1:10" x14ac:dyDescent="0.25">
      <c r="B10" s="89"/>
      <c r="C10" s="330">
        <v>2</v>
      </c>
      <c r="D10" s="331">
        <v>1836.59</v>
      </c>
      <c r="E10" s="343">
        <v>44989</v>
      </c>
      <c r="F10" s="331">
        <f>D10</f>
        <v>1836.59</v>
      </c>
      <c r="G10" s="70" t="s">
        <v>734</v>
      </c>
      <c r="H10" s="71">
        <v>25.8</v>
      </c>
      <c r="I10" s="129">
        <f>I9-F10</f>
        <v>0</v>
      </c>
      <c r="J10" s="60">
        <f t="shared" ref="J10:J28" si="0">H10*F10</f>
        <v>47384.021999999997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5"/>
      <c r="F12" s="669">
        <f t="shared" si="1"/>
        <v>0</v>
      </c>
      <c r="G12" s="1158"/>
      <c r="H12" s="1159"/>
      <c r="I12" s="1161">
        <f t="shared" si="2"/>
        <v>0</v>
      </c>
      <c r="J12" s="1238">
        <f t="shared" si="0"/>
        <v>0</v>
      </c>
    </row>
    <row r="13" spans="1:10" x14ac:dyDescent="0.25">
      <c r="B13" s="89"/>
      <c r="C13" s="330"/>
      <c r="D13" s="669"/>
      <c r="E13" s="795"/>
      <c r="F13" s="669">
        <f t="shared" si="1"/>
        <v>0</v>
      </c>
      <c r="G13" s="1158"/>
      <c r="H13" s="1159"/>
      <c r="I13" s="1161">
        <f t="shared" si="2"/>
        <v>0</v>
      </c>
      <c r="J13" s="1238">
        <f t="shared" si="0"/>
        <v>0</v>
      </c>
    </row>
    <row r="14" spans="1:10" x14ac:dyDescent="0.25">
      <c r="A14" s="19"/>
      <c r="B14" s="89"/>
      <c r="C14" s="330"/>
      <c r="D14" s="669"/>
      <c r="E14" s="795"/>
      <c r="F14" s="669">
        <f t="shared" si="1"/>
        <v>0</v>
      </c>
      <c r="G14" s="1158"/>
      <c r="H14" s="1159"/>
      <c r="I14" s="1161">
        <f t="shared" si="2"/>
        <v>0</v>
      </c>
      <c r="J14" s="1238">
        <f t="shared" si="0"/>
        <v>0</v>
      </c>
    </row>
    <row r="15" spans="1:10" x14ac:dyDescent="0.25">
      <c r="B15" s="89"/>
      <c r="C15" s="330"/>
      <c r="D15" s="669"/>
      <c r="E15" s="795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5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5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5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5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5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5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5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5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72053.207999999999</v>
      </c>
    </row>
    <row r="30" spans="1:10" ht="15.75" thickTop="1" x14ac:dyDescent="0.25">
      <c r="A30" s="47">
        <f>SUM(A29:A29)</f>
        <v>0</v>
      </c>
      <c r="C30" s="73">
        <f>SUM(C9:C29)</f>
        <v>3</v>
      </c>
      <c r="D30" s="103">
        <f>SUM(D9:D29)</f>
        <v>2792.7599999999998</v>
      </c>
      <c r="E30" s="75"/>
      <c r="F30" s="103">
        <f>SUM(F9:F29)</f>
        <v>2792.7599999999998</v>
      </c>
    </row>
    <row r="31" spans="1:10" ht="15.75" thickBot="1" x14ac:dyDescent="0.3">
      <c r="A31" s="47"/>
    </row>
    <row r="32" spans="1:10" x14ac:dyDescent="0.25">
      <c r="B32" s="5"/>
      <c r="D32" s="1376" t="s">
        <v>21</v>
      </c>
      <c r="E32" s="1377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C31"/>
  <sheetViews>
    <sheetView topLeftCell="S1" workbookViewId="0">
      <selection activeCell="AA13" sqref="AA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  <col min="21" max="21" width="32.42578125" bestFit="1" customWidth="1"/>
    <col min="22" max="22" width="17.7109375" bestFit="1" customWidth="1"/>
    <col min="23" max="23" width="13.28515625" bestFit="1" customWidth="1"/>
    <col min="26" max="26" width="12" customWidth="1"/>
    <col min="29" max="29" width="11.42578125" style="75"/>
  </cols>
  <sheetData>
    <row r="1" spans="1:29" ht="36.75" customHeight="1" x14ac:dyDescent="0.55000000000000004">
      <c r="A1" s="1386" t="s">
        <v>282</v>
      </c>
      <c r="B1" s="1386"/>
      <c r="C1" s="1386"/>
      <c r="D1" s="1386"/>
      <c r="E1" s="1386"/>
      <c r="F1" s="1386"/>
      <c r="G1" s="1386"/>
      <c r="H1" s="11">
        <v>1</v>
      </c>
      <c r="K1" s="1390" t="s">
        <v>274</v>
      </c>
      <c r="L1" s="1390"/>
      <c r="M1" s="1390"/>
      <c r="N1" s="1390"/>
      <c r="O1" s="1390"/>
      <c r="P1" s="1390"/>
      <c r="Q1" s="1390"/>
      <c r="R1" s="11">
        <v>2</v>
      </c>
      <c r="U1" s="1390" t="s">
        <v>274</v>
      </c>
      <c r="V1" s="1390"/>
      <c r="W1" s="1390"/>
      <c r="X1" s="1390"/>
      <c r="Y1" s="1390"/>
      <c r="Z1" s="1390"/>
      <c r="AA1" s="139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  <c r="U4" s="12"/>
      <c r="V4" s="12"/>
      <c r="W4" s="12"/>
      <c r="X4" s="12"/>
      <c r="Y4" s="95"/>
      <c r="Z4" s="12"/>
      <c r="AA4" s="152"/>
      <c r="AB4" s="152"/>
    </row>
    <row r="5" spans="1:29" ht="15" customHeight="1" x14ac:dyDescent="0.25">
      <c r="A5" s="1400" t="s">
        <v>94</v>
      </c>
      <c r="B5" s="1402" t="s">
        <v>95</v>
      </c>
      <c r="C5" s="66">
        <v>85</v>
      </c>
      <c r="D5" s="131">
        <v>44916</v>
      </c>
      <c r="E5" s="86">
        <v>524.9</v>
      </c>
      <c r="F5" s="73">
        <v>17</v>
      </c>
      <c r="G5" s="848"/>
      <c r="K5" s="1400" t="s">
        <v>94</v>
      </c>
      <c r="L5" s="1402" t="s">
        <v>95</v>
      </c>
      <c r="M5" s="66">
        <v>76</v>
      </c>
      <c r="N5" s="131">
        <v>44966</v>
      </c>
      <c r="O5" s="86">
        <v>343.4</v>
      </c>
      <c r="P5" s="73">
        <v>12</v>
      </c>
      <c r="Q5" s="971"/>
      <c r="U5" s="1400" t="s">
        <v>681</v>
      </c>
      <c r="V5" s="1415" t="s">
        <v>682</v>
      </c>
      <c r="W5" s="66">
        <v>70</v>
      </c>
      <c r="X5" s="131">
        <v>44988</v>
      </c>
      <c r="Y5" s="86">
        <v>3611.55</v>
      </c>
      <c r="Z5" s="73">
        <v>105</v>
      </c>
      <c r="AA5" s="1202"/>
    </row>
    <row r="6" spans="1:29" ht="15.75" customHeight="1" x14ac:dyDescent="0.25">
      <c r="A6" s="1400"/>
      <c r="B6" s="1402"/>
      <c r="C6" s="66">
        <v>85</v>
      </c>
      <c r="D6" s="131">
        <v>44919</v>
      </c>
      <c r="E6" s="103">
        <v>495.17</v>
      </c>
      <c r="F6" s="73">
        <v>17</v>
      </c>
      <c r="G6" s="88">
        <f>F27</f>
        <v>2048.75</v>
      </c>
      <c r="H6" s="7">
        <f>E6-G6+E5+E7+E4</f>
        <v>2.2737367544323206E-13</v>
      </c>
      <c r="K6" s="1400"/>
      <c r="L6" s="1402"/>
      <c r="M6" s="66">
        <v>74</v>
      </c>
      <c r="N6" s="131">
        <v>44979</v>
      </c>
      <c r="O6" s="103">
        <v>548.73</v>
      </c>
      <c r="P6" s="73">
        <v>18</v>
      </c>
      <c r="Q6" s="88">
        <f>P27</f>
        <v>892.12999999999988</v>
      </c>
      <c r="R6" s="7">
        <f>O6-Q6+O5+O7+O4</f>
        <v>1.1368683772161603E-13</v>
      </c>
      <c r="U6" s="1400"/>
      <c r="V6" s="1415"/>
      <c r="W6" s="66"/>
      <c r="X6" s="131"/>
      <c r="Y6" s="103"/>
      <c r="Z6" s="73"/>
      <c r="AA6" s="88">
        <f>Z27</f>
        <v>2253.88</v>
      </c>
      <c r="AB6" s="7">
        <f>Y6-AA6+Y5+Y7+Y4</f>
        <v>1357.67</v>
      </c>
    </row>
    <row r="7" spans="1:2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  <c r="V7" s="175"/>
      <c r="W7" s="66"/>
      <c r="X7" s="131"/>
      <c r="Y7" s="86"/>
      <c r="Z7" s="73"/>
    </row>
    <row r="8" spans="1:2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  <c r="V8" s="280" t="s">
        <v>7</v>
      </c>
      <c r="W8" s="275" t="s">
        <v>8</v>
      </c>
      <c r="X8" s="524" t="s">
        <v>17</v>
      </c>
      <c r="Y8" s="277" t="s">
        <v>2</v>
      </c>
      <c r="Z8" s="270" t="s">
        <v>18</v>
      </c>
      <c r="AA8" s="278" t="s">
        <v>15</v>
      </c>
      <c r="AB8" s="24"/>
    </row>
    <row r="9" spans="1:2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195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25</v>
      </c>
      <c r="M9" s="73">
        <v>5</v>
      </c>
      <c r="N9" s="69">
        <v>142.87</v>
      </c>
      <c r="O9" s="238">
        <v>44968</v>
      </c>
      <c r="P9" s="103">
        <f t="shared" ref="P9:P26" si="1">N9</f>
        <v>142.87</v>
      </c>
      <c r="Q9" s="70" t="s">
        <v>451</v>
      </c>
      <c r="R9" s="71">
        <v>78</v>
      </c>
      <c r="S9" s="129">
        <f>O5+O6+O7-P9+O4</f>
        <v>749.26</v>
      </c>
      <c r="U9" s="55" t="s">
        <v>32</v>
      </c>
      <c r="V9" s="404">
        <f>Z5+Z6+Z7-W9+Z4</f>
        <v>104</v>
      </c>
      <c r="W9" s="73">
        <v>1</v>
      </c>
      <c r="X9" s="69">
        <v>35.04</v>
      </c>
      <c r="Y9" s="238">
        <v>44988</v>
      </c>
      <c r="Z9" s="103">
        <f t="shared" ref="Z9:Z26" si="2">X9</f>
        <v>35.04</v>
      </c>
      <c r="AA9" s="70" t="s">
        <v>719</v>
      </c>
      <c r="AB9" s="71">
        <v>72</v>
      </c>
      <c r="AC9" s="129">
        <f>Y5+Y6+Y7-Z9+Y4</f>
        <v>3576.51</v>
      </c>
    </row>
    <row r="10" spans="1:2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192</v>
      </c>
      <c r="H10" s="71">
        <v>87</v>
      </c>
      <c r="I10" s="129">
        <f>I9-F10</f>
        <v>1119.42</v>
      </c>
      <c r="L10" s="404">
        <f>L9-M10</f>
        <v>24</v>
      </c>
      <c r="M10" s="73">
        <v>1</v>
      </c>
      <c r="N10" s="69">
        <v>29.77</v>
      </c>
      <c r="O10" s="238">
        <v>44968</v>
      </c>
      <c r="P10" s="103">
        <f t="shared" si="1"/>
        <v>29.77</v>
      </c>
      <c r="Q10" s="70" t="s">
        <v>453</v>
      </c>
      <c r="R10" s="71">
        <v>78</v>
      </c>
      <c r="S10" s="129">
        <f>S9-P10</f>
        <v>719.49</v>
      </c>
      <c r="V10" s="404">
        <f>V9-W10</f>
        <v>54</v>
      </c>
      <c r="W10" s="73">
        <v>50</v>
      </c>
      <c r="X10" s="69">
        <v>1712.98</v>
      </c>
      <c r="Y10" s="238">
        <v>44989</v>
      </c>
      <c r="Z10" s="103">
        <f t="shared" si="2"/>
        <v>1712.98</v>
      </c>
      <c r="AA10" s="70" t="s">
        <v>724</v>
      </c>
      <c r="AB10" s="71">
        <v>72</v>
      </c>
      <c r="AC10" s="129">
        <f>AC9-Z10</f>
        <v>1863.5300000000002</v>
      </c>
    </row>
    <row r="11" spans="1:2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196</v>
      </c>
      <c r="H11" s="71">
        <v>87</v>
      </c>
      <c r="I11" s="129">
        <f t="shared" ref="I11:I26" si="3">I10-F11</f>
        <v>1086.3900000000001</v>
      </c>
      <c r="L11" s="851">
        <f>L10-M11</f>
        <v>18</v>
      </c>
      <c r="M11" s="645">
        <v>6</v>
      </c>
      <c r="N11" s="633">
        <v>170.76</v>
      </c>
      <c r="O11" s="738">
        <v>44970</v>
      </c>
      <c r="P11" s="666">
        <f t="shared" si="1"/>
        <v>170.76</v>
      </c>
      <c r="Q11" s="631" t="s">
        <v>454</v>
      </c>
      <c r="R11" s="632">
        <v>78</v>
      </c>
      <c r="S11" s="628">
        <f t="shared" ref="S11:S26" si="4">S10-P11</f>
        <v>548.73</v>
      </c>
      <c r="V11" s="851">
        <f>V10-W11</f>
        <v>49</v>
      </c>
      <c r="W11" s="645">
        <v>5</v>
      </c>
      <c r="X11" s="633">
        <v>168.53</v>
      </c>
      <c r="Y11" s="738">
        <v>44989</v>
      </c>
      <c r="Z11" s="666">
        <f t="shared" si="2"/>
        <v>168.53</v>
      </c>
      <c r="AA11" s="631" t="s">
        <v>724</v>
      </c>
      <c r="AB11" s="632">
        <v>72</v>
      </c>
      <c r="AC11" s="628">
        <f t="shared" ref="AC11:AC26" si="5">AC10-Z11</f>
        <v>1695.0000000000002</v>
      </c>
    </row>
    <row r="12" spans="1:29" x14ac:dyDescent="0.25">
      <c r="A12" s="55" t="s">
        <v>33</v>
      </c>
      <c r="B12" s="740">
        <f t="shared" ref="B12:B14" si="6">B11-C12</f>
        <v>27</v>
      </c>
      <c r="C12" s="645">
        <v>10</v>
      </c>
      <c r="D12" s="633">
        <v>298.07</v>
      </c>
      <c r="E12" s="738">
        <v>44932</v>
      </c>
      <c r="F12" s="666">
        <f t="shared" si="0"/>
        <v>298.07</v>
      </c>
      <c r="G12" s="631" t="s">
        <v>208</v>
      </c>
      <c r="H12" s="632">
        <v>85</v>
      </c>
      <c r="I12" s="721">
        <f t="shared" si="3"/>
        <v>788.32000000000016</v>
      </c>
      <c r="K12" s="55" t="s">
        <v>33</v>
      </c>
      <c r="L12" s="851">
        <f t="shared" ref="L12:L14" si="7">L11-M12</f>
        <v>8</v>
      </c>
      <c r="M12" s="645">
        <v>10</v>
      </c>
      <c r="N12" s="633">
        <v>301.95999999999998</v>
      </c>
      <c r="O12" s="738">
        <v>44987</v>
      </c>
      <c r="P12" s="666">
        <f t="shared" si="1"/>
        <v>301.95999999999998</v>
      </c>
      <c r="Q12" s="631" t="s">
        <v>466</v>
      </c>
      <c r="R12" s="632">
        <v>76</v>
      </c>
      <c r="S12" s="628">
        <f t="shared" si="4"/>
        <v>246.77000000000004</v>
      </c>
      <c r="U12" s="55" t="s">
        <v>33</v>
      </c>
      <c r="V12" s="851">
        <f t="shared" ref="V12:V14" si="8">V11-W12</f>
        <v>39</v>
      </c>
      <c r="W12" s="645">
        <v>10</v>
      </c>
      <c r="X12" s="633">
        <v>337.33</v>
      </c>
      <c r="Y12" s="738">
        <v>44989</v>
      </c>
      <c r="Z12" s="666">
        <f t="shared" si="2"/>
        <v>337.33</v>
      </c>
      <c r="AA12" s="631" t="s">
        <v>469</v>
      </c>
      <c r="AB12" s="632">
        <v>72</v>
      </c>
      <c r="AC12" s="628">
        <f t="shared" si="5"/>
        <v>1357.6700000000003</v>
      </c>
    </row>
    <row r="13" spans="1:29" x14ac:dyDescent="0.25">
      <c r="B13" s="851">
        <f t="shared" si="6"/>
        <v>26</v>
      </c>
      <c r="C13" s="645">
        <v>1</v>
      </c>
      <c r="D13" s="912">
        <v>29.44</v>
      </c>
      <c r="E13" s="921">
        <v>44944</v>
      </c>
      <c r="F13" s="922">
        <f t="shared" si="0"/>
        <v>29.44</v>
      </c>
      <c r="G13" s="914" t="s">
        <v>234</v>
      </c>
      <c r="H13" s="663">
        <v>87</v>
      </c>
      <c r="I13" s="628">
        <f t="shared" si="3"/>
        <v>758.88000000000011</v>
      </c>
      <c r="L13" s="851">
        <f t="shared" si="7"/>
        <v>0</v>
      </c>
      <c r="M13" s="645">
        <v>8</v>
      </c>
      <c r="N13" s="633">
        <v>246.77</v>
      </c>
      <c r="O13" s="738">
        <v>44988</v>
      </c>
      <c r="P13" s="666">
        <f t="shared" si="1"/>
        <v>246.77</v>
      </c>
      <c r="Q13" s="631" t="s">
        <v>712</v>
      </c>
      <c r="R13" s="632">
        <v>76</v>
      </c>
      <c r="S13" s="628">
        <f t="shared" si="4"/>
        <v>0</v>
      </c>
      <c r="V13" s="851">
        <f t="shared" si="8"/>
        <v>39</v>
      </c>
      <c r="W13" s="645"/>
      <c r="X13" s="633"/>
      <c r="Y13" s="738"/>
      <c r="Z13" s="666">
        <f t="shared" si="2"/>
        <v>0</v>
      </c>
      <c r="AA13" s="631"/>
      <c r="AB13" s="632"/>
      <c r="AC13" s="628">
        <f t="shared" si="5"/>
        <v>1357.6700000000003</v>
      </c>
    </row>
    <row r="14" spans="1:29" x14ac:dyDescent="0.25">
      <c r="A14" s="19"/>
      <c r="B14" s="740">
        <f t="shared" si="6"/>
        <v>22</v>
      </c>
      <c r="C14" s="645">
        <v>4</v>
      </c>
      <c r="D14" s="912">
        <v>115.48</v>
      </c>
      <c r="E14" s="921">
        <v>44954</v>
      </c>
      <c r="F14" s="922">
        <f t="shared" si="0"/>
        <v>115.48</v>
      </c>
      <c r="G14" s="914" t="s">
        <v>273</v>
      </c>
      <c r="H14" s="663">
        <v>87</v>
      </c>
      <c r="I14" s="721">
        <f t="shared" si="3"/>
        <v>643.40000000000009</v>
      </c>
      <c r="K14" s="19"/>
      <c r="L14" s="851">
        <f t="shared" si="7"/>
        <v>0</v>
      </c>
      <c r="M14" s="645"/>
      <c r="N14" s="633"/>
      <c r="O14" s="738"/>
      <c r="P14" s="666">
        <f t="shared" si="1"/>
        <v>0</v>
      </c>
      <c r="Q14" s="631"/>
      <c r="R14" s="632"/>
      <c r="S14" s="628">
        <f t="shared" si="4"/>
        <v>0</v>
      </c>
      <c r="U14" s="19"/>
      <c r="V14" s="851">
        <f t="shared" si="8"/>
        <v>39</v>
      </c>
      <c r="W14" s="645"/>
      <c r="X14" s="633"/>
      <c r="Y14" s="738"/>
      <c r="Z14" s="666">
        <f t="shared" si="2"/>
        <v>0</v>
      </c>
      <c r="AA14" s="631"/>
      <c r="AB14" s="632"/>
      <c r="AC14" s="628">
        <f t="shared" si="5"/>
        <v>1357.6700000000003</v>
      </c>
    </row>
    <row r="15" spans="1:29" x14ac:dyDescent="0.25">
      <c r="B15" s="851">
        <f>B14-C15</f>
        <v>16</v>
      </c>
      <c r="C15" s="645">
        <v>6</v>
      </c>
      <c r="D15" s="912">
        <v>178.14</v>
      </c>
      <c r="E15" s="921">
        <v>44961</v>
      </c>
      <c r="F15" s="922">
        <f t="shared" si="0"/>
        <v>178.14</v>
      </c>
      <c r="G15" s="914" t="s">
        <v>519</v>
      </c>
      <c r="H15" s="663">
        <v>87</v>
      </c>
      <c r="I15" s="628">
        <f t="shared" si="3"/>
        <v>465.2600000000001</v>
      </c>
      <c r="L15" s="851">
        <f>L14-M15</f>
        <v>0</v>
      </c>
      <c r="M15" s="645"/>
      <c r="N15" s="633"/>
      <c r="O15" s="738"/>
      <c r="P15" s="1150">
        <f t="shared" si="1"/>
        <v>0</v>
      </c>
      <c r="Q15" s="1158"/>
      <c r="R15" s="1159"/>
      <c r="S15" s="1161">
        <f t="shared" si="4"/>
        <v>0</v>
      </c>
      <c r="V15" s="851">
        <f>V14-W15</f>
        <v>39</v>
      </c>
      <c r="W15" s="645"/>
      <c r="X15" s="633"/>
      <c r="Y15" s="738"/>
      <c r="Z15" s="666">
        <f t="shared" si="2"/>
        <v>0</v>
      </c>
      <c r="AA15" s="631"/>
      <c r="AB15" s="632"/>
      <c r="AC15" s="628">
        <f t="shared" si="5"/>
        <v>1357.6700000000003</v>
      </c>
    </row>
    <row r="16" spans="1:29" x14ac:dyDescent="0.25">
      <c r="B16" s="851">
        <f t="shared" ref="B16:B26" si="9">B15-C16</f>
        <v>9</v>
      </c>
      <c r="C16" s="645">
        <v>7</v>
      </c>
      <c r="D16" s="912">
        <v>208.01</v>
      </c>
      <c r="E16" s="921">
        <v>44965</v>
      </c>
      <c r="F16" s="922">
        <f t="shared" si="0"/>
        <v>208.01</v>
      </c>
      <c r="G16" s="914" t="s">
        <v>547</v>
      </c>
      <c r="H16" s="663">
        <v>83</v>
      </c>
      <c r="I16" s="628">
        <f t="shared" si="3"/>
        <v>257.25000000000011</v>
      </c>
      <c r="L16" s="851">
        <f t="shared" ref="L16:L26" si="10">L15-M16</f>
        <v>0</v>
      </c>
      <c r="M16" s="645"/>
      <c r="N16" s="633"/>
      <c r="O16" s="738"/>
      <c r="P16" s="1150">
        <f t="shared" si="1"/>
        <v>0</v>
      </c>
      <c r="Q16" s="1158"/>
      <c r="R16" s="1159"/>
      <c r="S16" s="1161">
        <f t="shared" si="4"/>
        <v>0</v>
      </c>
      <c r="V16" s="851">
        <f t="shared" ref="V16:V26" si="11">V15-W16</f>
        <v>39</v>
      </c>
      <c r="W16" s="645"/>
      <c r="X16" s="633"/>
      <c r="Y16" s="738"/>
      <c r="Z16" s="666">
        <f t="shared" si="2"/>
        <v>0</v>
      </c>
      <c r="AA16" s="631"/>
      <c r="AB16" s="632"/>
      <c r="AC16" s="628">
        <f t="shared" si="5"/>
        <v>1357.6700000000003</v>
      </c>
    </row>
    <row r="17" spans="1:29" x14ac:dyDescent="0.25">
      <c r="B17" s="851">
        <f t="shared" si="9"/>
        <v>0</v>
      </c>
      <c r="C17" s="645">
        <v>9</v>
      </c>
      <c r="D17" s="912">
        <v>257.25</v>
      </c>
      <c r="E17" s="921">
        <v>44967</v>
      </c>
      <c r="F17" s="922">
        <f t="shared" si="0"/>
        <v>257.25</v>
      </c>
      <c r="G17" s="914" t="s">
        <v>450</v>
      </c>
      <c r="H17" s="663">
        <v>83</v>
      </c>
      <c r="I17" s="628">
        <f t="shared" si="3"/>
        <v>0</v>
      </c>
      <c r="L17" s="851">
        <f t="shared" si="10"/>
        <v>0</v>
      </c>
      <c r="M17" s="645"/>
      <c r="N17" s="633"/>
      <c r="O17" s="738"/>
      <c r="P17" s="1150">
        <f t="shared" si="1"/>
        <v>0</v>
      </c>
      <c r="Q17" s="1158"/>
      <c r="R17" s="1159"/>
      <c r="S17" s="1161">
        <f t="shared" si="4"/>
        <v>0</v>
      </c>
      <c r="V17" s="851">
        <f t="shared" si="11"/>
        <v>39</v>
      </c>
      <c r="W17" s="645"/>
      <c r="X17" s="633"/>
      <c r="Y17" s="738"/>
      <c r="Z17" s="666">
        <f t="shared" si="2"/>
        <v>0</v>
      </c>
      <c r="AA17" s="631"/>
      <c r="AB17" s="632"/>
      <c r="AC17" s="628">
        <f t="shared" si="5"/>
        <v>1357.6700000000003</v>
      </c>
    </row>
    <row r="18" spans="1:29" x14ac:dyDescent="0.25">
      <c r="B18" s="851">
        <f t="shared" si="9"/>
        <v>0</v>
      </c>
      <c r="C18" s="645"/>
      <c r="D18" s="912"/>
      <c r="E18" s="921"/>
      <c r="F18" s="1162">
        <f t="shared" si="0"/>
        <v>0</v>
      </c>
      <c r="G18" s="1163"/>
      <c r="H18" s="1164"/>
      <c r="I18" s="1165">
        <f t="shared" si="3"/>
        <v>0</v>
      </c>
      <c r="L18" s="851">
        <f t="shared" si="10"/>
        <v>0</v>
      </c>
      <c r="M18" s="645"/>
      <c r="N18" s="633"/>
      <c r="O18" s="738"/>
      <c r="P18" s="666">
        <f t="shared" si="1"/>
        <v>0</v>
      </c>
      <c r="Q18" s="631"/>
      <c r="R18" s="632"/>
      <c r="S18" s="628">
        <f t="shared" si="4"/>
        <v>0</v>
      </c>
      <c r="V18" s="851">
        <f t="shared" si="11"/>
        <v>39</v>
      </c>
      <c r="W18" s="645"/>
      <c r="X18" s="633"/>
      <c r="Y18" s="738"/>
      <c r="Z18" s="666">
        <f t="shared" si="2"/>
        <v>0</v>
      </c>
      <c r="AA18" s="631"/>
      <c r="AB18" s="632"/>
      <c r="AC18" s="628">
        <f t="shared" si="5"/>
        <v>1357.6700000000003</v>
      </c>
    </row>
    <row r="19" spans="1:29" x14ac:dyDescent="0.25">
      <c r="B19" s="851">
        <f t="shared" si="9"/>
        <v>0</v>
      </c>
      <c r="C19" s="645"/>
      <c r="D19" s="912"/>
      <c r="E19" s="921"/>
      <c r="F19" s="1162">
        <f t="shared" si="0"/>
        <v>0</v>
      </c>
      <c r="G19" s="1163"/>
      <c r="H19" s="1164"/>
      <c r="I19" s="1165">
        <f t="shared" si="3"/>
        <v>0</v>
      </c>
      <c r="L19" s="851">
        <f t="shared" si="10"/>
        <v>0</v>
      </c>
      <c r="M19" s="645"/>
      <c r="N19" s="633"/>
      <c r="O19" s="738"/>
      <c r="P19" s="666">
        <f t="shared" si="1"/>
        <v>0</v>
      </c>
      <c r="Q19" s="631"/>
      <c r="R19" s="632"/>
      <c r="S19" s="628">
        <f t="shared" si="4"/>
        <v>0</v>
      </c>
      <c r="V19" s="851">
        <f t="shared" si="11"/>
        <v>39</v>
      </c>
      <c r="W19" s="645"/>
      <c r="X19" s="633"/>
      <c r="Y19" s="738"/>
      <c r="Z19" s="666">
        <f t="shared" si="2"/>
        <v>0</v>
      </c>
      <c r="AA19" s="631"/>
      <c r="AB19" s="632"/>
      <c r="AC19" s="628">
        <f t="shared" si="5"/>
        <v>1357.6700000000003</v>
      </c>
    </row>
    <row r="20" spans="1:29" x14ac:dyDescent="0.25">
      <c r="B20" s="851">
        <f t="shared" si="9"/>
        <v>0</v>
      </c>
      <c r="C20" s="645"/>
      <c r="D20" s="912"/>
      <c r="E20" s="921"/>
      <c r="F20" s="1162">
        <f t="shared" si="0"/>
        <v>0</v>
      </c>
      <c r="G20" s="1163"/>
      <c r="H20" s="1164"/>
      <c r="I20" s="1165">
        <f t="shared" si="3"/>
        <v>0</v>
      </c>
      <c r="L20" s="851">
        <f t="shared" si="10"/>
        <v>0</v>
      </c>
      <c r="M20" s="645"/>
      <c r="N20" s="633"/>
      <c r="O20" s="738"/>
      <c r="P20" s="666">
        <f t="shared" si="1"/>
        <v>0</v>
      </c>
      <c r="Q20" s="631"/>
      <c r="R20" s="632"/>
      <c r="S20" s="628">
        <f t="shared" si="4"/>
        <v>0</v>
      </c>
      <c r="V20" s="851">
        <f t="shared" si="11"/>
        <v>39</v>
      </c>
      <c r="W20" s="645"/>
      <c r="X20" s="633"/>
      <c r="Y20" s="738"/>
      <c r="Z20" s="666">
        <f t="shared" si="2"/>
        <v>0</v>
      </c>
      <c r="AA20" s="631"/>
      <c r="AB20" s="632"/>
      <c r="AC20" s="628">
        <f t="shared" si="5"/>
        <v>1357.6700000000003</v>
      </c>
    </row>
    <row r="21" spans="1:29" x14ac:dyDescent="0.25">
      <c r="B21" s="851">
        <f t="shared" si="9"/>
        <v>0</v>
      </c>
      <c r="C21" s="645"/>
      <c r="D21" s="912"/>
      <c r="E21" s="921"/>
      <c r="F21" s="1162">
        <f t="shared" si="0"/>
        <v>0</v>
      </c>
      <c r="G21" s="1163"/>
      <c r="H21" s="1164"/>
      <c r="I21" s="1165">
        <f t="shared" si="3"/>
        <v>0</v>
      </c>
      <c r="L21" s="851">
        <f t="shared" si="10"/>
        <v>0</v>
      </c>
      <c r="M21" s="645"/>
      <c r="N21" s="633"/>
      <c r="O21" s="738"/>
      <c r="P21" s="666">
        <f t="shared" si="1"/>
        <v>0</v>
      </c>
      <c r="Q21" s="631"/>
      <c r="R21" s="632"/>
      <c r="S21" s="628">
        <f t="shared" si="4"/>
        <v>0</v>
      </c>
      <c r="V21" s="851">
        <f t="shared" si="11"/>
        <v>39</v>
      </c>
      <c r="W21" s="645"/>
      <c r="X21" s="633"/>
      <c r="Y21" s="738"/>
      <c r="Z21" s="666">
        <f t="shared" si="2"/>
        <v>0</v>
      </c>
      <c r="AA21" s="631"/>
      <c r="AB21" s="632"/>
      <c r="AC21" s="628">
        <f t="shared" si="5"/>
        <v>1357.6700000000003</v>
      </c>
    </row>
    <row r="22" spans="1:29" x14ac:dyDescent="0.25">
      <c r="B22" s="851">
        <f t="shared" si="9"/>
        <v>0</v>
      </c>
      <c r="C22" s="645"/>
      <c r="D22" s="912">
        <v>0</v>
      </c>
      <c r="E22" s="921"/>
      <c r="F22" s="922">
        <f t="shared" si="0"/>
        <v>0</v>
      </c>
      <c r="G22" s="914"/>
      <c r="H22" s="663"/>
      <c r="I22" s="628">
        <f t="shared" si="3"/>
        <v>0</v>
      </c>
      <c r="L22" s="851">
        <f t="shared" si="10"/>
        <v>0</v>
      </c>
      <c r="M22" s="645"/>
      <c r="N22" s="633">
        <v>0</v>
      </c>
      <c r="O22" s="738"/>
      <c r="P22" s="666">
        <f t="shared" si="1"/>
        <v>0</v>
      </c>
      <c r="Q22" s="631"/>
      <c r="R22" s="632"/>
      <c r="S22" s="628">
        <f t="shared" si="4"/>
        <v>0</v>
      </c>
      <c r="V22" s="851">
        <f t="shared" si="11"/>
        <v>39</v>
      </c>
      <c r="W22" s="645"/>
      <c r="X22" s="633">
        <v>0</v>
      </c>
      <c r="Y22" s="738"/>
      <c r="Z22" s="666">
        <f t="shared" si="2"/>
        <v>0</v>
      </c>
      <c r="AA22" s="631"/>
      <c r="AB22" s="632"/>
      <c r="AC22" s="628">
        <f t="shared" si="5"/>
        <v>1357.6700000000003</v>
      </c>
    </row>
    <row r="23" spans="1:29" x14ac:dyDescent="0.25">
      <c r="B23" s="851">
        <f t="shared" si="9"/>
        <v>0</v>
      </c>
      <c r="C23" s="714"/>
      <c r="D23" s="912">
        <v>0</v>
      </c>
      <c r="E23" s="921"/>
      <c r="F23" s="922">
        <f t="shared" si="0"/>
        <v>0</v>
      </c>
      <c r="G23" s="914"/>
      <c r="H23" s="663"/>
      <c r="I23" s="628">
        <f t="shared" si="3"/>
        <v>0</v>
      </c>
      <c r="L23" s="851">
        <f t="shared" si="10"/>
        <v>0</v>
      </c>
      <c r="M23" s="714"/>
      <c r="N23" s="633">
        <v>0</v>
      </c>
      <c r="O23" s="738"/>
      <c r="P23" s="666">
        <f t="shared" si="1"/>
        <v>0</v>
      </c>
      <c r="Q23" s="631"/>
      <c r="R23" s="632"/>
      <c r="S23" s="628">
        <f t="shared" si="4"/>
        <v>0</v>
      </c>
      <c r="V23" s="851">
        <f t="shared" si="11"/>
        <v>39</v>
      </c>
      <c r="W23" s="714"/>
      <c r="X23" s="633">
        <v>0</v>
      </c>
      <c r="Y23" s="738"/>
      <c r="Z23" s="666">
        <f t="shared" si="2"/>
        <v>0</v>
      </c>
      <c r="AA23" s="631"/>
      <c r="AB23" s="632"/>
      <c r="AC23" s="628">
        <f t="shared" si="5"/>
        <v>1357.6700000000003</v>
      </c>
    </row>
    <row r="24" spans="1:29" x14ac:dyDescent="0.25">
      <c r="B24" s="851">
        <f t="shared" si="9"/>
        <v>0</v>
      </c>
      <c r="C24" s="714"/>
      <c r="D24" s="912">
        <v>0</v>
      </c>
      <c r="E24" s="921"/>
      <c r="F24" s="922">
        <f t="shared" si="0"/>
        <v>0</v>
      </c>
      <c r="G24" s="914"/>
      <c r="H24" s="663"/>
      <c r="I24" s="628">
        <f t="shared" si="3"/>
        <v>0</v>
      </c>
      <c r="L24" s="851">
        <f t="shared" si="10"/>
        <v>0</v>
      </c>
      <c r="M24" s="714"/>
      <c r="N24" s="633">
        <v>0</v>
      </c>
      <c r="O24" s="738"/>
      <c r="P24" s="666">
        <f t="shared" si="1"/>
        <v>0</v>
      </c>
      <c r="Q24" s="631"/>
      <c r="R24" s="632"/>
      <c r="S24" s="628">
        <f t="shared" si="4"/>
        <v>0</v>
      </c>
      <c r="V24" s="851">
        <f t="shared" si="11"/>
        <v>39</v>
      </c>
      <c r="W24" s="714"/>
      <c r="X24" s="633">
        <v>0</v>
      </c>
      <c r="Y24" s="738"/>
      <c r="Z24" s="666">
        <f t="shared" si="2"/>
        <v>0</v>
      </c>
      <c r="AA24" s="631"/>
      <c r="AB24" s="632"/>
      <c r="AC24" s="628">
        <f t="shared" si="5"/>
        <v>1357.6700000000003</v>
      </c>
    </row>
    <row r="25" spans="1:29" x14ac:dyDescent="0.25">
      <c r="B25" s="404">
        <f t="shared" si="9"/>
        <v>0</v>
      </c>
      <c r="C25" s="15"/>
      <c r="D25" s="617">
        <v>0</v>
      </c>
      <c r="E25" s="857"/>
      <c r="F25" s="858">
        <f t="shared" si="0"/>
        <v>0</v>
      </c>
      <c r="G25" s="619"/>
      <c r="H25" s="201"/>
      <c r="I25" s="129">
        <f t="shared" si="3"/>
        <v>0</v>
      </c>
      <c r="L25" s="404">
        <f t="shared" si="10"/>
        <v>0</v>
      </c>
      <c r="M25" s="15"/>
      <c r="N25" s="69">
        <v>0</v>
      </c>
      <c r="O25" s="238"/>
      <c r="P25" s="103">
        <f t="shared" si="1"/>
        <v>0</v>
      </c>
      <c r="Q25" s="70"/>
      <c r="R25" s="71"/>
      <c r="S25" s="129">
        <f t="shared" si="4"/>
        <v>0</v>
      </c>
      <c r="V25" s="404">
        <f t="shared" si="11"/>
        <v>39</v>
      </c>
      <c r="W25" s="15"/>
      <c r="X25" s="69">
        <v>0</v>
      </c>
      <c r="Y25" s="238"/>
      <c r="Z25" s="103">
        <f t="shared" si="2"/>
        <v>0</v>
      </c>
      <c r="AA25" s="70"/>
      <c r="AB25" s="71"/>
      <c r="AC25" s="129">
        <f t="shared" si="5"/>
        <v>1357.6700000000003</v>
      </c>
    </row>
    <row r="26" spans="1:29" ht="15.75" thickBot="1" x14ac:dyDescent="0.3">
      <c r="A26" s="118"/>
      <c r="B26" s="404">
        <f t="shared" si="9"/>
        <v>0</v>
      </c>
      <c r="C26" s="37"/>
      <c r="D26" s="617">
        <v>0</v>
      </c>
      <c r="E26" s="859"/>
      <c r="F26" s="858">
        <f t="shared" si="0"/>
        <v>0</v>
      </c>
      <c r="G26" s="926"/>
      <c r="H26" s="927"/>
      <c r="I26" s="129">
        <f t="shared" si="3"/>
        <v>0</v>
      </c>
      <c r="K26" s="118"/>
      <c r="L26" s="404">
        <f t="shared" si="10"/>
        <v>0</v>
      </c>
      <c r="M26" s="37"/>
      <c r="N26" s="69">
        <v>0</v>
      </c>
      <c r="O26" s="199"/>
      <c r="P26" s="103">
        <f t="shared" si="1"/>
        <v>0</v>
      </c>
      <c r="Q26" s="136"/>
      <c r="R26" s="194"/>
      <c r="S26" s="129">
        <f t="shared" si="4"/>
        <v>0</v>
      </c>
      <c r="U26" s="118"/>
      <c r="V26" s="404">
        <f t="shared" si="11"/>
        <v>39</v>
      </c>
      <c r="W26" s="37"/>
      <c r="X26" s="69">
        <v>0</v>
      </c>
      <c r="Y26" s="199"/>
      <c r="Z26" s="103">
        <f t="shared" si="2"/>
        <v>0</v>
      </c>
      <c r="AA26" s="136"/>
      <c r="AB26" s="194"/>
      <c r="AC26" s="129">
        <f t="shared" si="5"/>
        <v>1357.6700000000003</v>
      </c>
    </row>
    <row r="27" spans="1:29" ht="15.75" thickTop="1" x14ac:dyDescent="0.25">
      <c r="A27" s="47">
        <f>SUM(A26:A26)</f>
        <v>0</v>
      </c>
      <c r="C27" s="73">
        <f>SUM(C9:C26)</f>
        <v>69</v>
      </c>
      <c r="D27" s="103">
        <f>SUM(D9:D26)</f>
        <v>2048.75</v>
      </c>
      <c r="E27" s="75"/>
      <c r="F27" s="103">
        <f>SUM(F9:F26)</f>
        <v>2048.75</v>
      </c>
      <c r="G27" s="149"/>
      <c r="H27" s="149"/>
      <c r="K27" s="47">
        <f>SUM(K26:K26)</f>
        <v>0</v>
      </c>
      <c r="M27" s="73">
        <f>SUM(M9:M26)</f>
        <v>30</v>
      </c>
      <c r="N27" s="103">
        <f>SUM(N9:N26)</f>
        <v>892.12999999999988</v>
      </c>
      <c r="O27" s="75"/>
      <c r="P27" s="103">
        <f>SUM(P9:P26)</f>
        <v>892.12999999999988</v>
      </c>
      <c r="Q27" s="149"/>
      <c r="R27" s="149"/>
      <c r="U27" s="47">
        <f>SUM(U26:U26)</f>
        <v>0</v>
      </c>
      <c r="W27" s="73">
        <f>SUM(W9:W26)</f>
        <v>66</v>
      </c>
      <c r="X27" s="103">
        <f>SUM(X9:X26)</f>
        <v>2253.88</v>
      </c>
      <c r="Y27" s="75"/>
      <c r="Z27" s="103">
        <f>SUM(Z9:Z26)</f>
        <v>2253.88</v>
      </c>
      <c r="AA27" s="149"/>
      <c r="AB27" s="149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76" t="s">
        <v>21</v>
      </c>
      <c r="E29" s="1377"/>
      <c r="F29" s="138">
        <f>E5+E6-F27+E7+E4</f>
        <v>0</v>
      </c>
      <c r="L29" s="5"/>
      <c r="N29" s="1376" t="s">
        <v>21</v>
      </c>
      <c r="O29" s="1377"/>
      <c r="P29" s="138">
        <f>O5+O6-P27+O7+O4</f>
        <v>1.1368683772161603E-13</v>
      </c>
      <c r="V29" s="5"/>
      <c r="X29" s="1376" t="s">
        <v>21</v>
      </c>
      <c r="Y29" s="1377"/>
      <c r="Z29" s="138">
        <f>Y5+Y6-Z27+Y7+Y4</f>
        <v>1357.67</v>
      </c>
    </row>
    <row r="30" spans="1:29" ht="15.75" thickBot="1" x14ac:dyDescent="0.3">
      <c r="A30" s="122"/>
      <c r="D30" s="845" t="s">
        <v>4</v>
      </c>
      <c r="E30" s="846"/>
      <c r="F30" s="49">
        <f>F5+F6-C27+F7+F4</f>
        <v>0</v>
      </c>
      <c r="K30" s="122"/>
      <c r="N30" s="967" t="s">
        <v>4</v>
      </c>
      <c r="O30" s="968"/>
      <c r="P30" s="49">
        <f>P5+P6-M27+P7+P4</f>
        <v>0</v>
      </c>
      <c r="U30" s="122"/>
      <c r="X30" s="1198" t="s">
        <v>4</v>
      </c>
      <c r="Y30" s="1199"/>
      <c r="Z30" s="49">
        <f>Z5+Z6-W27+Z7+Z4</f>
        <v>39</v>
      </c>
    </row>
    <row r="31" spans="1:29" x14ac:dyDescent="0.25">
      <c r="B31" s="5"/>
      <c r="L31" s="5"/>
      <c r="V31" s="5"/>
    </row>
  </sheetData>
  <mergeCells count="12">
    <mergeCell ref="U1:AA1"/>
    <mergeCell ref="U5:U6"/>
    <mergeCell ref="V5:V6"/>
    <mergeCell ref="X29:Y29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395"/>
      <c r="B6" s="1416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395"/>
      <c r="B7" s="1417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76" t="s">
        <v>21</v>
      </c>
      <c r="E30" s="1377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N23" sqref="N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18" t="s">
        <v>283</v>
      </c>
      <c r="B1" s="1418"/>
      <c r="C1" s="1418"/>
      <c r="D1" s="1418"/>
      <c r="E1" s="1418"/>
      <c r="F1" s="1418"/>
      <c r="G1" s="1418"/>
      <c r="H1" s="1418"/>
      <c r="I1" s="1418"/>
      <c r="J1" s="1418"/>
      <c r="K1" s="463">
        <v>1</v>
      </c>
      <c r="M1" s="1418" t="str">
        <f>A1</f>
        <v>INVENTARIO     DEL MES DE    ENERO   2023</v>
      </c>
      <c r="N1" s="1418"/>
      <c r="O1" s="1418"/>
      <c r="P1" s="1418"/>
      <c r="Q1" s="1418"/>
      <c r="R1" s="1418"/>
      <c r="S1" s="1418"/>
      <c r="T1" s="1418"/>
      <c r="U1" s="1418"/>
      <c r="V1" s="1418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>
        <v>381.08</v>
      </c>
      <c r="R4" s="73">
        <v>14</v>
      </c>
      <c r="S4" s="371"/>
    </row>
    <row r="5" spans="1:23" ht="15.75" customHeight="1" thickTop="1" x14ac:dyDescent="0.25">
      <c r="A5" s="1419" t="s">
        <v>216</v>
      </c>
      <c r="B5" s="73" t="s">
        <v>48</v>
      </c>
      <c r="C5" s="761">
        <v>79</v>
      </c>
      <c r="D5" s="649">
        <v>44944</v>
      </c>
      <c r="E5" s="628">
        <v>18455.16</v>
      </c>
      <c r="F5" s="645">
        <v>678</v>
      </c>
      <c r="G5" s="47">
        <f>F115</f>
        <v>18455.159999999993</v>
      </c>
      <c r="H5" s="151">
        <f>E5+E6-G5+E4</f>
        <v>7.2759576141834259E-12</v>
      </c>
      <c r="M5" s="1419" t="s">
        <v>218</v>
      </c>
      <c r="N5" s="73" t="s">
        <v>48</v>
      </c>
      <c r="O5" s="761">
        <v>73</v>
      </c>
      <c r="P5" s="649">
        <v>44951</v>
      </c>
      <c r="Q5" s="721">
        <v>18452.12</v>
      </c>
      <c r="R5" s="726">
        <v>678</v>
      </c>
      <c r="S5" s="47">
        <f>R115</f>
        <v>2939.7599999999993</v>
      </c>
      <c r="T5" s="151">
        <f>Q5+Q6-S5+Q4</f>
        <v>15893.44</v>
      </c>
    </row>
    <row r="6" spans="1:23" ht="15.75" customHeight="1" x14ac:dyDescent="0.25">
      <c r="A6" s="1420"/>
      <c r="B6" s="608" t="s">
        <v>108</v>
      </c>
      <c r="C6" s="762"/>
      <c r="D6" s="649"/>
      <c r="E6" s="742"/>
      <c r="F6" s="763"/>
      <c r="M6" s="1420"/>
      <c r="N6" s="608" t="s">
        <v>108</v>
      </c>
      <c r="O6" s="762"/>
      <c r="P6" s="649"/>
      <c r="Q6" s="742"/>
      <c r="R6" s="763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48" t="s">
        <v>59</v>
      </c>
      <c r="J8" s="948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59" t="s">
        <v>59</v>
      </c>
      <c r="V8" s="959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236</v>
      </c>
      <c r="H9" s="71">
        <v>85</v>
      </c>
      <c r="I9" s="828">
        <f>E5-F9+E4+E6+E7</f>
        <v>17801.88</v>
      </c>
      <c r="J9" s="829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>
        <v>24</v>
      </c>
      <c r="P9" s="69">
        <f t="shared" ref="P9:P11" si="2">O9*N9</f>
        <v>653.28</v>
      </c>
      <c r="Q9" s="239">
        <v>44986</v>
      </c>
      <c r="R9" s="69">
        <f t="shared" ref="R9:R11" si="3">P9</f>
        <v>653.28</v>
      </c>
      <c r="S9" s="70" t="s">
        <v>672</v>
      </c>
      <c r="T9" s="71">
        <v>75</v>
      </c>
      <c r="U9" s="828">
        <f>Q5-R9+Q4+Q6+Q7</f>
        <v>18179.920000000002</v>
      </c>
      <c r="V9" s="829">
        <f>R5-O9+R4+R6+R7</f>
        <v>668</v>
      </c>
      <c r="W9" s="422">
        <f>R9*T9</f>
        <v>48996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237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>
        <v>3</v>
      </c>
      <c r="P10" s="69">
        <f t="shared" si="2"/>
        <v>81.66</v>
      </c>
      <c r="Q10" s="239">
        <v>44986</v>
      </c>
      <c r="R10" s="69">
        <f t="shared" si="3"/>
        <v>81.66</v>
      </c>
      <c r="S10" s="70" t="s">
        <v>673</v>
      </c>
      <c r="T10" s="71">
        <v>75</v>
      </c>
      <c r="U10" s="423">
        <f>U9-R10</f>
        <v>18098.260000000002</v>
      </c>
      <c r="V10" s="424">
        <f>V9-O10</f>
        <v>665</v>
      </c>
      <c r="W10" s="425">
        <f t="shared" ref="W10:W73" si="5">R10*T10</f>
        <v>6124.5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238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>
        <v>2</v>
      </c>
      <c r="P11" s="69">
        <f t="shared" si="2"/>
        <v>54.44</v>
      </c>
      <c r="Q11" s="239">
        <v>44986</v>
      </c>
      <c r="R11" s="69">
        <f t="shared" si="3"/>
        <v>54.44</v>
      </c>
      <c r="S11" s="70" t="s">
        <v>674</v>
      </c>
      <c r="T11" s="71">
        <v>75</v>
      </c>
      <c r="U11" s="423">
        <f t="shared" ref="U11:U74" si="10">U10-R11</f>
        <v>18043.820000000003</v>
      </c>
      <c r="V11" s="424">
        <f t="shared" ref="V11" si="11">V10-O11</f>
        <v>663</v>
      </c>
      <c r="W11" s="425">
        <f t="shared" si="5"/>
        <v>4083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248</v>
      </c>
      <c r="H12" s="632">
        <v>81</v>
      </c>
      <c r="I12" s="952">
        <f t="shared" si="8"/>
        <v>15896.480000000001</v>
      </c>
      <c r="J12" s="953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>
        <v>1</v>
      </c>
      <c r="P12" s="290">
        <f t="shared" ref="P12:P74" si="12">O12*N12</f>
        <v>27.22</v>
      </c>
      <c r="Q12" s="238">
        <v>44987</v>
      </c>
      <c r="R12" s="69">
        <f t="shared" ref="R12:R74" si="13">P12</f>
        <v>27.22</v>
      </c>
      <c r="S12" s="70" t="s">
        <v>710</v>
      </c>
      <c r="T12" s="632">
        <v>75</v>
      </c>
      <c r="U12" s="952">
        <f t="shared" si="10"/>
        <v>18016.600000000002</v>
      </c>
      <c r="V12" s="953">
        <f>V11-O12</f>
        <v>662</v>
      </c>
      <c r="W12" s="425">
        <f t="shared" si="5"/>
        <v>2041.5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243</v>
      </c>
      <c r="H13" s="632">
        <v>81</v>
      </c>
      <c r="I13" s="952">
        <f t="shared" si="8"/>
        <v>15869.260000000002</v>
      </c>
      <c r="J13" s="953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>
        <v>24</v>
      </c>
      <c r="P13" s="290">
        <f t="shared" si="12"/>
        <v>653.28</v>
      </c>
      <c r="Q13" s="238">
        <v>44988</v>
      </c>
      <c r="R13" s="69">
        <f t="shared" si="13"/>
        <v>653.28</v>
      </c>
      <c r="S13" s="70" t="s">
        <v>712</v>
      </c>
      <c r="T13" s="632">
        <v>75</v>
      </c>
      <c r="U13" s="952">
        <f t="shared" si="10"/>
        <v>17363.320000000003</v>
      </c>
      <c r="V13" s="953">
        <f t="shared" ref="V13:V76" si="15">V12-O13</f>
        <v>638</v>
      </c>
      <c r="W13" s="425">
        <f t="shared" si="5"/>
        <v>48996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253</v>
      </c>
      <c r="H14" s="632">
        <v>81</v>
      </c>
      <c r="I14" s="952">
        <f t="shared" si="8"/>
        <v>15842.040000000003</v>
      </c>
      <c r="J14" s="953">
        <f t="shared" si="14"/>
        <v>582</v>
      </c>
      <c r="K14" s="425">
        <f t="shared" si="4"/>
        <v>2204.8199999999997</v>
      </c>
      <c r="M14" s="401"/>
      <c r="N14">
        <v>27.22</v>
      </c>
      <c r="O14" s="15">
        <v>24</v>
      </c>
      <c r="P14" s="290">
        <f t="shared" si="12"/>
        <v>653.28</v>
      </c>
      <c r="Q14" s="238">
        <v>44988</v>
      </c>
      <c r="R14" s="69">
        <f t="shared" si="13"/>
        <v>653.28</v>
      </c>
      <c r="S14" s="70" t="s">
        <v>714</v>
      </c>
      <c r="T14" s="632">
        <v>75</v>
      </c>
      <c r="U14" s="952">
        <f t="shared" si="10"/>
        <v>16710.040000000005</v>
      </c>
      <c r="V14" s="953">
        <f t="shared" si="15"/>
        <v>614</v>
      </c>
      <c r="W14" s="425">
        <f t="shared" si="5"/>
        <v>48996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255</v>
      </c>
      <c r="H15" s="632">
        <v>81</v>
      </c>
      <c r="I15" s="952">
        <f t="shared" si="8"/>
        <v>15814.820000000003</v>
      </c>
      <c r="J15" s="953">
        <f t="shared" si="14"/>
        <v>581</v>
      </c>
      <c r="K15" s="425">
        <f t="shared" si="4"/>
        <v>2204.8199999999997</v>
      </c>
      <c r="M15" s="401"/>
      <c r="N15">
        <v>27.22</v>
      </c>
      <c r="O15" s="15">
        <v>1</v>
      </c>
      <c r="P15" s="290">
        <f t="shared" si="12"/>
        <v>27.22</v>
      </c>
      <c r="Q15" s="238">
        <v>44989</v>
      </c>
      <c r="R15" s="69">
        <f t="shared" si="13"/>
        <v>27.22</v>
      </c>
      <c r="S15" s="70" t="s">
        <v>728</v>
      </c>
      <c r="T15" s="632">
        <v>75</v>
      </c>
      <c r="U15" s="952">
        <f t="shared" si="10"/>
        <v>16682.820000000003</v>
      </c>
      <c r="V15" s="953">
        <f t="shared" si="15"/>
        <v>613</v>
      </c>
      <c r="W15" s="425">
        <f t="shared" si="5"/>
        <v>2041.5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258</v>
      </c>
      <c r="H16" s="632">
        <v>81</v>
      </c>
      <c r="I16" s="952">
        <f t="shared" si="8"/>
        <v>15787.600000000004</v>
      </c>
      <c r="J16" s="953">
        <f t="shared" si="14"/>
        <v>580</v>
      </c>
      <c r="K16" s="425">
        <f t="shared" si="4"/>
        <v>2204.8199999999997</v>
      </c>
      <c r="M16" s="401"/>
      <c r="N16">
        <v>27.22</v>
      </c>
      <c r="O16" s="15">
        <v>5</v>
      </c>
      <c r="P16" s="290">
        <f t="shared" si="12"/>
        <v>136.1</v>
      </c>
      <c r="Q16" s="238">
        <v>44989</v>
      </c>
      <c r="R16" s="69">
        <f t="shared" si="13"/>
        <v>136.1</v>
      </c>
      <c r="S16" s="70" t="s">
        <v>468</v>
      </c>
      <c r="T16" s="632">
        <v>75</v>
      </c>
      <c r="U16" s="952">
        <f t="shared" si="10"/>
        <v>16546.720000000005</v>
      </c>
      <c r="V16" s="953">
        <f t="shared" si="15"/>
        <v>608</v>
      </c>
      <c r="W16" s="425">
        <f t="shared" si="5"/>
        <v>10207.5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259</v>
      </c>
      <c r="H17" s="632">
        <v>81</v>
      </c>
      <c r="I17" s="952">
        <f t="shared" si="8"/>
        <v>15134.320000000003</v>
      </c>
      <c r="J17" s="953">
        <f t="shared" si="14"/>
        <v>556</v>
      </c>
      <c r="K17" s="425">
        <f t="shared" si="4"/>
        <v>52915.68</v>
      </c>
      <c r="M17" s="401"/>
      <c r="N17">
        <v>27.22</v>
      </c>
      <c r="O17" s="15">
        <v>24</v>
      </c>
      <c r="P17" s="290">
        <f t="shared" si="12"/>
        <v>653.28</v>
      </c>
      <c r="Q17" s="238">
        <v>44989</v>
      </c>
      <c r="R17" s="69">
        <f t="shared" si="13"/>
        <v>653.28</v>
      </c>
      <c r="S17" s="70" t="s">
        <v>732</v>
      </c>
      <c r="T17" s="632">
        <v>75</v>
      </c>
      <c r="U17" s="952">
        <f t="shared" si="10"/>
        <v>15893.440000000004</v>
      </c>
      <c r="V17" s="953">
        <f t="shared" si="15"/>
        <v>584</v>
      </c>
      <c r="W17" s="425">
        <f t="shared" si="5"/>
        <v>48996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244</v>
      </c>
      <c r="H18" s="632">
        <v>81</v>
      </c>
      <c r="I18" s="952">
        <f t="shared" si="8"/>
        <v>14481.040000000003</v>
      </c>
      <c r="J18" s="953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2"/>
        <v>0</v>
      </c>
      <c r="Q18" s="238"/>
      <c r="R18" s="69">
        <f t="shared" si="13"/>
        <v>0</v>
      </c>
      <c r="S18" s="70"/>
      <c r="T18" s="632"/>
      <c r="U18" s="952">
        <f t="shared" si="10"/>
        <v>15893.440000000004</v>
      </c>
      <c r="V18" s="953">
        <f t="shared" si="15"/>
        <v>584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264</v>
      </c>
      <c r="H19" s="632">
        <v>81</v>
      </c>
      <c r="I19" s="952">
        <f t="shared" si="8"/>
        <v>14317.720000000003</v>
      </c>
      <c r="J19" s="953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2"/>
        <v>0</v>
      </c>
      <c r="Q19" s="238"/>
      <c r="R19" s="69">
        <f t="shared" si="13"/>
        <v>0</v>
      </c>
      <c r="S19" s="70"/>
      <c r="T19" s="632"/>
      <c r="U19" s="952">
        <f t="shared" si="10"/>
        <v>15893.440000000004</v>
      </c>
      <c r="V19" s="953">
        <f t="shared" si="15"/>
        <v>584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270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2"/>
        <v>0</v>
      </c>
      <c r="Q20" s="238"/>
      <c r="R20" s="69">
        <f t="shared" si="13"/>
        <v>0</v>
      </c>
      <c r="S20" s="70"/>
      <c r="T20" s="71"/>
      <c r="U20" s="423">
        <f t="shared" si="10"/>
        <v>15893.440000000004</v>
      </c>
      <c r="V20" s="424">
        <f t="shared" si="15"/>
        <v>584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266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2"/>
        <v>0</v>
      </c>
      <c r="Q21" s="238"/>
      <c r="R21" s="69">
        <f t="shared" si="13"/>
        <v>0</v>
      </c>
      <c r="S21" s="70"/>
      <c r="T21" s="71"/>
      <c r="U21" s="423">
        <f t="shared" si="10"/>
        <v>15893.440000000004</v>
      </c>
      <c r="V21" s="424">
        <f t="shared" si="15"/>
        <v>584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272</v>
      </c>
      <c r="H22" s="71">
        <v>81</v>
      </c>
      <c r="I22" s="928">
        <f t="shared" si="8"/>
        <v>12412.320000000003</v>
      </c>
      <c r="J22" s="929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2"/>
        <v>0</v>
      </c>
      <c r="Q22" s="238"/>
      <c r="R22" s="69">
        <f t="shared" si="13"/>
        <v>0</v>
      </c>
      <c r="S22" s="70"/>
      <c r="T22" s="71"/>
      <c r="U22" s="423">
        <f t="shared" si="10"/>
        <v>15893.440000000004</v>
      </c>
      <c r="V22" s="424">
        <f t="shared" si="15"/>
        <v>584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31">
        <f t="shared" si="6"/>
        <v>163.32</v>
      </c>
      <c r="E23" s="1127">
        <v>44958</v>
      </c>
      <c r="F23" s="1110">
        <f t="shared" si="7"/>
        <v>163.32</v>
      </c>
      <c r="G23" s="580" t="s">
        <v>492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2"/>
        <v>0</v>
      </c>
      <c r="Q23" s="238"/>
      <c r="R23" s="69">
        <f t="shared" si="13"/>
        <v>0</v>
      </c>
      <c r="S23" s="70"/>
      <c r="T23" s="71"/>
      <c r="U23" s="423">
        <f t="shared" si="10"/>
        <v>15893.440000000004</v>
      </c>
      <c r="V23" s="424">
        <f t="shared" si="15"/>
        <v>584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31">
        <f t="shared" si="6"/>
        <v>81.66</v>
      </c>
      <c r="E24" s="1127">
        <v>44958</v>
      </c>
      <c r="F24" s="1110">
        <f t="shared" si="7"/>
        <v>81.66</v>
      </c>
      <c r="G24" s="580" t="s">
        <v>495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2"/>
        <v>0</v>
      </c>
      <c r="Q24" s="238"/>
      <c r="R24" s="69">
        <f t="shared" si="13"/>
        <v>0</v>
      </c>
      <c r="S24" s="70"/>
      <c r="T24" s="71"/>
      <c r="U24" s="423">
        <f t="shared" si="10"/>
        <v>15893.440000000004</v>
      </c>
      <c r="V24" s="424">
        <f t="shared" si="15"/>
        <v>584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31">
        <f t="shared" si="6"/>
        <v>653.28</v>
      </c>
      <c r="E25" s="1127">
        <v>44958</v>
      </c>
      <c r="F25" s="1110">
        <f t="shared" si="7"/>
        <v>653.28</v>
      </c>
      <c r="G25" s="580" t="s">
        <v>498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2"/>
        <v>0</v>
      </c>
      <c r="Q25" s="238"/>
      <c r="R25" s="69">
        <f t="shared" si="13"/>
        <v>0</v>
      </c>
      <c r="S25" s="70"/>
      <c r="T25" s="71"/>
      <c r="U25" s="423">
        <f t="shared" si="10"/>
        <v>15893.440000000004</v>
      </c>
      <c r="V25" s="424">
        <f t="shared" si="15"/>
        <v>584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31">
        <f t="shared" si="6"/>
        <v>653.28</v>
      </c>
      <c r="E26" s="1127">
        <v>44960</v>
      </c>
      <c r="F26" s="1110">
        <f t="shared" si="7"/>
        <v>653.28</v>
      </c>
      <c r="G26" s="580" t="s">
        <v>511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2"/>
        <v>0</v>
      </c>
      <c r="Q26" s="238"/>
      <c r="R26" s="69">
        <f t="shared" si="13"/>
        <v>0</v>
      </c>
      <c r="S26" s="70"/>
      <c r="T26" s="71"/>
      <c r="U26" s="423">
        <f t="shared" si="10"/>
        <v>15893.440000000004</v>
      </c>
      <c r="V26" s="424">
        <f t="shared" si="15"/>
        <v>584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31">
        <f t="shared" si="6"/>
        <v>544.4</v>
      </c>
      <c r="E27" s="1127">
        <v>44960</v>
      </c>
      <c r="F27" s="1110">
        <f t="shared" si="7"/>
        <v>544.4</v>
      </c>
      <c r="G27" s="580" t="s">
        <v>512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2"/>
        <v>0</v>
      </c>
      <c r="Q27" s="238"/>
      <c r="R27" s="69">
        <f t="shared" si="13"/>
        <v>0</v>
      </c>
      <c r="S27" s="70"/>
      <c r="T27" s="71"/>
      <c r="U27" s="423">
        <f t="shared" si="10"/>
        <v>15893.440000000004</v>
      </c>
      <c r="V27" s="424">
        <f t="shared" si="15"/>
        <v>584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31">
        <f t="shared" si="6"/>
        <v>1088.8</v>
      </c>
      <c r="E28" s="1127">
        <v>44961</v>
      </c>
      <c r="F28" s="1110">
        <f t="shared" si="7"/>
        <v>1088.8</v>
      </c>
      <c r="G28" s="580" t="s">
        <v>522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2"/>
        <v>0</v>
      </c>
      <c r="Q28" s="238"/>
      <c r="R28" s="69">
        <f t="shared" si="13"/>
        <v>0</v>
      </c>
      <c r="S28" s="70"/>
      <c r="T28" s="71"/>
      <c r="U28" s="423">
        <f t="shared" si="10"/>
        <v>15893.440000000004</v>
      </c>
      <c r="V28" s="424">
        <f t="shared" si="15"/>
        <v>584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31">
        <f t="shared" si="6"/>
        <v>27.22</v>
      </c>
      <c r="E29" s="1127">
        <v>44964</v>
      </c>
      <c r="F29" s="1110">
        <f t="shared" si="7"/>
        <v>27.22</v>
      </c>
      <c r="G29" s="580" t="s">
        <v>532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2"/>
        <v>0</v>
      </c>
      <c r="Q29" s="238"/>
      <c r="R29" s="69">
        <f t="shared" si="13"/>
        <v>0</v>
      </c>
      <c r="S29" s="70"/>
      <c r="T29" s="71"/>
      <c r="U29" s="423">
        <f t="shared" si="10"/>
        <v>15893.440000000004</v>
      </c>
      <c r="V29" s="424">
        <f t="shared" si="15"/>
        <v>584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31">
        <f t="shared" si="6"/>
        <v>653.28</v>
      </c>
      <c r="E30" s="1127">
        <v>44965</v>
      </c>
      <c r="F30" s="1110">
        <f t="shared" si="7"/>
        <v>653.28</v>
      </c>
      <c r="G30" s="580" t="s">
        <v>544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2"/>
        <v>0</v>
      </c>
      <c r="Q30" s="238"/>
      <c r="R30" s="69">
        <f t="shared" si="13"/>
        <v>0</v>
      </c>
      <c r="S30" s="70"/>
      <c r="T30" s="71"/>
      <c r="U30" s="423">
        <f t="shared" si="10"/>
        <v>15893.440000000004</v>
      </c>
      <c r="V30" s="424">
        <f t="shared" si="15"/>
        <v>584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31">
        <f t="shared" si="6"/>
        <v>653.28</v>
      </c>
      <c r="E31" s="1127">
        <v>44965</v>
      </c>
      <c r="F31" s="1110">
        <f t="shared" si="7"/>
        <v>653.28</v>
      </c>
      <c r="G31" s="580" t="s">
        <v>547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2"/>
        <v>0</v>
      </c>
      <c r="Q31" s="238"/>
      <c r="R31" s="69">
        <f t="shared" si="13"/>
        <v>0</v>
      </c>
      <c r="S31" s="70"/>
      <c r="T31" s="71"/>
      <c r="U31" s="423">
        <f t="shared" si="10"/>
        <v>15893.440000000004</v>
      </c>
      <c r="V31" s="424">
        <f t="shared" si="15"/>
        <v>584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31">
        <f t="shared" si="6"/>
        <v>27.22</v>
      </c>
      <c r="E32" s="1127">
        <v>44966</v>
      </c>
      <c r="F32" s="1110">
        <f t="shared" si="7"/>
        <v>27.22</v>
      </c>
      <c r="G32" s="580" t="s">
        <v>548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2"/>
        <v>0</v>
      </c>
      <c r="Q32" s="238"/>
      <c r="R32" s="69">
        <f t="shared" si="13"/>
        <v>0</v>
      </c>
      <c r="S32" s="70"/>
      <c r="T32" s="71"/>
      <c r="U32" s="423">
        <f t="shared" si="10"/>
        <v>15893.440000000004</v>
      </c>
      <c r="V32" s="424">
        <f t="shared" si="15"/>
        <v>584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31">
        <f t="shared" si="6"/>
        <v>326.64</v>
      </c>
      <c r="E33" s="1127">
        <v>44967</v>
      </c>
      <c r="F33" s="1110">
        <f t="shared" si="7"/>
        <v>326.64</v>
      </c>
      <c r="G33" s="580" t="s">
        <v>552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2"/>
        <v>0</v>
      </c>
      <c r="Q33" s="238"/>
      <c r="R33" s="69">
        <f t="shared" si="13"/>
        <v>0</v>
      </c>
      <c r="S33" s="70"/>
      <c r="T33" s="71"/>
      <c r="U33" s="423">
        <f t="shared" si="10"/>
        <v>15893.440000000004</v>
      </c>
      <c r="V33" s="424">
        <f t="shared" si="15"/>
        <v>584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31">
        <f t="shared" si="6"/>
        <v>27.22</v>
      </c>
      <c r="E34" s="1127">
        <v>44967</v>
      </c>
      <c r="F34" s="1110">
        <f t="shared" si="7"/>
        <v>27.22</v>
      </c>
      <c r="G34" s="580" t="s">
        <v>552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2"/>
        <v>0</v>
      </c>
      <c r="Q34" s="238"/>
      <c r="R34" s="69">
        <f t="shared" si="13"/>
        <v>0</v>
      </c>
      <c r="S34" s="70"/>
      <c r="T34" s="71"/>
      <c r="U34" s="423">
        <f t="shared" si="10"/>
        <v>15893.440000000004</v>
      </c>
      <c r="V34" s="424">
        <f t="shared" si="15"/>
        <v>584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31">
        <f t="shared" si="6"/>
        <v>544.4</v>
      </c>
      <c r="E35" s="1127">
        <v>44967</v>
      </c>
      <c r="F35" s="1110">
        <f t="shared" si="7"/>
        <v>544.4</v>
      </c>
      <c r="G35" s="580" t="s">
        <v>553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2"/>
        <v>0</v>
      </c>
      <c r="Q35" s="238"/>
      <c r="R35" s="69">
        <f t="shared" si="13"/>
        <v>0</v>
      </c>
      <c r="S35" s="70"/>
      <c r="T35" s="71"/>
      <c r="U35" s="423">
        <f t="shared" si="10"/>
        <v>15893.440000000004</v>
      </c>
      <c r="V35" s="424">
        <f t="shared" si="15"/>
        <v>584</v>
      </c>
      <c r="W35" s="425">
        <f t="shared" si="5"/>
        <v>0</v>
      </c>
    </row>
    <row r="36" spans="2:23" x14ac:dyDescent="0.25">
      <c r="B36">
        <v>27.22</v>
      </c>
      <c r="C36" s="15">
        <v>24</v>
      </c>
      <c r="D36" s="1131">
        <f t="shared" si="6"/>
        <v>653.28</v>
      </c>
      <c r="E36" s="1127">
        <v>44967</v>
      </c>
      <c r="F36" s="1110">
        <f t="shared" si="7"/>
        <v>653.28</v>
      </c>
      <c r="G36" s="580" t="s">
        <v>450</v>
      </c>
      <c r="H36" s="372">
        <v>81</v>
      </c>
      <c r="I36" s="423">
        <f t="shared" si="8"/>
        <v>6315.0400000000036</v>
      </c>
      <c r="J36" s="424">
        <f t="shared" si="14"/>
        <v>232</v>
      </c>
      <c r="K36" s="425">
        <f t="shared" si="4"/>
        <v>52915.68</v>
      </c>
      <c r="N36">
        <v>27.22</v>
      </c>
      <c r="O36" s="15"/>
      <c r="P36" s="290">
        <f t="shared" si="12"/>
        <v>0</v>
      </c>
      <c r="Q36" s="238"/>
      <c r="R36" s="69">
        <f t="shared" si="13"/>
        <v>0</v>
      </c>
      <c r="S36" s="70"/>
      <c r="T36" s="71"/>
      <c r="U36" s="423">
        <f t="shared" si="10"/>
        <v>15893.440000000004</v>
      </c>
      <c r="V36" s="424">
        <f t="shared" si="15"/>
        <v>584</v>
      </c>
      <c r="W36" s="425">
        <f t="shared" si="5"/>
        <v>0</v>
      </c>
    </row>
    <row r="37" spans="2:23" x14ac:dyDescent="0.25">
      <c r="B37">
        <v>27.22</v>
      </c>
      <c r="C37" s="15">
        <v>3</v>
      </c>
      <c r="D37" s="1110">
        <f t="shared" si="6"/>
        <v>81.66</v>
      </c>
      <c r="E37" s="1124">
        <v>44968</v>
      </c>
      <c r="F37" s="1110">
        <f t="shared" si="7"/>
        <v>81.66</v>
      </c>
      <c r="G37" s="580" t="s">
        <v>558</v>
      </c>
      <c r="H37" s="372">
        <v>81</v>
      </c>
      <c r="I37" s="423">
        <f t="shared" si="8"/>
        <v>6233.3800000000037</v>
      </c>
      <c r="J37" s="424">
        <f t="shared" si="14"/>
        <v>229</v>
      </c>
      <c r="K37" s="425">
        <f t="shared" si="4"/>
        <v>6614.46</v>
      </c>
      <c r="N37">
        <v>27.22</v>
      </c>
      <c r="O37" s="15"/>
      <c r="P37" s="69">
        <f t="shared" si="12"/>
        <v>0</v>
      </c>
      <c r="Q37" s="239"/>
      <c r="R37" s="69">
        <f t="shared" si="13"/>
        <v>0</v>
      </c>
      <c r="S37" s="70"/>
      <c r="T37" s="71"/>
      <c r="U37" s="423">
        <f t="shared" si="10"/>
        <v>15893.440000000004</v>
      </c>
      <c r="V37" s="424">
        <f t="shared" si="15"/>
        <v>584</v>
      </c>
      <c r="W37" s="425">
        <f t="shared" si="5"/>
        <v>0</v>
      </c>
    </row>
    <row r="38" spans="2:23" x14ac:dyDescent="0.25">
      <c r="B38">
        <v>27.22</v>
      </c>
      <c r="C38" s="15">
        <v>24</v>
      </c>
      <c r="D38" s="1110">
        <f t="shared" si="6"/>
        <v>653.28</v>
      </c>
      <c r="E38" s="1124">
        <v>44968</v>
      </c>
      <c r="F38" s="1110">
        <f t="shared" si="7"/>
        <v>653.28</v>
      </c>
      <c r="G38" s="580" t="s">
        <v>561</v>
      </c>
      <c r="H38" s="372">
        <v>81</v>
      </c>
      <c r="I38" s="423">
        <f t="shared" si="8"/>
        <v>5580.100000000004</v>
      </c>
      <c r="J38" s="424">
        <f t="shared" si="14"/>
        <v>205</v>
      </c>
      <c r="K38" s="425">
        <f t="shared" si="4"/>
        <v>52915.68</v>
      </c>
      <c r="N38">
        <v>27.22</v>
      </c>
      <c r="O38" s="15"/>
      <c r="P38" s="69">
        <f t="shared" si="12"/>
        <v>0</v>
      </c>
      <c r="Q38" s="239"/>
      <c r="R38" s="69">
        <f t="shared" si="13"/>
        <v>0</v>
      </c>
      <c r="S38" s="70"/>
      <c r="T38" s="71"/>
      <c r="U38" s="423">
        <f t="shared" si="10"/>
        <v>15893.440000000004</v>
      </c>
      <c r="V38" s="424">
        <f t="shared" si="15"/>
        <v>584</v>
      </c>
      <c r="W38" s="425">
        <f t="shared" si="5"/>
        <v>0</v>
      </c>
    </row>
    <row r="39" spans="2:23" x14ac:dyDescent="0.25">
      <c r="B39">
        <v>27.22</v>
      </c>
      <c r="C39" s="15">
        <v>5</v>
      </c>
      <c r="D39" s="1110">
        <f t="shared" si="6"/>
        <v>136.1</v>
      </c>
      <c r="E39" s="1124">
        <v>44968</v>
      </c>
      <c r="F39" s="1110">
        <f t="shared" si="7"/>
        <v>136.1</v>
      </c>
      <c r="G39" s="580" t="s">
        <v>452</v>
      </c>
      <c r="H39" s="372">
        <v>81</v>
      </c>
      <c r="I39" s="423">
        <f t="shared" si="8"/>
        <v>5444.0000000000036</v>
      </c>
      <c r="J39" s="424">
        <f t="shared" si="14"/>
        <v>200</v>
      </c>
      <c r="K39" s="425">
        <f t="shared" si="4"/>
        <v>11024.1</v>
      </c>
      <c r="N39">
        <v>27.22</v>
      </c>
      <c r="O39" s="15"/>
      <c r="P39" s="69">
        <f t="shared" si="12"/>
        <v>0</v>
      </c>
      <c r="Q39" s="239"/>
      <c r="R39" s="69">
        <f t="shared" si="13"/>
        <v>0</v>
      </c>
      <c r="S39" s="70"/>
      <c r="T39" s="71"/>
      <c r="U39" s="423">
        <f t="shared" si="10"/>
        <v>15893.440000000004</v>
      </c>
      <c r="V39" s="424">
        <f t="shared" si="15"/>
        <v>584</v>
      </c>
      <c r="W39" s="425">
        <f t="shared" si="5"/>
        <v>0</v>
      </c>
    </row>
    <row r="40" spans="2:23" x14ac:dyDescent="0.25">
      <c r="B40">
        <v>27.22</v>
      </c>
      <c r="C40" s="15">
        <v>1</v>
      </c>
      <c r="D40" s="1110">
        <f t="shared" si="6"/>
        <v>27.22</v>
      </c>
      <c r="E40" s="1124">
        <v>44970</v>
      </c>
      <c r="F40" s="1110">
        <f t="shared" si="7"/>
        <v>27.22</v>
      </c>
      <c r="G40" s="580" t="s">
        <v>565</v>
      </c>
      <c r="H40" s="372">
        <v>81</v>
      </c>
      <c r="I40" s="423">
        <f t="shared" si="8"/>
        <v>5416.7800000000034</v>
      </c>
      <c r="J40" s="424">
        <f t="shared" si="14"/>
        <v>199</v>
      </c>
      <c r="K40" s="425">
        <f t="shared" si="4"/>
        <v>2204.8199999999997</v>
      </c>
      <c r="N40">
        <v>27.22</v>
      </c>
      <c r="O40" s="15"/>
      <c r="P40" s="69">
        <f t="shared" si="12"/>
        <v>0</v>
      </c>
      <c r="Q40" s="239"/>
      <c r="R40" s="69">
        <f t="shared" si="13"/>
        <v>0</v>
      </c>
      <c r="S40" s="70"/>
      <c r="T40" s="71"/>
      <c r="U40" s="423">
        <f t="shared" si="10"/>
        <v>15893.440000000004</v>
      </c>
      <c r="V40" s="424">
        <f t="shared" si="15"/>
        <v>584</v>
      </c>
      <c r="W40" s="425">
        <f t="shared" si="5"/>
        <v>0</v>
      </c>
    </row>
    <row r="41" spans="2:23" x14ac:dyDescent="0.25">
      <c r="B41">
        <v>27.22</v>
      </c>
      <c r="C41" s="15">
        <v>3</v>
      </c>
      <c r="D41" s="1110">
        <f t="shared" si="6"/>
        <v>81.66</v>
      </c>
      <c r="E41" s="1124">
        <v>44971</v>
      </c>
      <c r="F41" s="1110">
        <f t="shared" si="7"/>
        <v>81.66</v>
      </c>
      <c r="G41" s="580" t="s">
        <v>566</v>
      </c>
      <c r="H41" s="372">
        <v>77</v>
      </c>
      <c r="I41" s="423">
        <f t="shared" si="8"/>
        <v>5335.1200000000035</v>
      </c>
      <c r="J41" s="424">
        <f t="shared" si="14"/>
        <v>196</v>
      </c>
      <c r="K41" s="425">
        <f t="shared" si="4"/>
        <v>6287.82</v>
      </c>
      <c r="N41">
        <v>27.22</v>
      </c>
      <c r="O41" s="15"/>
      <c r="P41" s="69">
        <f t="shared" si="12"/>
        <v>0</v>
      </c>
      <c r="Q41" s="239"/>
      <c r="R41" s="69">
        <f t="shared" si="13"/>
        <v>0</v>
      </c>
      <c r="S41" s="70"/>
      <c r="T41" s="71"/>
      <c r="U41" s="423">
        <f t="shared" si="10"/>
        <v>15893.440000000004</v>
      </c>
      <c r="V41" s="424">
        <f t="shared" si="15"/>
        <v>584</v>
      </c>
      <c r="W41" s="425">
        <f t="shared" si="5"/>
        <v>0</v>
      </c>
    </row>
    <row r="42" spans="2:23" x14ac:dyDescent="0.25">
      <c r="B42">
        <v>27.22</v>
      </c>
      <c r="C42" s="15">
        <v>1</v>
      </c>
      <c r="D42" s="1110">
        <f t="shared" si="6"/>
        <v>27.22</v>
      </c>
      <c r="E42" s="1124">
        <v>44971</v>
      </c>
      <c r="F42" s="1110">
        <f t="shared" si="7"/>
        <v>27.22</v>
      </c>
      <c r="G42" s="580" t="s">
        <v>570</v>
      </c>
      <c r="H42" s="372">
        <v>77</v>
      </c>
      <c r="I42" s="423">
        <f t="shared" si="8"/>
        <v>5307.9000000000033</v>
      </c>
      <c r="J42" s="424">
        <f t="shared" si="14"/>
        <v>195</v>
      </c>
      <c r="K42" s="425">
        <f t="shared" si="4"/>
        <v>2095.94</v>
      </c>
      <c r="N42">
        <v>27.22</v>
      </c>
      <c r="O42" s="15"/>
      <c r="P42" s="69">
        <f t="shared" si="12"/>
        <v>0</v>
      </c>
      <c r="Q42" s="239"/>
      <c r="R42" s="69">
        <f t="shared" si="13"/>
        <v>0</v>
      </c>
      <c r="S42" s="70"/>
      <c r="T42" s="71"/>
      <c r="U42" s="423">
        <f t="shared" si="10"/>
        <v>15893.440000000004</v>
      </c>
      <c r="V42" s="424">
        <f t="shared" si="15"/>
        <v>584</v>
      </c>
      <c r="W42" s="425">
        <f t="shared" si="5"/>
        <v>0</v>
      </c>
    </row>
    <row r="43" spans="2:23" x14ac:dyDescent="0.25">
      <c r="B43">
        <v>27.22</v>
      </c>
      <c r="C43" s="15">
        <v>3</v>
      </c>
      <c r="D43" s="1110">
        <f t="shared" si="6"/>
        <v>81.66</v>
      </c>
      <c r="E43" s="1124">
        <v>44971</v>
      </c>
      <c r="F43" s="1110">
        <f t="shared" si="7"/>
        <v>81.66</v>
      </c>
      <c r="G43" s="580" t="s">
        <v>571</v>
      </c>
      <c r="H43" s="372">
        <v>77</v>
      </c>
      <c r="I43" s="423">
        <f t="shared" si="8"/>
        <v>5226.2400000000034</v>
      </c>
      <c r="J43" s="424">
        <f t="shared" si="14"/>
        <v>192</v>
      </c>
      <c r="K43" s="425">
        <f t="shared" si="4"/>
        <v>6287.82</v>
      </c>
      <c r="N43">
        <v>27.22</v>
      </c>
      <c r="O43" s="15"/>
      <c r="P43" s="69">
        <f t="shared" si="12"/>
        <v>0</v>
      </c>
      <c r="Q43" s="239"/>
      <c r="R43" s="69">
        <f t="shared" si="13"/>
        <v>0</v>
      </c>
      <c r="S43" s="70"/>
      <c r="T43" s="71"/>
      <c r="U43" s="423">
        <f t="shared" si="10"/>
        <v>15893.440000000004</v>
      </c>
      <c r="V43" s="424">
        <f t="shared" si="15"/>
        <v>584</v>
      </c>
      <c r="W43" s="425">
        <f t="shared" si="5"/>
        <v>0</v>
      </c>
    </row>
    <row r="44" spans="2:23" x14ac:dyDescent="0.25">
      <c r="B44">
        <v>27.22</v>
      </c>
      <c r="C44" s="15">
        <v>2</v>
      </c>
      <c r="D44" s="1110">
        <f t="shared" si="6"/>
        <v>54.44</v>
      </c>
      <c r="E44" s="1124">
        <v>44972</v>
      </c>
      <c r="F44" s="1110">
        <f t="shared" si="7"/>
        <v>54.44</v>
      </c>
      <c r="G44" s="580" t="s">
        <v>574</v>
      </c>
      <c r="H44" s="372">
        <v>77</v>
      </c>
      <c r="I44" s="423">
        <f t="shared" si="8"/>
        <v>5171.8000000000038</v>
      </c>
      <c r="J44" s="424">
        <f t="shared" si="14"/>
        <v>190</v>
      </c>
      <c r="K44" s="425">
        <f t="shared" si="4"/>
        <v>4191.88</v>
      </c>
      <c r="N44">
        <v>27.22</v>
      </c>
      <c r="O44" s="15"/>
      <c r="P44" s="69">
        <f t="shared" si="12"/>
        <v>0</v>
      </c>
      <c r="Q44" s="239"/>
      <c r="R44" s="69">
        <f t="shared" si="13"/>
        <v>0</v>
      </c>
      <c r="S44" s="70"/>
      <c r="T44" s="71"/>
      <c r="U44" s="423">
        <f t="shared" si="10"/>
        <v>15893.440000000004</v>
      </c>
      <c r="V44" s="424">
        <f t="shared" si="15"/>
        <v>584</v>
      </c>
      <c r="W44" s="425">
        <f t="shared" si="5"/>
        <v>0</v>
      </c>
    </row>
    <row r="45" spans="2:23" x14ac:dyDescent="0.25">
      <c r="B45">
        <v>27.22</v>
      </c>
      <c r="C45" s="15">
        <v>24</v>
      </c>
      <c r="D45" s="1110">
        <f t="shared" si="6"/>
        <v>653.28</v>
      </c>
      <c r="E45" s="1124">
        <v>44972</v>
      </c>
      <c r="F45" s="1110">
        <f t="shared" si="7"/>
        <v>653.28</v>
      </c>
      <c r="G45" s="580" t="s">
        <v>580</v>
      </c>
      <c r="H45" s="372">
        <v>77</v>
      </c>
      <c r="I45" s="423">
        <f t="shared" si="8"/>
        <v>4518.5200000000041</v>
      </c>
      <c r="J45" s="424">
        <f t="shared" si="14"/>
        <v>166</v>
      </c>
      <c r="K45" s="425">
        <f t="shared" si="4"/>
        <v>50302.559999999998</v>
      </c>
      <c r="N45">
        <v>27.22</v>
      </c>
      <c r="O45" s="15"/>
      <c r="P45" s="69">
        <f t="shared" si="12"/>
        <v>0</v>
      </c>
      <c r="Q45" s="239"/>
      <c r="R45" s="69">
        <f t="shared" si="13"/>
        <v>0</v>
      </c>
      <c r="S45" s="70"/>
      <c r="T45" s="71"/>
      <c r="U45" s="423">
        <f t="shared" si="10"/>
        <v>15893.440000000004</v>
      </c>
      <c r="V45" s="424">
        <f t="shared" si="15"/>
        <v>584</v>
      </c>
      <c r="W45" s="425">
        <f t="shared" si="5"/>
        <v>0</v>
      </c>
    </row>
    <row r="46" spans="2:23" x14ac:dyDescent="0.25">
      <c r="B46">
        <v>27.22</v>
      </c>
      <c r="C46" s="15">
        <v>24</v>
      </c>
      <c r="D46" s="1110">
        <f t="shared" si="6"/>
        <v>653.28</v>
      </c>
      <c r="E46" s="1124">
        <v>44973</v>
      </c>
      <c r="F46" s="1110">
        <f t="shared" si="7"/>
        <v>653.28</v>
      </c>
      <c r="G46" s="580" t="s">
        <v>456</v>
      </c>
      <c r="H46" s="372">
        <v>77</v>
      </c>
      <c r="I46" s="423">
        <f t="shared" si="8"/>
        <v>3865.2400000000043</v>
      </c>
      <c r="J46" s="424">
        <f t="shared" si="14"/>
        <v>142</v>
      </c>
      <c r="K46" s="425">
        <f t="shared" si="4"/>
        <v>50302.559999999998</v>
      </c>
      <c r="N46">
        <v>27.22</v>
      </c>
      <c r="O46" s="15"/>
      <c r="P46" s="69">
        <f t="shared" si="12"/>
        <v>0</v>
      </c>
      <c r="Q46" s="239"/>
      <c r="R46" s="69">
        <f t="shared" si="13"/>
        <v>0</v>
      </c>
      <c r="S46" s="70"/>
      <c r="T46" s="71"/>
      <c r="U46" s="423">
        <f t="shared" si="10"/>
        <v>15893.440000000004</v>
      </c>
      <c r="V46" s="424">
        <f t="shared" si="15"/>
        <v>584</v>
      </c>
      <c r="W46" s="425">
        <f t="shared" si="5"/>
        <v>0</v>
      </c>
    </row>
    <row r="47" spans="2:23" x14ac:dyDescent="0.25">
      <c r="B47">
        <v>27.22</v>
      </c>
      <c r="C47" s="15">
        <v>5</v>
      </c>
      <c r="D47" s="1110">
        <f t="shared" si="6"/>
        <v>136.1</v>
      </c>
      <c r="E47" s="1124">
        <v>44974</v>
      </c>
      <c r="F47" s="1110">
        <f t="shared" si="7"/>
        <v>136.1</v>
      </c>
      <c r="G47" s="580" t="s">
        <v>457</v>
      </c>
      <c r="H47" s="372">
        <v>77</v>
      </c>
      <c r="I47" s="423">
        <f t="shared" si="8"/>
        <v>3729.1400000000044</v>
      </c>
      <c r="J47" s="424">
        <f t="shared" si="14"/>
        <v>137</v>
      </c>
      <c r="K47" s="425">
        <f t="shared" si="4"/>
        <v>10479.699999999999</v>
      </c>
      <c r="N47">
        <v>27.22</v>
      </c>
      <c r="O47" s="15"/>
      <c r="P47" s="69">
        <f t="shared" si="12"/>
        <v>0</v>
      </c>
      <c r="Q47" s="239"/>
      <c r="R47" s="69">
        <f t="shared" si="13"/>
        <v>0</v>
      </c>
      <c r="S47" s="70"/>
      <c r="T47" s="71"/>
      <c r="U47" s="423">
        <f t="shared" si="10"/>
        <v>15893.440000000004</v>
      </c>
      <c r="V47" s="424">
        <f t="shared" si="15"/>
        <v>584</v>
      </c>
      <c r="W47" s="425">
        <f t="shared" si="5"/>
        <v>0</v>
      </c>
    </row>
    <row r="48" spans="2:23" x14ac:dyDescent="0.25">
      <c r="B48">
        <v>27.22</v>
      </c>
      <c r="C48" s="15">
        <v>3</v>
      </c>
      <c r="D48" s="1110">
        <f t="shared" si="6"/>
        <v>81.66</v>
      </c>
      <c r="E48" s="1124">
        <v>44977</v>
      </c>
      <c r="F48" s="1110">
        <f t="shared" si="7"/>
        <v>81.66</v>
      </c>
      <c r="G48" s="580" t="s">
        <v>613</v>
      </c>
      <c r="H48" s="372">
        <v>77</v>
      </c>
      <c r="I48" s="423">
        <f t="shared" si="8"/>
        <v>3647.4800000000046</v>
      </c>
      <c r="J48" s="424">
        <f t="shared" si="14"/>
        <v>134</v>
      </c>
      <c r="K48" s="425">
        <f t="shared" si="4"/>
        <v>6287.82</v>
      </c>
      <c r="N48">
        <v>27.22</v>
      </c>
      <c r="O48" s="15"/>
      <c r="P48" s="69">
        <f t="shared" si="12"/>
        <v>0</v>
      </c>
      <c r="Q48" s="239"/>
      <c r="R48" s="69">
        <f t="shared" si="13"/>
        <v>0</v>
      </c>
      <c r="S48" s="70"/>
      <c r="T48" s="71"/>
      <c r="U48" s="423">
        <f t="shared" si="10"/>
        <v>15893.440000000004</v>
      </c>
      <c r="V48" s="424">
        <f t="shared" si="15"/>
        <v>584</v>
      </c>
      <c r="W48" s="425">
        <f t="shared" si="5"/>
        <v>0</v>
      </c>
    </row>
    <row r="49" spans="1:23" x14ac:dyDescent="0.25">
      <c r="B49">
        <v>27.22</v>
      </c>
      <c r="C49" s="15">
        <v>1</v>
      </c>
      <c r="D49" s="1110">
        <f t="shared" si="6"/>
        <v>27.22</v>
      </c>
      <c r="E49" s="1124">
        <v>44979</v>
      </c>
      <c r="F49" s="1110">
        <f t="shared" si="7"/>
        <v>27.22</v>
      </c>
      <c r="G49" s="580" t="s">
        <v>624</v>
      </c>
      <c r="H49" s="372">
        <v>77</v>
      </c>
      <c r="I49" s="423">
        <f t="shared" si="8"/>
        <v>3620.2600000000048</v>
      </c>
      <c r="J49" s="424">
        <f t="shared" si="14"/>
        <v>133</v>
      </c>
      <c r="K49" s="425">
        <f t="shared" si="4"/>
        <v>2095.94</v>
      </c>
      <c r="N49">
        <v>27.22</v>
      </c>
      <c r="O49" s="15"/>
      <c r="P49" s="69">
        <f t="shared" si="12"/>
        <v>0</v>
      </c>
      <c r="Q49" s="239"/>
      <c r="R49" s="69">
        <f t="shared" si="13"/>
        <v>0</v>
      </c>
      <c r="S49" s="70"/>
      <c r="T49" s="71"/>
      <c r="U49" s="423">
        <f t="shared" si="10"/>
        <v>15893.440000000004</v>
      </c>
      <c r="V49" s="424">
        <f t="shared" si="15"/>
        <v>584</v>
      </c>
      <c r="W49" s="425">
        <f t="shared" si="5"/>
        <v>0</v>
      </c>
    </row>
    <row r="50" spans="1:23" x14ac:dyDescent="0.25">
      <c r="B50">
        <v>27.22</v>
      </c>
      <c r="C50" s="15">
        <v>4</v>
      </c>
      <c r="D50" s="1110">
        <f t="shared" si="6"/>
        <v>108.88</v>
      </c>
      <c r="E50" s="1124">
        <v>44980</v>
      </c>
      <c r="F50" s="1110">
        <f t="shared" si="7"/>
        <v>108.88</v>
      </c>
      <c r="G50" s="580" t="s">
        <v>634</v>
      </c>
      <c r="H50" s="372">
        <v>77</v>
      </c>
      <c r="I50" s="423">
        <f t="shared" si="8"/>
        <v>3511.3800000000047</v>
      </c>
      <c r="J50" s="424">
        <f t="shared" si="14"/>
        <v>129</v>
      </c>
      <c r="K50" s="425">
        <f t="shared" si="4"/>
        <v>8383.76</v>
      </c>
      <c r="N50">
        <v>27.22</v>
      </c>
      <c r="O50" s="15"/>
      <c r="P50" s="69">
        <f t="shared" si="12"/>
        <v>0</v>
      </c>
      <c r="Q50" s="239"/>
      <c r="R50" s="69">
        <f t="shared" si="13"/>
        <v>0</v>
      </c>
      <c r="S50" s="70"/>
      <c r="T50" s="71"/>
      <c r="U50" s="423">
        <f t="shared" si="10"/>
        <v>15893.440000000004</v>
      </c>
      <c r="V50" s="424">
        <f t="shared" si="15"/>
        <v>584</v>
      </c>
      <c r="W50" s="425">
        <f t="shared" si="5"/>
        <v>0</v>
      </c>
    </row>
    <row r="51" spans="1:23" x14ac:dyDescent="0.25">
      <c r="B51">
        <v>27.22</v>
      </c>
      <c r="C51" s="15">
        <v>1</v>
      </c>
      <c r="D51" s="1110">
        <f t="shared" si="6"/>
        <v>27.22</v>
      </c>
      <c r="E51" s="1124">
        <v>44980</v>
      </c>
      <c r="F51" s="1110">
        <f t="shared" si="7"/>
        <v>27.22</v>
      </c>
      <c r="G51" s="580" t="s">
        <v>634</v>
      </c>
      <c r="H51" s="372">
        <v>77</v>
      </c>
      <c r="I51" s="423">
        <f t="shared" si="8"/>
        <v>3484.1600000000049</v>
      </c>
      <c r="J51" s="424">
        <f t="shared" si="14"/>
        <v>128</v>
      </c>
      <c r="K51" s="425">
        <f t="shared" si="4"/>
        <v>2095.94</v>
      </c>
      <c r="N51">
        <v>27.22</v>
      </c>
      <c r="O51" s="15"/>
      <c r="P51" s="69">
        <f t="shared" si="12"/>
        <v>0</v>
      </c>
      <c r="Q51" s="239"/>
      <c r="R51" s="69">
        <f t="shared" si="13"/>
        <v>0</v>
      </c>
      <c r="S51" s="70"/>
      <c r="T51" s="71"/>
      <c r="U51" s="423">
        <f t="shared" si="10"/>
        <v>15893.440000000004</v>
      </c>
      <c r="V51" s="424">
        <f t="shared" si="15"/>
        <v>584</v>
      </c>
      <c r="W51" s="425">
        <f t="shared" si="5"/>
        <v>0</v>
      </c>
    </row>
    <row r="52" spans="1:23" x14ac:dyDescent="0.25">
      <c r="B52">
        <v>27.22</v>
      </c>
      <c r="C52" s="15">
        <v>2</v>
      </c>
      <c r="D52" s="1110">
        <f t="shared" si="6"/>
        <v>54.44</v>
      </c>
      <c r="E52" s="1124">
        <v>44979</v>
      </c>
      <c r="F52" s="1110">
        <f t="shared" si="7"/>
        <v>54.44</v>
      </c>
      <c r="G52" s="580" t="s">
        <v>635</v>
      </c>
      <c r="H52" s="372">
        <v>77</v>
      </c>
      <c r="I52" s="423">
        <f t="shared" si="8"/>
        <v>3429.7200000000048</v>
      </c>
      <c r="J52" s="424">
        <f t="shared" si="14"/>
        <v>126</v>
      </c>
      <c r="K52" s="425">
        <f t="shared" si="4"/>
        <v>4191.88</v>
      </c>
      <c r="N52">
        <v>27.22</v>
      </c>
      <c r="O52" s="15"/>
      <c r="P52" s="69">
        <f t="shared" si="12"/>
        <v>0</v>
      </c>
      <c r="Q52" s="239"/>
      <c r="R52" s="69">
        <f t="shared" si="13"/>
        <v>0</v>
      </c>
      <c r="S52" s="70"/>
      <c r="T52" s="71"/>
      <c r="U52" s="423">
        <f t="shared" si="10"/>
        <v>15893.440000000004</v>
      </c>
      <c r="V52" s="424">
        <f t="shared" si="15"/>
        <v>584</v>
      </c>
      <c r="W52" s="425">
        <f t="shared" si="5"/>
        <v>0</v>
      </c>
    </row>
    <row r="53" spans="1:23" x14ac:dyDescent="0.25">
      <c r="B53">
        <v>27.22</v>
      </c>
      <c r="C53" s="15">
        <v>1</v>
      </c>
      <c r="D53" s="1110">
        <f t="shared" si="6"/>
        <v>27.22</v>
      </c>
      <c r="E53" s="1124">
        <v>44980</v>
      </c>
      <c r="F53" s="1110">
        <f t="shared" si="7"/>
        <v>27.22</v>
      </c>
      <c r="G53" s="580" t="s">
        <v>637</v>
      </c>
      <c r="H53" s="372">
        <v>77</v>
      </c>
      <c r="I53" s="423">
        <f t="shared" si="8"/>
        <v>3402.500000000005</v>
      </c>
      <c r="J53" s="424">
        <f t="shared" si="14"/>
        <v>125</v>
      </c>
      <c r="K53" s="425">
        <f t="shared" si="4"/>
        <v>2095.94</v>
      </c>
      <c r="N53">
        <v>27.22</v>
      </c>
      <c r="O53" s="15"/>
      <c r="P53" s="69">
        <f t="shared" si="12"/>
        <v>0</v>
      </c>
      <c r="Q53" s="239"/>
      <c r="R53" s="69">
        <f t="shared" si="13"/>
        <v>0</v>
      </c>
      <c r="S53" s="70"/>
      <c r="T53" s="71"/>
      <c r="U53" s="423">
        <f t="shared" si="10"/>
        <v>15893.440000000004</v>
      </c>
      <c r="V53" s="424">
        <f t="shared" si="15"/>
        <v>584</v>
      </c>
      <c r="W53" s="425">
        <f t="shared" si="5"/>
        <v>0</v>
      </c>
    </row>
    <row r="54" spans="1:23" x14ac:dyDescent="0.25">
      <c r="B54">
        <v>27.22</v>
      </c>
      <c r="C54" s="15">
        <v>24</v>
      </c>
      <c r="D54" s="1110">
        <f t="shared" si="6"/>
        <v>653.28</v>
      </c>
      <c r="E54" s="1124">
        <v>44980</v>
      </c>
      <c r="F54" s="1110">
        <f t="shared" si="7"/>
        <v>653.28</v>
      </c>
      <c r="G54" s="580" t="s">
        <v>641</v>
      </c>
      <c r="H54" s="372">
        <v>77</v>
      </c>
      <c r="I54" s="423">
        <f t="shared" si="8"/>
        <v>2749.2200000000048</v>
      </c>
      <c r="J54" s="424">
        <f t="shared" si="14"/>
        <v>101</v>
      </c>
      <c r="K54" s="425">
        <f t="shared" si="4"/>
        <v>50302.559999999998</v>
      </c>
      <c r="N54">
        <v>27.22</v>
      </c>
      <c r="O54" s="15"/>
      <c r="P54" s="69">
        <f t="shared" si="12"/>
        <v>0</v>
      </c>
      <c r="Q54" s="239"/>
      <c r="R54" s="69">
        <f t="shared" si="13"/>
        <v>0</v>
      </c>
      <c r="S54" s="70"/>
      <c r="T54" s="71"/>
      <c r="U54" s="423">
        <f t="shared" si="10"/>
        <v>15893.440000000004</v>
      </c>
      <c r="V54" s="424">
        <f t="shared" si="15"/>
        <v>584</v>
      </c>
      <c r="W54" s="425">
        <f t="shared" si="5"/>
        <v>0</v>
      </c>
    </row>
    <row r="55" spans="1:23" x14ac:dyDescent="0.25">
      <c r="B55">
        <v>27.22</v>
      </c>
      <c r="C55" s="15">
        <v>24</v>
      </c>
      <c r="D55" s="1110">
        <f t="shared" si="6"/>
        <v>653.28</v>
      </c>
      <c r="E55" s="1124">
        <v>44980</v>
      </c>
      <c r="F55" s="1110">
        <f t="shared" si="7"/>
        <v>653.28</v>
      </c>
      <c r="G55" s="580" t="s">
        <v>642</v>
      </c>
      <c r="H55" s="372">
        <v>77</v>
      </c>
      <c r="I55" s="423">
        <f t="shared" si="8"/>
        <v>2095.9400000000051</v>
      </c>
      <c r="J55" s="424">
        <f t="shared" si="14"/>
        <v>77</v>
      </c>
      <c r="K55" s="425">
        <f t="shared" si="4"/>
        <v>50302.559999999998</v>
      </c>
      <c r="N55">
        <v>27.22</v>
      </c>
      <c r="O55" s="15"/>
      <c r="P55" s="69">
        <f t="shared" si="12"/>
        <v>0</v>
      </c>
      <c r="Q55" s="239"/>
      <c r="R55" s="69">
        <f t="shared" si="13"/>
        <v>0</v>
      </c>
      <c r="S55" s="70"/>
      <c r="T55" s="71"/>
      <c r="U55" s="423">
        <f t="shared" si="10"/>
        <v>15893.440000000004</v>
      </c>
      <c r="V55" s="424">
        <f t="shared" si="15"/>
        <v>584</v>
      </c>
      <c r="W55" s="425">
        <f t="shared" si="5"/>
        <v>0</v>
      </c>
    </row>
    <row r="56" spans="1:23" x14ac:dyDescent="0.25">
      <c r="B56">
        <v>27.22</v>
      </c>
      <c r="C56" s="15">
        <v>10</v>
      </c>
      <c r="D56" s="1110">
        <f t="shared" si="6"/>
        <v>272.2</v>
      </c>
      <c r="E56" s="1124">
        <v>44981</v>
      </c>
      <c r="F56" s="1110">
        <f t="shared" si="7"/>
        <v>272.2</v>
      </c>
      <c r="G56" s="580" t="s">
        <v>651</v>
      </c>
      <c r="H56" s="372">
        <v>77</v>
      </c>
      <c r="I56" s="423">
        <f t="shared" si="8"/>
        <v>1823.740000000005</v>
      </c>
      <c r="J56" s="424">
        <f t="shared" si="14"/>
        <v>67</v>
      </c>
      <c r="K56" s="425">
        <f t="shared" si="4"/>
        <v>20959.399999999998</v>
      </c>
      <c r="N56">
        <v>27.22</v>
      </c>
      <c r="O56" s="15"/>
      <c r="P56" s="69">
        <f t="shared" si="12"/>
        <v>0</v>
      </c>
      <c r="Q56" s="239"/>
      <c r="R56" s="69">
        <f t="shared" si="13"/>
        <v>0</v>
      </c>
      <c r="S56" s="70"/>
      <c r="T56" s="71"/>
      <c r="U56" s="423">
        <f t="shared" si="10"/>
        <v>15893.440000000004</v>
      </c>
      <c r="V56" s="424">
        <f t="shared" si="15"/>
        <v>584</v>
      </c>
      <c r="W56" s="425">
        <f t="shared" si="5"/>
        <v>0</v>
      </c>
    </row>
    <row r="57" spans="1:23" x14ac:dyDescent="0.25">
      <c r="B57">
        <v>27.22</v>
      </c>
      <c r="C57" s="15">
        <v>24</v>
      </c>
      <c r="D57" s="1110">
        <f t="shared" si="6"/>
        <v>653.28</v>
      </c>
      <c r="E57" s="1124">
        <v>44981</v>
      </c>
      <c r="F57" s="1110">
        <f t="shared" si="7"/>
        <v>653.28</v>
      </c>
      <c r="G57" s="580" t="s">
        <v>653</v>
      </c>
      <c r="H57" s="372">
        <v>77</v>
      </c>
      <c r="I57" s="423">
        <f t="shared" si="8"/>
        <v>1170.460000000005</v>
      </c>
      <c r="J57" s="424">
        <f t="shared" si="14"/>
        <v>43</v>
      </c>
      <c r="K57" s="425">
        <f t="shared" si="4"/>
        <v>50302.559999999998</v>
      </c>
      <c r="N57">
        <v>27.22</v>
      </c>
      <c r="O57" s="15"/>
      <c r="P57" s="69">
        <f t="shared" si="12"/>
        <v>0</v>
      </c>
      <c r="Q57" s="239"/>
      <c r="R57" s="69">
        <f t="shared" si="13"/>
        <v>0</v>
      </c>
      <c r="S57" s="70"/>
      <c r="T57" s="71"/>
      <c r="U57" s="423">
        <f t="shared" si="10"/>
        <v>15893.440000000004</v>
      </c>
      <c r="V57" s="424">
        <f t="shared" si="15"/>
        <v>584</v>
      </c>
      <c r="W57" s="425">
        <f t="shared" si="5"/>
        <v>0</v>
      </c>
    </row>
    <row r="58" spans="1:23" x14ac:dyDescent="0.25">
      <c r="B58">
        <v>27.22</v>
      </c>
      <c r="C58" s="15">
        <v>5</v>
      </c>
      <c r="D58" s="1110">
        <f t="shared" si="6"/>
        <v>136.1</v>
      </c>
      <c r="E58" s="1124">
        <v>44982</v>
      </c>
      <c r="F58" s="1110">
        <f t="shared" si="7"/>
        <v>136.1</v>
      </c>
      <c r="G58" s="580" t="s">
        <v>661</v>
      </c>
      <c r="H58" s="372">
        <v>75</v>
      </c>
      <c r="I58" s="423">
        <f t="shared" si="8"/>
        <v>1034.3600000000051</v>
      </c>
      <c r="J58" s="424">
        <f t="shared" si="14"/>
        <v>38</v>
      </c>
      <c r="K58" s="425">
        <f t="shared" si="4"/>
        <v>10207.5</v>
      </c>
      <c r="N58">
        <v>27.22</v>
      </c>
      <c r="O58" s="15"/>
      <c r="P58" s="69">
        <f t="shared" si="12"/>
        <v>0</v>
      </c>
      <c r="Q58" s="239"/>
      <c r="R58" s="69">
        <f t="shared" si="13"/>
        <v>0</v>
      </c>
      <c r="S58" s="70"/>
      <c r="T58" s="71"/>
      <c r="U58" s="423">
        <f t="shared" si="10"/>
        <v>15893.440000000004</v>
      </c>
      <c r="V58" s="424">
        <f t="shared" si="15"/>
        <v>584</v>
      </c>
      <c r="W58" s="425">
        <f t="shared" si="5"/>
        <v>0</v>
      </c>
    </row>
    <row r="59" spans="1:23" x14ac:dyDescent="0.25">
      <c r="B59">
        <v>27.22</v>
      </c>
      <c r="C59" s="15">
        <v>24</v>
      </c>
      <c r="D59" s="1110">
        <f t="shared" si="6"/>
        <v>653.28</v>
      </c>
      <c r="E59" s="1124">
        <v>44982</v>
      </c>
      <c r="F59" s="1110">
        <f t="shared" si="7"/>
        <v>653.28</v>
      </c>
      <c r="G59" s="580" t="s">
        <v>663</v>
      </c>
      <c r="H59" s="372">
        <v>75</v>
      </c>
      <c r="I59" s="423">
        <f t="shared" si="8"/>
        <v>381.08000000000516</v>
      </c>
      <c r="J59" s="424">
        <f t="shared" si="14"/>
        <v>14</v>
      </c>
      <c r="K59" s="425">
        <f t="shared" si="4"/>
        <v>48996</v>
      </c>
      <c r="N59">
        <v>27.22</v>
      </c>
      <c r="O59" s="15"/>
      <c r="P59" s="69">
        <f t="shared" si="12"/>
        <v>0</v>
      </c>
      <c r="Q59" s="239"/>
      <c r="R59" s="69">
        <f t="shared" si="13"/>
        <v>0</v>
      </c>
      <c r="S59" s="70"/>
      <c r="T59" s="71"/>
      <c r="U59" s="423">
        <f t="shared" si="10"/>
        <v>15893.440000000004</v>
      </c>
      <c r="V59" s="424">
        <f t="shared" si="15"/>
        <v>584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10">
        <f t="shared" si="6"/>
        <v>0</v>
      </c>
      <c r="E60" s="1124"/>
      <c r="F60" s="1110">
        <f t="shared" si="7"/>
        <v>0</v>
      </c>
      <c r="G60" s="580"/>
      <c r="H60" s="372"/>
      <c r="I60" s="423">
        <f t="shared" si="8"/>
        <v>381.08000000000516</v>
      </c>
      <c r="J60" s="424">
        <f t="shared" si="14"/>
        <v>14</v>
      </c>
      <c r="K60" s="425">
        <f t="shared" si="4"/>
        <v>0</v>
      </c>
      <c r="M60" s="117"/>
      <c r="N60">
        <v>27.22</v>
      </c>
      <c r="O60" s="15"/>
      <c r="P60" s="69">
        <f t="shared" si="12"/>
        <v>0</v>
      </c>
      <c r="Q60" s="239"/>
      <c r="R60" s="69">
        <f t="shared" si="13"/>
        <v>0</v>
      </c>
      <c r="S60" s="70"/>
      <c r="T60" s="71"/>
      <c r="U60" s="423">
        <f t="shared" si="10"/>
        <v>15893.440000000004</v>
      </c>
      <c r="V60" s="424">
        <f t="shared" si="15"/>
        <v>584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10">
        <f t="shared" si="6"/>
        <v>0</v>
      </c>
      <c r="E61" s="1124"/>
      <c r="F61" s="1110">
        <f t="shared" si="7"/>
        <v>0</v>
      </c>
      <c r="G61" s="580"/>
      <c r="H61" s="372"/>
      <c r="I61" s="423">
        <f t="shared" si="8"/>
        <v>381.08000000000516</v>
      </c>
      <c r="J61" s="424">
        <f t="shared" si="14"/>
        <v>14</v>
      </c>
      <c r="K61" s="425">
        <f t="shared" si="4"/>
        <v>0</v>
      </c>
      <c r="N61">
        <v>27.22</v>
      </c>
      <c r="O61" s="15"/>
      <c r="P61" s="69">
        <f t="shared" si="12"/>
        <v>0</v>
      </c>
      <c r="Q61" s="239"/>
      <c r="R61" s="69">
        <f t="shared" si="13"/>
        <v>0</v>
      </c>
      <c r="S61" s="70"/>
      <c r="T61" s="71"/>
      <c r="U61" s="423">
        <f t="shared" si="10"/>
        <v>15893.440000000004</v>
      </c>
      <c r="V61" s="424">
        <f t="shared" si="15"/>
        <v>584</v>
      </c>
      <c r="W61" s="425">
        <f t="shared" si="5"/>
        <v>0</v>
      </c>
    </row>
    <row r="62" spans="1:23" x14ac:dyDescent="0.25">
      <c r="B62">
        <v>27.22</v>
      </c>
      <c r="C62" s="15">
        <v>14</v>
      </c>
      <c r="D62" s="1110">
        <f t="shared" si="6"/>
        <v>381.08</v>
      </c>
      <c r="E62" s="1124"/>
      <c r="F62" s="1110">
        <f t="shared" si="7"/>
        <v>381.08</v>
      </c>
      <c r="G62" s="580"/>
      <c r="H62" s="372"/>
      <c r="I62" s="1232">
        <f t="shared" si="8"/>
        <v>5.1727511163335294E-12</v>
      </c>
      <c r="J62" s="1233">
        <f t="shared" si="14"/>
        <v>0</v>
      </c>
      <c r="K62" s="1234">
        <f t="shared" si="4"/>
        <v>0</v>
      </c>
      <c r="N62">
        <v>27.22</v>
      </c>
      <c r="O62" s="15"/>
      <c r="P62" s="69">
        <f t="shared" si="12"/>
        <v>0</v>
      </c>
      <c r="Q62" s="239"/>
      <c r="R62" s="69">
        <f t="shared" si="13"/>
        <v>0</v>
      </c>
      <c r="S62" s="70"/>
      <c r="T62" s="71"/>
      <c r="U62" s="423">
        <f t="shared" si="10"/>
        <v>15893.440000000004</v>
      </c>
      <c r="V62" s="424">
        <f t="shared" si="15"/>
        <v>584</v>
      </c>
      <c r="W62" s="425">
        <f t="shared" si="5"/>
        <v>0</v>
      </c>
    </row>
    <row r="63" spans="1:23" x14ac:dyDescent="0.25">
      <c r="B63">
        <v>27.22</v>
      </c>
      <c r="C63" s="15"/>
      <c r="D63" s="1110">
        <f t="shared" si="6"/>
        <v>0</v>
      </c>
      <c r="E63" s="1124"/>
      <c r="F63" s="1110">
        <f t="shared" si="7"/>
        <v>0</v>
      </c>
      <c r="G63" s="580"/>
      <c r="H63" s="372"/>
      <c r="I63" s="1232">
        <f t="shared" si="8"/>
        <v>5.1727511163335294E-12</v>
      </c>
      <c r="J63" s="1233">
        <f t="shared" si="14"/>
        <v>0</v>
      </c>
      <c r="K63" s="1234">
        <f t="shared" si="4"/>
        <v>0</v>
      </c>
      <c r="N63">
        <v>27.22</v>
      </c>
      <c r="O63" s="15"/>
      <c r="P63" s="69">
        <f t="shared" si="12"/>
        <v>0</v>
      </c>
      <c r="Q63" s="239"/>
      <c r="R63" s="69">
        <f t="shared" si="13"/>
        <v>0</v>
      </c>
      <c r="S63" s="70"/>
      <c r="T63" s="71"/>
      <c r="U63" s="423">
        <f t="shared" si="10"/>
        <v>15893.440000000004</v>
      </c>
      <c r="V63" s="424">
        <f t="shared" si="15"/>
        <v>584</v>
      </c>
      <c r="W63" s="425">
        <f t="shared" si="5"/>
        <v>0</v>
      </c>
    </row>
    <row r="64" spans="1:23" x14ac:dyDescent="0.25">
      <c r="B64">
        <v>27.22</v>
      </c>
      <c r="C64" s="15"/>
      <c r="D64" s="1110">
        <f t="shared" si="6"/>
        <v>0</v>
      </c>
      <c r="E64" s="1124"/>
      <c r="F64" s="1110">
        <f t="shared" si="7"/>
        <v>0</v>
      </c>
      <c r="G64" s="580"/>
      <c r="H64" s="372"/>
      <c r="I64" s="1232">
        <f t="shared" si="8"/>
        <v>5.1727511163335294E-12</v>
      </c>
      <c r="J64" s="1233">
        <f t="shared" si="14"/>
        <v>0</v>
      </c>
      <c r="K64" s="1234">
        <f t="shared" si="4"/>
        <v>0</v>
      </c>
      <c r="N64">
        <v>27.22</v>
      </c>
      <c r="O64" s="15"/>
      <c r="P64" s="69">
        <f t="shared" si="12"/>
        <v>0</v>
      </c>
      <c r="Q64" s="239"/>
      <c r="R64" s="69">
        <f t="shared" si="13"/>
        <v>0</v>
      </c>
      <c r="S64" s="70"/>
      <c r="T64" s="71"/>
      <c r="U64" s="423">
        <f t="shared" si="10"/>
        <v>15893.440000000004</v>
      </c>
      <c r="V64" s="424">
        <f t="shared" si="15"/>
        <v>584</v>
      </c>
      <c r="W64" s="425">
        <f t="shared" si="5"/>
        <v>0</v>
      </c>
    </row>
    <row r="65" spans="2:23" x14ac:dyDescent="0.25">
      <c r="B65">
        <v>27.22</v>
      </c>
      <c r="C65" s="15"/>
      <c r="D65" s="1110">
        <f t="shared" si="6"/>
        <v>0</v>
      </c>
      <c r="E65" s="1124"/>
      <c r="F65" s="1110">
        <f t="shared" si="7"/>
        <v>0</v>
      </c>
      <c r="G65" s="580"/>
      <c r="H65" s="372"/>
      <c r="I65" s="1232">
        <f t="shared" si="8"/>
        <v>5.1727511163335294E-12</v>
      </c>
      <c r="J65" s="1233">
        <f t="shared" si="14"/>
        <v>0</v>
      </c>
      <c r="K65" s="1234">
        <f t="shared" si="4"/>
        <v>0</v>
      </c>
      <c r="N65">
        <v>27.22</v>
      </c>
      <c r="O65" s="15"/>
      <c r="P65" s="69">
        <f t="shared" si="12"/>
        <v>0</v>
      </c>
      <c r="Q65" s="239"/>
      <c r="R65" s="69">
        <f t="shared" si="13"/>
        <v>0</v>
      </c>
      <c r="S65" s="70"/>
      <c r="T65" s="71"/>
      <c r="U65" s="423">
        <f t="shared" si="10"/>
        <v>15893.440000000004</v>
      </c>
      <c r="V65" s="424">
        <f t="shared" si="15"/>
        <v>584</v>
      </c>
      <c r="W65" s="425">
        <f t="shared" si="5"/>
        <v>0</v>
      </c>
    </row>
    <row r="66" spans="2:23" x14ac:dyDescent="0.25">
      <c r="B66">
        <v>27.22</v>
      </c>
      <c r="C66" s="15"/>
      <c r="D66" s="1110">
        <f t="shared" si="6"/>
        <v>0</v>
      </c>
      <c r="E66" s="1124"/>
      <c r="F66" s="1110">
        <f t="shared" si="7"/>
        <v>0</v>
      </c>
      <c r="G66" s="580"/>
      <c r="H66" s="372"/>
      <c r="I66" s="423">
        <f t="shared" si="8"/>
        <v>5.1727511163335294E-12</v>
      </c>
      <c r="J66" s="424">
        <f t="shared" si="14"/>
        <v>0</v>
      </c>
      <c r="K66" s="425">
        <f t="shared" si="4"/>
        <v>0</v>
      </c>
      <c r="N66">
        <v>27.22</v>
      </c>
      <c r="O66" s="15"/>
      <c r="P66" s="69">
        <f t="shared" si="12"/>
        <v>0</v>
      </c>
      <c r="Q66" s="239"/>
      <c r="R66" s="69">
        <f t="shared" si="13"/>
        <v>0</v>
      </c>
      <c r="S66" s="70"/>
      <c r="T66" s="71"/>
      <c r="U66" s="423">
        <f t="shared" si="10"/>
        <v>15893.440000000004</v>
      </c>
      <c r="V66" s="424">
        <f t="shared" si="15"/>
        <v>584</v>
      </c>
      <c r="W66" s="425">
        <f t="shared" si="5"/>
        <v>0</v>
      </c>
    </row>
    <row r="67" spans="2:23" x14ac:dyDescent="0.25">
      <c r="B67">
        <v>27.22</v>
      </c>
      <c r="C67" s="15"/>
      <c r="D67" s="1110">
        <f t="shared" si="6"/>
        <v>0</v>
      </c>
      <c r="E67" s="1124"/>
      <c r="F67" s="1110">
        <f t="shared" si="7"/>
        <v>0</v>
      </c>
      <c r="G67" s="580"/>
      <c r="H67" s="372"/>
      <c r="I67" s="423">
        <f t="shared" si="8"/>
        <v>5.1727511163335294E-12</v>
      </c>
      <c r="J67" s="424">
        <f t="shared" si="14"/>
        <v>0</v>
      </c>
      <c r="K67" s="425">
        <f t="shared" si="4"/>
        <v>0</v>
      </c>
      <c r="N67">
        <v>27.22</v>
      </c>
      <c r="O67" s="15"/>
      <c r="P67" s="69">
        <f t="shared" si="12"/>
        <v>0</v>
      </c>
      <c r="Q67" s="239"/>
      <c r="R67" s="69">
        <f t="shared" si="13"/>
        <v>0</v>
      </c>
      <c r="S67" s="70"/>
      <c r="T67" s="71"/>
      <c r="U67" s="423">
        <f t="shared" si="10"/>
        <v>15893.440000000004</v>
      </c>
      <c r="V67" s="424">
        <f t="shared" si="15"/>
        <v>584</v>
      </c>
      <c r="W67" s="425">
        <f t="shared" si="5"/>
        <v>0</v>
      </c>
    </row>
    <row r="68" spans="2:23" x14ac:dyDescent="0.25">
      <c r="B68">
        <v>27.22</v>
      </c>
      <c r="C68" s="15"/>
      <c r="D68" s="1110">
        <f t="shared" si="6"/>
        <v>0</v>
      </c>
      <c r="E68" s="1124"/>
      <c r="F68" s="1110">
        <f t="shared" si="7"/>
        <v>0</v>
      </c>
      <c r="G68" s="580"/>
      <c r="H68" s="372"/>
      <c r="I68" s="423">
        <f t="shared" si="8"/>
        <v>5.1727511163335294E-12</v>
      </c>
      <c r="J68" s="424">
        <f t="shared" si="14"/>
        <v>0</v>
      </c>
      <c r="K68" s="425">
        <f t="shared" si="4"/>
        <v>0</v>
      </c>
      <c r="N68">
        <v>27.22</v>
      </c>
      <c r="O68" s="15"/>
      <c r="P68" s="69">
        <f t="shared" si="12"/>
        <v>0</v>
      </c>
      <c r="Q68" s="239"/>
      <c r="R68" s="69">
        <f t="shared" si="13"/>
        <v>0</v>
      </c>
      <c r="S68" s="70"/>
      <c r="T68" s="71"/>
      <c r="U68" s="423">
        <f t="shared" si="10"/>
        <v>15893.440000000004</v>
      </c>
      <c r="V68" s="424">
        <f t="shared" si="15"/>
        <v>584</v>
      </c>
      <c r="W68" s="425">
        <f t="shared" si="5"/>
        <v>0</v>
      </c>
    </row>
    <row r="69" spans="2:23" x14ac:dyDescent="0.25">
      <c r="B69">
        <v>27.22</v>
      </c>
      <c r="C69" s="15"/>
      <c r="D69" s="1110">
        <f t="shared" si="6"/>
        <v>0</v>
      </c>
      <c r="E69" s="1124"/>
      <c r="F69" s="1110">
        <f t="shared" si="7"/>
        <v>0</v>
      </c>
      <c r="G69" s="580"/>
      <c r="H69" s="372"/>
      <c r="I69" s="423">
        <f t="shared" si="8"/>
        <v>5.1727511163335294E-12</v>
      </c>
      <c r="J69" s="424">
        <f t="shared" si="14"/>
        <v>0</v>
      </c>
      <c r="K69" s="425">
        <f t="shared" si="4"/>
        <v>0</v>
      </c>
      <c r="N69">
        <v>27.22</v>
      </c>
      <c r="O69" s="15"/>
      <c r="P69" s="69">
        <f t="shared" si="12"/>
        <v>0</v>
      </c>
      <c r="Q69" s="239"/>
      <c r="R69" s="69">
        <f t="shared" si="13"/>
        <v>0</v>
      </c>
      <c r="S69" s="70"/>
      <c r="T69" s="71"/>
      <c r="U69" s="423">
        <f t="shared" si="10"/>
        <v>15893.440000000004</v>
      </c>
      <c r="V69" s="424">
        <f t="shared" si="15"/>
        <v>584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5.1727511163335294E-12</v>
      </c>
      <c r="J70" s="424">
        <f t="shared" si="14"/>
        <v>0</v>
      </c>
      <c r="K70" s="425">
        <f t="shared" si="4"/>
        <v>0</v>
      </c>
      <c r="N70">
        <v>27.22</v>
      </c>
      <c r="O70" s="15"/>
      <c r="P70" s="69">
        <f t="shared" si="12"/>
        <v>0</v>
      </c>
      <c r="Q70" s="239"/>
      <c r="R70" s="69">
        <f t="shared" si="13"/>
        <v>0</v>
      </c>
      <c r="S70" s="70"/>
      <c r="T70" s="71"/>
      <c r="U70" s="423">
        <f t="shared" si="10"/>
        <v>15893.440000000004</v>
      </c>
      <c r="V70" s="424">
        <f t="shared" si="15"/>
        <v>584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5.1727511163335294E-12</v>
      </c>
      <c r="J71" s="424">
        <f t="shared" si="14"/>
        <v>0</v>
      </c>
      <c r="K71" s="425">
        <f t="shared" si="4"/>
        <v>0</v>
      </c>
      <c r="N71">
        <v>27.22</v>
      </c>
      <c r="O71" s="15"/>
      <c r="P71" s="69">
        <f t="shared" si="12"/>
        <v>0</v>
      </c>
      <c r="Q71" s="239"/>
      <c r="R71" s="69">
        <f t="shared" si="13"/>
        <v>0</v>
      </c>
      <c r="S71" s="70"/>
      <c r="T71" s="71"/>
      <c r="U71" s="423">
        <f t="shared" si="10"/>
        <v>15893.440000000004</v>
      </c>
      <c r="V71" s="424">
        <f t="shared" si="15"/>
        <v>584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5.1727511163335294E-12</v>
      </c>
      <c r="J72" s="424">
        <f t="shared" si="14"/>
        <v>0</v>
      </c>
      <c r="K72" s="425">
        <f t="shared" si="4"/>
        <v>0</v>
      </c>
      <c r="N72">
        <v>27.22</v>
      </c>
      <c r="O72" s="15"/>
      <c r="P72" s="69">
        <f t="shared" si="12"/>
        <v>0</v>
      </c>
      <c r="Q72" s="239"/>
      <c r="R72" s="69">
        <f t="shared" si="13"/>
        <v>0</v>
      </c>
      <c r="S72" s="70"/>
      <c r="T72" s="71"/>
      <c r="U72" s="423">
        <f t="shared" si="10"/>
        <v>15893.440000000004</v>
      </c>
      <c r="V72" s="424">
        <f t="shared" si="15"/>
        <v>584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5.1727511163335294E-12</v>
      </c>
      <c r="J73" s="424">
        <f t="shared" si="14"/>
        <v>0</v>
      </c>
      <c r="K73" s="425">
        <f t="shared" si="4"/>
        <v>0</v>
      </c>
      <c r="N73">
        <v>27.22</v>
      </c>
      <c r="O73" s="15"/>
      <c r="P73" s="69">
        <f t="shared" si="12"/>
        <v>0</v>
      </c>
      <c r="Q73" s="239"/>
      <c r="R73" s="69">
        <f t="shared" si="13"/>
        <v>0</v>
      </c>
      <c r="S73" s="70"/>
      <c r="T73" s="71"/>
      <c r="U73" s="423">
        <f t="shared" si="10"/>
        <v>15893.440000000004</v>
      </c>
      <c r="V73" s="424">
        <f t="shared" si="15"/>
        <v>584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5.1727511163335294E-12</v>
      </c>
      <c r="J74" s="424">
        <f t="shared" si="14"/>
        <v>0</v>
      </c>
      <c r="K74" s="425">
        <f t="shared" ref="K74:K114" si="16">F74*H74</f>
        <v>0</v>
      </c>
      <c r="N74">
        <v>27.22</v>
      </c>
      <c r="O74" s="15"/>
      <c r="P74" s="69">
        <f t="shared" si="12"/>
        <v>0</v>
      </c>
      <c r="Q74" s="239"/>
      <c r="R74" s="69">
        <f t="shared" si="13"/>
        <v>0</v>
      </c>
      <c r="S74" s="70"/>
      <c r="T74" s="71"/>
      <c r="U74" s="423">
        <f t="shared" si="10"/>
        <v>15893.440000000004</v>
      </c>
      <c r="V74" s="424">
        <f t="shared" si="15"/>
        <v>584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5.1727511163335294E-12</v>
      </c>
      <c r="J75" s="424">
        <f t="shared" si="14"/>
        <v>0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15893.440000000004</v>
      </c>
      <c r="V75" s="424">
        <f t="shared" si="15"/>
        <v>584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5.1727511163335294E-12</v>
      </c>
      <c r="J76" s="424">
        <f t="shared" si="14"/>
        <v>0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15893.440000000004</v>
      </c>
      <c r="V76" s="424">
        <f t="shared" si="15"/>
        <v>584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5.1727511163335294E-12</v>
      </c>
      <c r="J77" s="424">
        <f t="shared" ref="J77:J113" si="24">J76-C77</f>
        <v>0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15893.440000000004</v>
      </c>
      <c r="V77" s="424">
        <f t="shared" ref="V77:V113" si="25">V76-O77</f>
        <v>584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5.1727511163335294E-12</v>
      </c>
      <c r="J78" s="424">
        <f t="shared" si="24"/>
        <v>0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15893.440000000004</v>
      </c>
      <c r="V78" s="424">
        <f t="shared" si="25"/>
        <v>584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5.1727511163335294E-12</v>
      </c>
      <c r="J79" s="424">
        <f t="shared" si="24"/>
        <v>0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15893.440000000004</v>
      </c>
      <c r="V79" s="424">
        <f t="shared" si="25"/>
        <v>584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5.1727511163335294E-12</v>
      </c>
      <c r="J80" s="424">
        <f t="shared" si="24"/>
        <v>0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15893.440000000004</v>
      </c>
      <c r="V80" s="424">
        <f t="shared" si="25"/>
        <v>584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5.1727511163335294E-12</v>
      </c>
      <c r="J81" s="424">
        <f t="shared" si="24"/>
        <v>0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15893.440000000004</v>
      </c>
      <c r="V81" s="424">
        <f t="shared" si="25"/>
        <v>584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5.1727511163335294E-12</v>
      </c>
      <c r="J82" s="424">
        <f t="shared" si="24"/>
        <v>0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15893.440000000004</v>
      </c>
      <c r="V82" s="424">
        <f t="shared" si="25"/>
        <v>584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5.1727511163335294E-12</v>
      </c>
      <c r="J83" s="424">
        <f t="shared" si="24"/>
        <v>0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15893.440000000004</v>
      </c>
      <c r="V83" s="424">
        <f t="shared" si="25"/>
        <v>584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5.1727511163335294E-12</v>
      </c>
      <c r="J84" s="424">
        <f t="shared" si="24"/>
        <v>0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15893.440000000004</v>
      </c>
      <c r="V84" s="424">
        <f t="shared" si="25"/>
        <v>584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5.1727511163335294E-12</v>
      </c>
      <c r="J85" s="424">
        <f t="shared" si="24"/>
        <v>0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15893.440000000004</v>
      </c>
      <c r="V85" s="424">
        <f t="shared" si="25"/>
        <v>584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5.1727511163335294E-12</v>
      </c>
      <c r="J86" s="424">
        <f t="shared" si="24"/>
        <v>0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15893.440000000004</v>
      </c>
      <c r="V86" s="424">
        <f t="shared" si="25"/>
        <v>584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5.1727511163335294E-12</v>
      </c>
      <c r="J87" s="424">
        <f t="shared" si="24"/>
        <v>0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15893.440000000004</v>
      </c>
      <c r="V87" s="424">
        <f t="shared" si="25"/>
        <v>584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5.1727511163335294E-12</v>
      </c>
      <c r="J88" s="424">
        <f t="shared" si="24"/>
        <v>0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15893.440000000004</v>
      </c>
      <c r="V88" s="424">
        <f t="shared" si="25"/>
        <v>584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5.1727511163335294E-12</v>
      </c>
      <c r="J89" s="424">
        <f t="shared" si="24"/>
        <v>0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15893.440000000004</v>
      </c>
      <c r="V89" s="424">
        <f t="shared" si="25"/>
        <v>584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5.1727511163335294E-12</v>
      </c>
      <c r="J90" s="424">
        <f t="shared" si="24"/>
        <v>0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15893.440000000004</v>
      </c>
      <c r="V90" s="424">
        <f t="shared" si="25"/>
        <v>584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5.1727511163335294E-12</v>
      </c>
      <c r="J91" s="424">
        <f t="shared" si="24"/>
        <v>0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15893.440000000004</v>
      </c>
      <c r="V91" s="424">
        <f t="shared" si="25"/>
        <v>584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5.1727511163335294E-12</v>
      </c>
      <c r="J92" s="424">
        <f t="shared" si="24"/>
        <v>0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15893.440000000004</v>
      </c>
      <c r="V92" s="424">
        <f t="shared" si="25"/>
        <v>584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5.1727511163335294E-12</v>
      </c>
      <c r="J93" s="424">
        <f t="shared" si="24"/>
        <v>0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15893.440000000004</v>
      </c>
      <c r="V93" s="424">
        <f t="shared" si="25"/>
        <v>584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5.1727511163335294E-12</v>
      </c>
      <c r="J94" s="424">
        <f t="shared" si="24"/>
        <v>0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15893.440000000004</v>
      </c>
      <c r="V94" s="424">
        <f t="shared" si="25"/>
        <v>584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5.1727511163335294E-12</v>
      </c>
      <c r="J95" s="424">
        <f t="shared" si="24"/>
        <v>0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15893.440000000004</v>
      </c>
      <c r="V95" s="424">
        <f t="shared" si="25"/>
        <v>584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5.1727511163335294E-12</v>
      </c>
      <c r="J96" s="424">
        <f t="shared" si="24"/>
        <v>0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15893.440000000004</v>
      </c>
      <c r="V96" s="424">
        <f t="shared" si="25"/>
        <v>584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5.1727511163335294E-12</v>
      </c>
      <c r="J97" s="424">
        <f t="shared" si="24"/>
        <v>0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15893.440000000004</v>
      </c>
      <c r="V97" s="424">
        <f t="shared" si="25"/>
        <v>584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5.1727511163335294E-12</v>
      </c>
      <c r="J98" s="424">
        <f t="shared" si="24"/>
        <v>0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15893.440000000004</v>
      </c>
      <c r="V98" s="424">
        <f t="shared" si="25"/>
        <v>584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5.1727511163335294E-12</v>
      </c>
      <c r="J99" s="424">
        <f t="shared" si="24"/>
        <v>0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15893.440000000004</v>
      </c>
      <c r="V99" s="424">
        <f t="shared" si="25"/>
        <v>584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5.1727511163335294E-12</v>
      </c>
      <c r="J100" s="424">
        <f t="shared" si="24"/>
        <v>0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15893.440000000004</v>
      </c>
      <c r="V100" s="424">
        <f t="shared" si="25"/>
        <v>584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5.1727511163335294E-12</v>
      </c>
      <c r="J101" s="424">
        <f t="shared" si="24"/>
        <v>0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15893.440000000004</v>
      </c>
      <c r="V101" s="424">
        <f t="shared" si="25"/>
        <v>584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5.1727511163335294E-12</v>
      </c>
      <c r="J102" s="424">
        <f t="shared" si="24"/>
        <v>0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15893.440000000004</v>
      </c>
      <c r="V102" s="424">
        <f t="shared" si="25"/>
        <v>584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5.1727511163335294E-12</v>
      </c>
      <c r="J103" s="424">
        <f t="shared" si="24"/>
        <v>0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15893.440000000004</v>
      </c>
      <c r="V103" s="424">
        <f t="shared" si="25"/>
        <v>584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5.1727511163335294E-12</v>
      </c>
      <c r="J104" s="424">
        <f t="shared" si="24"/>
        <v>0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15893.440000000004</v>
      </c>
      <c r="V104" s="424">
        <f t="shared" si="25"/>
        <v>584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5.1727511163335294E-12</v>
      </c>
      <c r="J105" s="424">
        <f t="shared" si="24"/>
        <v>0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15893.440000000004</v>
      </c>
      <c r="V105" s="424">
        <f t="shared" si="25"/>
        <v>584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5.1727511163335294E-12</v>
      </c>
      <c r="J106" s="424">
        <f t="shared" si="24"/>
        <v>0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15893.440000000004</v>
      </c>
      <c r="V106" s="424">
        <f t="shared" si="25"/>
        <v>584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5.1727511163335294E-12</v>
      </c>
      <c r="J107" s="424">
        <f t="shared" si="24"/>
        <v>0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15893.440000000004</v>
      </c>
      <c r="V107" s="424">
        <f t="shared" si="25"/>
        <v>584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5.1727511163335294E-12</v>
      </c>
      <c r="J108" s="424">
        <f t="shared" si="24"/>
        <v>0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15893.440000000004</v>
      </c>
      <c r="V108" s="424">
        <f t="shared" si="25"/>
        <v>584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5.1727511163335294E-12</v>
      </c>
      <c r="J109" s="424">
        <f t="shared" si="24"/>
        <v>0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15893.440000000004</v>
      </c>
      <c r="V109" s="424">
        <f t="shared" si="25"/>
        <v>584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5.1727511163335294E-12</v>
      </c>
      <c r="J110" s="424">
        <f t="shared" si="24"/>
        <v>0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15893.440000000004</v>
      </c>
      <c r="V110" s="424">
        <f t="shared" si="25"/>
        <v>584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5.1727511163335294E-12</v>
      </c>
      <c r="J111" s="424">
        <f t="shared" si="24"/>
        <v>0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15893.440000000004</v>
      </c>
      <c r="V111" s="424">
        <f t="shared" si="25"/>
        <v>584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5.1727511163335294E-12</v>
      </c>
      <c r="J112" s="424">
        <f t="shared" si="24"/>
        <v>0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15893.440000000004</v>
      </c>
      <c r="V112" s="424">
        <f t="shared" si="25"/>
        <v>584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5.1727511163335294E-12</v>
      </c>
      <c r="J113" s="424">
        <f t="shared" si="24"/>
        <v>0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15893.440000000004</v>
      </c>
      <c r="V113" s="424">
        <f t="shared" si="25"/>
        <v>584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678</v>
      </c>
      <c r="D115" s="6">
        <f>SUM(D9:D114)</f>
        <v>18455.159999999993</v>
      </c>
      <c r="F115" s="6">
        <f>SUM(F9:F114)</f>
        <v>18455.159999999993</v>
      </c>
      <c r="O115" s="53">
        <f>SUM(O9:O114)</f>
        <v>108</v>
      </c>
      <c r="P115" s="6">
        <f>SUM(P9:P114)</f>
        <v>2939.7599999999993</v>
      </c>
      <c r="R115" s="6">
        <f>SUM(R9:R114)</f>
        <v>2939.7599999999993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584</v>
      </c>
    </row>
    <row r="119" spans="1:23" ht="15.75" thickBot="1" x14ac:dyDescent="0.3"/>
    <row r="120" spans="1:23" ht="15.75" thickBot="1" x14ac:dyDescent="0.3">
      <c r="C120" s="1388" t="s">
        <v>11</v>
      </c>
      <c r="D120" s="1389"/>
      <c r="E120" s="57">
        <f>E4+E5+E6-F115</f>
        <v>0</v>
      </c>
      <c r="G120" s="47"/>
      <c r="H120" s="91"/>
      <c r="O120" s="1388" t="s">
        <v>11</v>
      </c>
      <c r="P120" s="1389"/>
      <c r="Q120" s="57">
        <f>Q4+Q5+Q6-R115</f>
        <v>15893.440000000002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6" t="s">
        <v>284</v>
      </c>
      <c r="B1" s="1386"/>
      <c r="C1" s="1386"/>
      <c r="D1" s="1386"/>
      <c r="E1" s="1386"/>
      <c r="F1" s="1386"/>
      <c r="G1" s="1386"/>
      <c r="H1" s="11">
        <v>1</v>
      </c>
      <c r="K1" s="1390" t="s">
        <v>391</v>
      </c>
      <c r="L1" s="1390"/>
      <c r="M1" s="1390"/>
      <c r="N1" s="1390"/>
      <c r="O1" s="1390"/>
      <c r="P1" s="1390"/>
      <c r="Q1" s="13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771"/>
      <c r="D4" s="772"/>
      <c r="E4" s="796">
        <v>244.42</v>
      </c>
      <c r="F4" s="763">
        <v>13</v>
      </c>
      <c r="G4" s="73"/>
      <c r="L4" s="83"/>
      <c r="M4" s="771"/>
      <c r="N4" s="772"/>
      <c r="O4" s="796"/>
      <c r="P4" s="763"/>
      <c r="Q4" s="73"/>
    </row>
    <row r="5" spans="1:19" ht="15.75" customHeight="1" x14ac:dyDescent="0.25">
      <c r="A5" s="1395" t="s">
        <v>123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1331.0500000000002</v>
      </c>
      <c r="H5" s="7">
        <f>E5-G5+E4+E6+E7</f>
        <v>-1.2900000000002763</v>
      </c>
      <c r="K5" s="1400" t="s">
        <v>686</v>
      </c>
      <c r="L5" s="344" t="s">
        <v>65</v>
      </c>
      <c r="M5" s="646"/>
      <c r="N5" s="647">
        <v>44989</v>
      </c>
      <c r="O5" s="633">
        <v>5161.33</v>
      </c>
      <c r="P5" s="645">
        <v>250</v>
      </c>
      <c r="Q5" s="47">
        <f>P68</f>
        <v>96.02</v>
      </c>
      <c r="R5" s="7">
        <f>O5-Q5+O4+O6+O7</f>
        <v>5065.3099999999995</v>
      </c>
    </row>
    <row r="6" spans="1:19" ht="15" customHeight="1" x14ac:dyDescent="0.25">
      <c r="A6" s="1395"/>
      <c r="B6" s="847" t="s">
        <v>66</v>
      </c>
      <c r="C6" s="774"/>
      <c r="D6" s="774"/>
      <c r="E6" s="774"/>
      <c r="F6" s="773"/>
      <c r="K6" s="1400"/>
      <c r="L6" s="1201" t="s">
        <v>66</v>
      </c>
      <c r="M6" s="774"/>
      <c r="N6" s="774"/>
      <c r="O6" s="774"/>
      <c r="P6" s="773"/>
    </row>
    <row r="7" spans="1:19" ht="15.75" thickBot="1" x14ac:dyDescent="0.3">
      <c r="B7" s="73"/>
      <c r="C7" s="775"/>
      <c r="D7" s="775"/>
      <c r="E7" s="775"/>
      <c r="F7" s="773"/>
      <c r="L7" s="73"/>
      <c r="M7" s="775"/>
      <c r="N7" s="775"/>
      <c r="O7" s="775"/>
      <c r="P7" s="773"/>
    </row>
    <row r="8" spans="1:19" ht="16.5" thickTop="1" thickBot="1" x14ac:dyDescent="0.3">
      <c r="B8" s="64" t="s">
        <v>7</v>
      </c>
      <c r="C8" s="723" t="s">
        <v>8</v>
      </c>
      <c r="D8" s="724" t="s">
        <v>3</v>
      </c>
      <c r="E8" s="725" t="s">
        <v>2</v>
      </c>
      <c r="F8" s="9" t="s">
        <v>9</v>
      </c>
      <c r="G8" s="10" t="s">
        <v>15</v>
      </c>
      <c r="H8" s="24"/>
      <c r="L8" s="64" t="s">
        <v>7</v>
      </c>
      <c r="M8" s="723" t="s">
        <v>8</v>
      </c>
      <c r="N8" s="724" t="s">
        <v>3</v>
      </c>
      <c r="O8" s="72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740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201</v>
      </c>
      <c r="H9" s="71">
        <v>148</v>
      </c>
      <c r="I9" s="722">
        <f>E6+E5+E4-F9+E7</f>
        <v>1020.13</v>
      </c>
      <c r="K9" s="55" t="s">
        <v>32</v>
      </c>
      <c r="L9" s="851">
        <f>P4+P5+P6+P7-M9</f>
        <v>245</v>
      </c>
      <c r="M9" s="645">
        <v>5</v>
      </c>
      <c r="N9" s="633">
        <v>96.02</v>
      </c>
      <c r="O9" s="741">
        <v>44989</v>
      </c>
      <c r="P9" s="633">
        <f t="shared" ref="P9:P52" si="1">N9</f>
        <v>96.02</v>
      </c>
      <c r="Q9" s="631" t="s">
        <v>731</v>
      </c>
      <c r="R9" s="632">
        <v>131</v>
      </c>
      <c r="S9" s="742">
        <f>O6+O5+O4-P9+O7</f>
        <v>5065.3099999999995</v>
      </c>
    </row>
    <row r="10" spans="1:19" x14ac:dyDescent="0.25">
      <c r="A10" s="77"/>
      <c r="B10" s="178">
        <f t="shared" ref="B10:B52" si="2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3">D10</f>
        <v>210.96</v>
      </c>
      <c r="G10" s="619" t="s">
        <v>233</v>
      </c>
      <c r="H10" s="201">
        <v>148</v>
      </c>
      <c r="I10" s="78">
        <f t="shared" ref="I10:I52" si="4">I9-F10</f>
        <v>809.17</v>
      </c>
      <c r="K10" s="77"/>
      <c r="L10" s="769">
        <f t="shared" ref="L10:L52" si="5">L9-M10</f>
        <v>245</v>
      </c>
      <c r="M10" s="850"/>
      <c r="N10" s="633"/>
      <c r="O10" s="741"/>
      <c r="P10" s="633">
        <f t="shared" si="1"/>
        <v>0</v>
      </c>
      <c r="Q10" s="631"/>
      <c r="R10" s="632"/>
      <c r="S10" s="742">
        <f t="shared" ref="S10:S52" si="6">S9-P10</f>
        <v>5065.3099999999995</v>
      </c>
    </row>
    <row r="11" spans="1:19" x14ac:dyDescent="0.25">
      <c r="A11" s="12"/>
      <c r="B11" s="178">
        <f t="shared" si="2"/>
        <v>38</v>
      </c>
      <c r="C11" s="124">
        <v>2</v>
      </c>
      <c r="D11" s="617">
        <v>41.21</v>
      </c>
      <c r="E11" s="618">
        <v>44945</v>
      </c>
      <c r="F11" s="617">
        <f t="shared" si="3"/>
        <v>41.21</v>
      </c>
      <c r="G11" s="619" t="s">
        <v>238</v>
      </c>
      <c r="H11" s="201">
        <v>148</v>
      </c>
      <c r="I11" s="78">
        <f t="shared" si="4"/>
        <v>767.95999999999992</v>
      </c>
      <c r="K11" s="12"/>
      <c r="L11" s="769">
        <f t="shared" si="5"/>
        <v>245</v>
      </c>
      <c r="M11" s="850"/>
      <c r="N11" s="633"/>
      <c r="O11" s="741"/>
      <c r="P11" s="633">
        <f t="shared" si="1"/>
        <v>0</v>
      </c>
      <c r="Q11" s="631"/>
      <c r="R11" s="632"/>
      <c r="S11" s="742">
        <f t="shared" si="6"/>
        <v>5065.3099999999995</v>
      </c>
    </row>
    <row r="12" spans="1:19" x14ac:dyDescent="0.25">
      <c r="A12" s="55" t="s">
        <v>33</v>
      </c>
      <c r="B12" s="769">
        <f t="shared" si="2"/>
        <v>35</v>
      </c>
      <c r="C12" s="850">
        <v>3</v>
      </c>
      <c r="D12" s="912">
        <v>64.28</v>
      </c>
      <c r="E12" s="930">
        <v>44947</v>
      </c>
      <c r="F12" s="912">
        <f t="shared" si="3"/>
        <v>64.28</v>
      </c>
      <c r="G12" s="914" t="s">
        <v>239</v>
      </c>
      <c r="H12" s="663">
        <v>148</v>
      </c>
      <c r="I12" s="742">
        <f t="shared" si="4"/>
        <v>703.68</v>
      </c>
      <c r="K12" s="55" t="s">
        <v>33</v>
      </c>
      <c r="L12" s="769">
        <f t="shared" si="5"/>
        <v>245</v>
      </c>
      <c r="M12" s="850"/>
      <c r="N12" s="633"/>
      <c r="O12" s="741"/>
      <c r="P12" s="633">
        <f t="shared" si="1"/>
        <v>0</v>
      </c>
      <c r="Q12" s="631"/>
      <c r="R12" s="632"/>
      <c r="S12" s="742">
        <f t="shared" si="6"/>
        <v>5065.3099999999995</v>
      </c>
    </row>
    <row r="13" spans="1:19" x14ac:dyDescent="0.25">
      <c r="A13" s="77"/>
      <c r="B13" s="719">
        <f t="shared" si="2"/>
        <v>34</v>
      </c>
      <c r="C13" s="850">
        <v>1</v>
      </c>
      <c r="D13" s="912">
        <v>20.170000000000002</v>
      </c>
      <c r="E13" s="930">
        <v>44951</v>
      </c>
      <c r="F13" s="912">
        <f t="shared" si="3"/>
        <v>20.170000000000002</v>
      </c>
      <c r="G13" s="914" t="s">
        <v>264</v>
      </c>
      <c r="H13" s="663">
        <v>148</v>
      </c>
      <c r="I13" s="722">
        <f t="shared" si="4"/>
        <v>683.51</v>
      </c>
      <c r="K13" s="77"/>
      <c r="L13" s="769">
        <f t="shared" si="5"/>
        <v>245</v>
      </c>
      <c r="M13" s="850"/>
      <c r="N13" s="633"/>
      <c r="O13" s="741"/>
      <c r="P13" s="633">
        <f t="shared" si="1"/>
        <v>0</v>
      </c>
      <c r="Q13" s="631"/>
      <c r="R13" s="632"/>
      <c r="S13" s="742">
        <f t="shared" si="6"/>
        <v>5065.3099999999995</v>
      </c>
    </row>
    <row r="14" spans="1:19" x14ac:dyDescent="0.25">
      <c r="A14" s="12"/>
      <c r="B14" s="178">
        <f t="shared" si="2"/>
        <v>31</v>
      </c>
      <c r="C14" s="124">
        <v>3</v>
      </c>
      <c r="D14" s="1110">
        <v>60.94</v>
      </c>
      <c r="E14" s="1124">
        <v>44959</v>
      </c>
      <c r="F14" s="1110">
        <f t="shared" si="3"/>
        <v>60.94</v>
      </c>
      <c r="G14" s="580" t="s">
        <v>500</v>
      </c>
      <c r="H14" s="372">
        <v>148</v>
      </c>
      <c r="I14" s="78">
        <f t="shared" si="4"/>
        <v>622.56999999999994</v>
      </c>
      <c r="K14" s="12"/>
      <c r="L14" s="769">
        <f t="shared" si="5"/>
        <v>245</v>
      </c>
      <c r="M14" s="850"/>
      <c r="N14" s="633"/>
      <c r="O14" s="741"/>
      <c r="P14" s="633">
        <f t="shared" si="1"/>
        <v>0</v>
      </c>
      <c r="Q14" s="631"/>
      <c r="R14" s="632"/>
      <c r="S14" s="742">
        <f t="shared" si="6"/>
        <v>5065.3099999999995</v>
      </c>
    </row>
    <row r="15" spans="1:19" x14ac:dyDescent="0.25">
      <c r="B15" s="178">
        <f t="shared" si="2"/>
        <v>26</v>
      </c>
      <c r="C15" s="124">
        <v>5</v>
      </c>
      <c r="D15" s="1110">
        <v>103.2</v>
      </c>
      <c r="E15" s="1124">
        <v>44959</v>
      </c>
      <c r="F15" s="1110">
        <f t="shared" si="3"/>
        <v>103.2</v>
      </c>
      <c r="G15" s="580" t="s">
        <v>509</v>
      </c>
      <c r="H15" s="372">
        <v>148</v>
      </c>
      <c r="I15" s="78">
        <f t="shared" si="4"/>
        <v>519.36999999999989</v>
      </c>
      <c r="L15" s="769">
        <f t="shared" si="5"/>
        <v>245</v>
      </c>
      <c r="M15" s="850"/>
      <c r="N15" s="633"/>
      <c r="O15" s="741"/>
      <c r="P15" s="633">
        <f t="shared" si="1"/>
        <v>0</v>
      </c>
      <c r="Q15" s="631"/>
      <c r="R15" s="632"/>
      <c r="S15" s="742">
        <f t="shared" si="6"/>
        <v>5065.3099999999995</v>
      </c>
    </row>
    <row r="16" spans="1:19" x14ac:dyDescent="0.25">
      <c r="B16" s="178">
        <f t="shared" si="2"/>
        <v>24</v>
      </c>
      <c r="C16" s="124">
        <v>2</v>
      </c>
      <c r="D16" s="1110">
        <v>40.89</v>
      </c>
      <c r="E16" s="1124">
        <v>44960</v>
      </c>
      <c r="F16" s="1110">
        <f t="shared" si="3"/>
        <v>40.89</v>
      </c>
      <c r="G16" s="580" t="s">
        <v>514</v>
      </c>
      <c r="H16" s="372">
        <v>148</v>
      </c>
      <c r="I16" s="78">
        <f t="shared" si="4"/>
        <v>478.4799999999999</v>
      </c>
      <c r="L16" s="769">
        <f t="shared" si="5"/>
        <v>245</v>
      </c>
      <c r="M16" s="850"/>
      <c r="N16" s="633"/>
      <c r="O16" s="741"/>
      <c r="P16" s="633">
        <f t="shared" si="1"/>
        <v>0</v>
      </c>
      <c r="Q16" s="631"/>
      <c r="R16" s="632"/>
      <c r="S16" s="742">
        <f t="shared" si="6"/>
        <v>5065.3099999999995</v>
      </c>
    </row>
    <row r="17" spans="2:19" x14ac:dyDescent="0.25">
      <c r="B17" s="178">
        <f t="shared" si="2"/>
        <v>14</v>
      </c>
      <c r="C17" s="124">
        <v>10</v>
      </c>
      <c r="D17" s="1110">
        <v>200.78</v>
      </c>
      <c r="E17" s="1124">
        <v>44961</v>
      </c>
      <c r="F17" s="1110">
        <f t="shared" si="3"/>
        <v>200.78</v>
      </c>
      <c r="G17" s="580" t="s">
        <v>516</v>
      </c>
      <c r="H17" s="372">
        <v>148</v>
      </c>
      <c r="I17" s="78">
        <f t="shared" si="4"/>
        <v>277.69999999999993</v>
      </c>
      <c r="L17" s="769">
        <f t="shared" si="5"/>
        <v>245</v>
      </c>
      <c r="M17" s="850"/>
      <c r="N17" s="633"/>
      <c r="O17" s="741"/>
      <c r="P17" s="633">
        <f t="shared" si="1"/>
        <v>0</v>
      </c>
      <c r="Q17" s="631"/>
      <c r="R17" s="632"/>
      <c r="S17" s="742">
        <f t="shared" si="6"/>
        <v>5065.3099999999995</v>
      </c>
    </row>
    <row r="18" spans="2:19" x14ac:dyDescent="0.25">
      <c r="B18" s="178">
        <f t="shared" si="2"/>
        <v>11</v>
      </c>
      <c r="C18" s="124">
        <v>3</v>
      </c>
      <c r="D18" s="1110">
        <v>57.93</v>
      </c>
      <c r="E18" s="1124">
        <v>44961</v>
      </c>
      <c r="F18" s="1110">
        <f t="shared" si="3"/>
        <v>57.93</v>
      </c>
      <c r="G18" s="580" t="s">
        <v>518</v>
      </c>
      <c r="H18" s="372">
        <v>148</v>
      </c>
      <c r="I18" s="78">
        <f t="shared" si="4"/>
        <v>219.76999999999992</v>
      </c>
      <c r="L18" s="769">
        <f t="shared" si="5"/>
        <v>245</v>
      </c>
      <c r="M18" s="850"/>
      <c r="N18" s="633"/>
      <c r="O18" s="741"/>
      <c r="P18" s="633">
        <f t="shared" si="1"/>
        <v>0</v>
      </c>
      <c r="Q18" s="631"/>
      <c r="R18" s="632"/>
      <c r="S18" s="742">
        <f t="shared" si="6"/>
        <v>5065.3099999999995</v>
      </c>
    </row>
    <row r="19" spans="2:19" x14ac:dyDescent="0.25">
      <c r="B19" s="178">
        <f t="shared" si="2"/>
        <v>1</v>
      </c>
      <c r="C19" s="124">
        <v>10</v>
      </c>
      <c r="D19" s="1110">
        <v>202.62</v>
      </c>
      <c r="E19" s="1124">
        <v>44963</v>
      </c>
      <c r="F19" s="1110">
        <f t="shared" si="3"/>
        <v>202.62</v>
      </c>
      <c r="G19" s="580" t="s">
        <v>527</v>
      </c>
      <c r="H19" s="372">
        <v>148</v>
      </c>
      <c r="I19" s="78">
        <f t="shared" si="4"/>
        <v>17.14999999999992</v>
      </c>
      <c r="L19" s="769">
        <f t="shared" si="5"/>
        <v>245</v>
      </c>
      <c r="M19" s="850"/>
      <c r="N19" s="633"/>
      <c r="O19" s="741"/>
      <c r="P19" s="633">
        <f t="shared" si="1"/>
        <v>0</v>
      </c>
      <c r="Q19" s="631"/>
      <c r="R19" s="632"/>
      <c r="S19" s="742">
        <f t="shared" si="6"/>
        <v>5065.3099999999995</v>
      </c>
    </row>
    <row r="20" spans="2:19" x14ac:dyDescent="0.25">
      <c r="B20" s="178">
        <f t="shared" si="2"/>
        <v>0</v>
      </c>
      <c r="C20" s="124">
        <v>1</v>
      </c>
      <c r="D20" s="1110">
        <v>18.440000000000001</v>
      </c>
      <c r="E20" s="1124">
        <v>44974</v>
      </c>
      <c r="F20" s="1110">
        <f t="shared" si="3"/>
        <v>18.440000000000001</v>
      </c>
      <c r="G20" s="580" t="s">
        <v>457</v>
      </c>
      <c r="H20" s="372">
        <v>148</v>
      </c>
      <c r="I20" s="78">
        <f t="shared" si="4"/>
        <v>-1.2900000000000809</v>
      </c>
      <c r="L20" s="769">
        <f t="shared" si="5"/>
        <v>245</v>
      </c>
      <c r="M20" s="850"/>
      <c r="N20" s="633"/>
      <c r="O20" s="741"/>
      <c r="P20" s="633">
        <f t="shared" si="1"/>
        <v>0</v>
      </c>
      <c r="Q20" s="631"/>
      <c r="R20" s="632"/>
      <c r="S20" s="742">
        <f t="shared" si="6"/>
        <v>5065.3099999999995</v>
      </c>
    </row>
    <row r="21" spans="2:19" x14ac:dyDescent="0.25">
      <c r="B21" s="178">
        <f t="shared" si="2"/>
        <v>0</v>
      </c>
      <c r="C21" s="124"/>
      <c r="D21" s="1110"/>
      <c r="E21" s="1124"/>
      <c r="F21" s="1110">
        <f t="shared" si="3"/>
        <v>0</v>
      </c>
      <c r="G21" s="580"/>
      <c r="H21" s="372"/>
      <c r="I21" s="78">
        <f t="shared" si="4"/>
        <v>-1.2900000000000809</v>
      </c>
      <c r="L21" s="769">
        <f t="shared" si="5"/>
        <v>245</v>
      </c>
      <c r="M21" s="850"/>
      <c r="N21" s="633"/>
      <c r="O21" s="741"/>
      <c r="P21" s="633">
        <f t="shared" si="1"/>
        <v>0</v>
      </c>
      <c r="Q21" s="631"/>
      <c r="R21" s="632"/>
      <c r="S21" s="742">
        <f t="shared" si="6"/>
        <v>5065.3099999999995</v>
      </c>
    </row>
    <row r="22" spans="2:19" x14ac:dyDescent="0.25">
      <c r="B22" s="178">
        <f t="shared" si="2"/>
        <v>0</v>
      </c>
      <c r="C22" s="124"/>
      <c r="D22" s="1110"/>
      <c r="E22" s="1124"/>
      <c r="F22" s="1152">
        <f t="shared" si="3"/>
        <v>0</v>
      </c>
      <c r="G22" s="1153"/>
      <c r="H22" s="1154"/>
      <c r="I22" s="1155">
        <f t="shared" si="4"/>
        <v>-1.2900000000000809</v>
      </c>
      <c r="L22" s="769">
        <f t="shared" si="5"/>
        <v>245</v>
      </c>
      <c r="M22" s="850"/>
      <c r="N22" s="633"/>
      <c r="O22" s="741"/>
      <c r="P22" s="633">
        <f t="shared" si="1"/>
        <v>0</v>
      </c>
      <c r="Q22" s="631"/>
      <c r="R22" s="632"/>
      <c r="S22" s="742">
        <f t="shared" si="6"/>
        <v>5065.3099999999995</v>
      </c>
    </row>
    <row r="23" spans="2:19" x14ac:dyDescent="0.25">
      <c r="B23" s="178">
        <f t="shared" si="2"/>
        <v>0</v>
      </c>
      <c r="C23" s="124"/>
      <c r="D23" s="1110"/>
      <c r="E23" s="1124"/>
      <c r="F23" s="1152">
        <f t="shared" si="3"/>
        <v>0</v>
      </c>
      <c r="G23" s="1153"/>
      <c r="H23" s="1154"/>
      <c r="I23" s="1155">
        <f t="shared" si="4"/>
        <v>-1.2900000000000809</v>
      </c>
      <c r="L23" s="769">
        <f t="shared" si="5"/>
        <v>245</v>
      </c>
      <c r="M23" s="850"/>
      <c r="N23" s="633"/>
      <c r="O23" s="741"/>
      <c r="P23" s="633">
        <f t="shared" si="1"/>
        <v>0</v>
      </c>
      <c r="Q23" s="631"/>
      <c r="R23" s="632"/>
      <c r="S23" s="742">
        <f t="shared" si="6"/>
        <v>5065.3099999999995</v>
      </c>
    </row>
    <row r="24" spans="2:19" x14ac:dyDescent="0.25">
      <c r="B24" s="178">
        <f t="shared" si="2"/>
        <v>0</v>
      </c>
      <c r="C24" s="124"/>
      <c r="D24" s="1110"/>
      <c r="E24" s="1124"/>
      <c r="F24" s="1152">
        <f t="shared" si="3"/>
        <v>0</v>
      </c>
      <c r="G24" s="1153"/>
      <c r="H24" s="1154"/>
      <c r="I24" s="1155">
        <f t="shared" si="4"/>
        <v>-1.2900000000000809</v>
      </c>
      <c r="L24" s="769">
        <f t="shared" si="5"/>
        <v>245</v>
      </c>
      <c r="M24" s="850"/>
      <c r="N24" s="633"/>
      <c r="O24" s="741"/>
      <c r="P24" s="633">
        <f t="shared" si="1"/>
        <v>0</v>
      </c>
      <c r="Q24" s="631"/>
      <c r="R24" s="632"/>
      <c r="S24" s="742">
        <f t="shared" si="6"/>
        <v>5065.3099999999995</v>
      </c>
    </row>
    <row r="25" spans="2:19" x14ac:dyDescent="0.25">
      <c r="B25" s="178">
        <f t="shared" si="2"/>
        <v>0</v>
      </c>
      <c r="C25" s="124"/>
      <c r="D25" s="1110"/>
      <c r="E25" s="1124"/>
      <c r="F25" s="1110">
        <f t="shared" si="3"/>
        <v>0</v>
      </c>
      <c r="G25" s="580"/>
      <c r="H25" s="372"/>
      <c r="I25" s="78">
        <f t="shared" si="4"/>
        <v>-1.2900000000000809</v>
      </c>
      <c r="L25" s="769">
        <f t="shared" si="5"/>
        <v>245</v>
      </c>
      <c r="M25" s="850"/>
      <c r="N25" s="633"/>
      <c r="O25" s="741"/>
      <c r="P25" s="633">
        <f t="shared" si="1"/>
        <v>0</v>
      </c>
      <c r="Q25" s="631"/>
      <c r="R25" s="632"/>
      <c r="S25" s="742">
        <f t="shared" si="6"/>
        <v>5065.3099999999995</v>
      </c>
    </row>
    <row r="26" spans="2:19" x14ac:dyDescent="0.25">
      <c r="B26" s="178">
        <f t="shared" si="2"/>
        <v>0</v>
      </c>
      <c r="C26" s="124"/>
      <c r="D26" s="1110"/>
      <c r="E26" s="1124"/>
      <c r="F26" s="1110">
        <f t="shared" si="3"/>
        <v>0</v>
      </c>
      <c r="G26" s="580"/>
      <c r="H26" s="372"/>
      <c r="I26" s="78">
        <f t="shared" si="4"/>
        <v>-1.2900000000000809</v>
      </c>
      <c r="L26" s="769">
        <f t="shared" si="5"/>
        <v>245</v>
      </c>
      <c r="M26" s="850"/>
      <c r="N26" s="633"/>
      <c r="O26" s="741"/>
      <c r="P26" s="633">
        <f t="shared" si="1"/>
        <v>0</v>
      </c>
      <c r="Q26" s="631"/>
      <c r="R26" s="632"/>
      <c r="S26" s="742">
        <f t="shared" si="6"/>
        <v>5065.3099999999995</v>
      </c>
    </row>
    <row r="27" spans="2:19" x14ac:dyDescent="0.25">
      <c r="B27" s="178">
        <f t="shared" si="2"/>
        <v>0</v>
      </c>
      <c r="C27" s="124"/>
      <c r="D27" s="617"/>
      <c r="E27" s="618"/>
      <c r="F27" s="617">
        <f t="shared" si="3"/>
        <v>0</v>
      </c>
      <c r="G27" s="619"/>
      <c r="H27" s="201"/>
      <c r="I27" s="78">
        <f t="shared" si="4"/>
        <v>-1.2900000000000809</v>
      </c>
      <c r="L27" s="769">
        <f t="shared" si="5"/>
        <v>245</v>
      </c>
      <c r="M27" s="850"/>
      <c r="N27" s="633"/>
      <c r="O27" s="741"/>
      <c r="P27" s="633">
        <f t="shared" si="1"/>
        <v>0</v>
      </c>
      <c r="Q27" s="631"/>
      <c r="R27" s="632"/>
      <c r="S27" s="742">
        <f t="shared" si="6"/>
        <v>5065.3099999999995</v>
      </c>
    </row>
    <row r="28" spans="2:19" x14ac:dyDescent="0.25">
      <c r="B28" s="178">
        <f t="shared" si="2"/>
        <v>0</v>
      </c>
      <c r="C28" s="124"/>
      <c r="D28" s="617"/>
      <c r="E28" s="618"/>
      <c r="F28" s="617">
        <f t="shared" si="3"/>
        <v>0</v>
      </c>
      <c r="G28" s="619"/>
      <c r="H28" s="201"/>
      <c r="I28" s="78">
        <f t="shared" si="4"/>
        <v>-1.2900000000000809</v>
      </c>
      <c r="L28" s="769">
        <f t="shared" si="5"/>
        <v>245</v>
      </c>
      <c r="M28" s="850"/>
      <c r="N28" s="633"/>
      <c r="O28" s="741"/>
      <c r="P28" s="633">
        <f t="shared" si="1"/>
        <v>0</v>
      </c>
      <c r="Q28" s="631"/>
      <c r="R28" s="632"/>
      <c r="S28" s="742">
        <f t="shared" si="6"/>
        <v>5065.3099999999995</v>
      </c>
    </row>
    <row r="29" spans="2:19" x14ac:dyDescent="0.25">
      <c r="B29" s="178">
        <f t="shared" si="2"/>
        <v>0</v>
      </c>
      <c r="C29" s="124"/>
      <c r="D29" s="617"/>
      <c r="E29" s="618"/>
      <c r="F29" s="617">
        <f t="shared" si="3"/>
        <v>0</v>
      </c>
      <c r="G29" s="619"/>
      <c r="H29" s="201"/>
      <c r="I29" s="78">
        <f t="shared" si="4"/>
        <v>-1.2900000000000809</v>
      </c>
      <c r="L29" s="769">
        <f t="shared" si="5"/>
        <v>245</v>
      </c>
      <c r="M29" s="850"/>
      <c r="N29" s="633"/>
      <c r="O29" s="741"/>
      <c r="P29" s="633">
        <f t="shared" si="1"/>
        <v>0</v>
      </c>
      <c r="Q29" s="631"/>
      <c r="R29" s="632"/>
      <c r="S29" s="742">
        <f t="shared" si="6"/>
        <v>5065.3099999999995</v>
      </c>
    </row>
    <row r="30" spans="2:19" x14ac:dyDescent="0.25">
      <c r="B30" s="178">
        <f t="shared" si="2"/>
        <v>0</v>
      </c>
      <c r="C30" s="124"/>
      <c r="D30" s="617"/>
      <c r="E30" s="618"/>
      <c r="F30" s="617">
        <f t="shared" si="3"/>
        <v>0</v>
      </c>
      <c r="G30" s="619"/>
      <c r="H30" s="201"/>
      <c r="I30" s="78">
        <f t="shared" si="4"/>
        <v>-1.2900000000000809</v>
      </c>
      <c r="L30" s="769">
        <f t="shared" si="5"/>
        <v>245</v>
      </c>
      <c r="M30" s="850"/>
      <c r="N30" s="633"/>
      <c r="O30" s="741"/>
      <c r="P30" s="633">
        <f t="shared" si="1"/>
        <v>0</v>
      </c>
      <c r="Q30" s="631"/>
      <c r="R30" s="632"/>
      <c r="S30" s="742">
        <f t="shared" si="6"/>
        <v>5065.3099999999995</v>
      </c>
    </row>
    <row r="31" spans="2:19" x14ac:dyDescent="0.25">
      <c r="B31" s="178">
        <f t="shared" si="2"/>
        <v>0</v>
      </c>
      <c r="C31" s="73"/>
      <c r="D31" s="617"/>
      <c r="E31" s="618"/>
      <c r="F31" s="617">
        <f t="shared" si="3"/>
        <v>0</v>
      </c>
      <c r="G31" s="619"/>
      <c r="H31" s="201"/>
      <c r="I31" s="78">
        <f t="shared" si="4"/>
        <v>-1.2900000000000809</v>
      </c>
      <c r="L31" s="769">
        <f t="shared" si="5"/>
        <v>245</v>
      </c>
      <c r="M31" s="645"/>
      <c r="N31" s="633"/>
      <c r="O31" s="741"/>
      <c r="P31" s="633">
        <f t="shared" si="1"/>
        <v>0</v>
      </c>
      <c r="Q31" s="631"/>
      <c r="R31" s="632"/>
      <c r="S31" s="742">
        <f t="shared" si="6"/>
        <v>5065.3099999999995</v>
      </c>
    </row>
    <row r="32" spans="2:19" x14ac:dyDescent="0.25">
      <c r="B32" s="178">
        <f t="shared" si="2"/>
        <v>0</v>
      </c>
      <c r="C32" s="73"/>
      <c r="D32" s="69"/>
      <c r="E32" s="239"/>
      <c r="F32" s="69">
        <f t="shared" si="3"/>
        <v>0</v>
      </c>
      <c r="G32" s="70"/>
      <c r="H32" s="71"/>
      <c r="I32" s="78">
        <f t="shared" si="4"/>
        <v>-1.2900000000000809</v>
      </c>
      <c r="L32" s="769">
        <f t="shared" si="5"/>
        <v>245</v>
      </c>
      <c r="M32" s="645"/>
      <c r="N32" s="633"/>
      <c r="O32" s="741"/>
      <c r="P32" s="633">
        <f t="shared" si="1"/>
        <v>0</v>
      </c>
      <c r="Q32" s="631"/>
      <c r="R32" s="632"/>
      <c r="S32" s="742">
        <f t="shared" si="6"/>
        <v>5065.3099999999995</v>
      </c>
    </row>
    <row r="33" spans="2:19" x14ac:dyDescent="0.25">
      <c r="B33" s="178">
        <f t="shared" si="2"/>
        <v>0</v>
      </c>
      <c r="C33" s="73"/>
      <c r="D33" s="69"/>
      <c r="E33" s="239"/>
      <c r="F33" s="69">
        <f t="shared" si="3"/>
        <v>0</v>
      </c>
      <c r="G33" s="70"/>
      <c r="H33" s="71"/>
      <c r="I33" s="78">
        <f t="shared" si="4"/>
        <v>-1.2900000000000809</v>
      </c>
      <c r="L33" s="769">
        <f t="shared" si="5"/>
        <v>245</v>
      </c>
      <c r="M33" s="645"/>
      <c r="N33" s="633"/>
      <c r="O33" s="741"/>
      <c r="P33" s="633">
        <f t="shared" si="1"/>
        <v>0</v>
      </c>
      <c r="Q33" s="631"/>
      <c r="R33" s="632"/>
      <c r="S33" s="742">
        <f t="shared" si="6"/>
        <v>5065.3099999999995</v>
      </c>
    </row>
    <row r="34" spans="2:19" x14ac:dyDescent="0.25">
      <c r="B34" s="178">
        <f t="shared" si="2"/>
        <v>0</v>
      </c>
      <c r="C34" s="73"/>
      <c r="D34" s="69"/>
      <c r="E34" s="239"/>
      <c r="F34" s="69">
        <f t="shared" si="3"/>
        <v>0</v>
      </c>
      <c r="G34" s="70"/>
      <c r="H34" s="71"/>
      <c r="I34" s="78">
        <f t="shared" si="4"/>
        <v>-1.2900000000000809</v>
      </c>
      <c r="L34" s="769">
        <f t="shared" si="5"/>
        <v>245</v>
      </c>
      <c r="M34" s="645"/>
      <c r="N34" s="633"/>
      <c r="O34" s="741"/>
      <c r="P34" s="633">
        <f t="shared" si="1"/>
        <v>0</v>
      </c>
      <c r="Q34" s="631"/>
      <c r="R34" s="632"/>
      <c r="S34" s="742">
        <f t="shared" si="6"/>
        <v>5065.3099999999995</v>
      </c>
    </row>
    <row r="35" spans="2:19" x14ac:dyDescent="0.25">
      <c r="B35" s="178">
        <f t="shared" si="2"/>
        <v>0</v>
      </c>
      <c r="C35" s="73"/>
      <c r="D35" s="69"/>
      <c r="E35" s="239"/>
      <c r="F35" s="69">
        <f t="shared" si="3"/>
        <v>0</v>
      </c>
      <c r="G35" s="70"/>
      <c r="H35" s="71"/>
      <c r="I35" s="78">
        <f t="shared" si="4"/>
        <v>-1.2900000000000809</v>
      </c>
      <c r="L35" s="769">
        <f t="shared" si="5"/>
        <v>245</v>
      </c>
      <c r="M35" s="645"/>
      <c r="N35" s="633"/>
      <c r="O35" s="741"/>
      <c r="P35" s="633">
        <f t="shared" si="1"/>
        <v>0</v>
      </c>
      <c r="Q35" s="631"/>
      <c r="R35" s="632"/>
      <c r="S35" s="742">
        <f t="shared" si="6"/>
        <v>5065.3099999999995</v>
      </c>
    </row>
    <row r="36" spans="2:19" x14ac:dyDescent="0.25">
      <c r="B36" s="178">
        <f t="shared" si="2"/>
        <v>0</v>
      </c>
      <c r="C36" s="73"/>
      <c r="D36" s="69"/>
      <c r="E36" s="239"/>
      <c r="F36" s="69">
        <f t="shared" si="3"/>
        <v>0</v>
      </c>
      <c r="G36" s="70"/>
      <c r="H36" s="71"/>
      <c r="I36" s="78">
        <f t="shared" si="4"/>
        <v>-1.2900000000000809</v>
      </c>
      <c r="L36" s="769">
        <f t="shared" si="5"/>
        <v>245</v>
      </c>
      <c r="M36" s="645"/>
      <c r="N36" s="633"/>
      <c r="O36" s="741"/>
      <c r="P36" s="633">
        <f t="shared" si="1"/>
        <v>0</v>
      </c>
      <c r="Q36" s="631"/>
      <c r="R36" s="632"/>
      <c r="S36" s="742">
        <f t="shared" si="6"/>
        <v>5065.3099999999995</v>
      </c>
    </row>
    <row r="37" spans="2:19" x14ac:dyDescent="0.25">
      <c r="B37" s="178">
        <f t="shared" si="2"/>
        <v>0</v>
      </c>
      <c r="C37" s="73"/>
      <c r="D37" s="69"/>
      <c r="E37" s="239"/>
      <c r="F37" s="69">
        <f t="shared" si="3"/>
        <v>0</v>
      </c>
      <c r="G37" s="70"/>
      <c r="H37" s="71"/>
      <c r="I37" s="78">
        <f t="shared" si="4"/>
        <v>-1.2900000000000809</v>
      </c>
      <c r="L37" s="769">
        <f t="shared" si="5"/>
        <v>245</v>
      </c>
      <c r="M37" s="645"/>
      <c r="N37" s="633"/>
      <c r="O37" s="741"/>
      <c r="P37" s="633">
        <f t="shared" si="1"/>
        <v>0</v>
      </c>
      <c r="Q37" s="631"/>
      <c r="R37" s="632"/>
      <c r="S37" s="742">
        <f t="shared" si="6"/>
        <v>5065.3099999999995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3"/>
        <v>0</v>
      </c>
      <c r="G38" s="70"/>
      <c r="H38" s="71"/>
      <c r="I38" s="78">
        <f t="shared" si="4"/>
        <v>-1.2900000000000809</v>
      </c>
      <c r="L38" s="769">
        <f t="shared" si="5"/>
        <v>245</v>
      </c>
      <c r="M38" s="714"/>
      <c r="N38" s="633"/>
      <c r="O38" s="741"/>
      <c r="P38" s="633">
        <f t="shared" si="1"/>
        <v>0</v>
      </c>
      <c r="Q38" s="631"/>
      <c r="R38" s="632"/>
      <c r="S38" s="742">
        <f t="shared" si="6"/>
        <v>5065.3099999999995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3"/>
        <v>0</v>
      </c>
      <c r="G39" s="70"/>
      <c r="H39" s="71"/>
      <c r="I39" s="78">
        <f t="shared" si="4"/>
        <v>-1.2900000000000809</v>
      </c>
      <c r="L39" s="769">
        <f t="shared" si="5"/>
        <v>245</v>
      </c>
      <c r="M39" s="714"/>
      <c r="N39" s="633"/>
      <c r="O39" s="741"/>
      <c r="P39" s="633">
        <f t="shared" si="1"/>
        <v>0</v>
      </c>
      <c r="Q39" s="631"/>
      <c r="R39" s="632"/>
      <c r="S39" s="742">
        <f t="shared" si="6"/>
        <v>5065.3099999999995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3"/>
        <v>0</v>
      </c>
      <c r="G40" s="70"/>
      <c r="H40" s="71"/>
      <c r="I40" s="78">
        <f t="shared" si="4"/>
        <v>-1.2900000000000809</v>
      </c>
      <c r="L40" s="769">
        <f t="shared" si="5"/>
        <v>245</v>
      </c>
      <c r="M40" s="714"/>
      <c r="N40" s="633"/>
      <c r="O40" s="741"/>
      <c r="P40" s="633">
        <f t="shared" si="1"/>
        <v>0</v>
      </c>
      <c r="Q40" s="631"/>
      <c r="R40" s="632"/>
      <c r="S40" s="742">
        <f t="shared" si="6"/>
        <v>5065.3099999999995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3"/>
        <v>0</v>
      </c>
      <c r="G41" s="70"/>
      <c r="H41" s="71"/>
      <c r="I41" s="78">
        <f t="shared" si="4"/>
        <v>-1.2900000000000809</v>
      </c>
      <c r="L41" s="178">
        <f t="shared" si="5"/>
        <v>245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6"/>
        <v>5065.3099999999995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3"/>
        <v>0</v>
      </c>
      <c r="G42" s="70"/>
      <c r="H42" s="71"/>
      <c r="I42" s="78">
        <f t="shared" si="4"/>
        <v>-1.2900000000000809</v>
      </c>
      <c r="L42" s="178">
        <f t="shared" si="5"/>
        <v>245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6"/>
        <v>5065.3099999999995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3"/>
        <v>0</v>
      </c>
      <c r="G43" s="70"/>
      <c r="H43" s="71"/>
      <c r="I43" s="78">
        <f t="shared" si="4"/>
        <v>-1.2900000000000809</v>
      </c>
      <c r="L43" s="178">
        <f t="shared" si="5"/>
        <v>245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6"/>
        <v>5065.3099999999995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3"/>
        <v>0</v>
      </c>
      <c r="G44" s="70"/>
      <c r="H44" s="71"/>
      <c r="I44" s="78">
        <f t="shared" si="4"/>
        <v>-1.2900000000000809</v>
      </c>
      <c r="L44" s="178">
        <f t="shared" si="5"/>
        <v>245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6"/>
        <v>5065.3099999999995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3"/>
        <v>0</v>
      </c>
      <c r="G45" s="70"/>
      <c r="H45" s="71"/>
      <c r="I45" s="78">
        <f t="shared" si="4"/>
        <v>-1.2900000000000809</v>
      </c>
      <c r="L45" s="178">
        <f t="shared" si="5"/>
        <v>245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6"/>
        <v>5065.3099999999995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3"/>
        <v>0</v>
      </c>
      <c r="G46" s="70"/>
      <c r="H46" s="71"/>
      <c r="I46" s="78">
        <f t="shared" si="4"/>
        <v>-1.2900000000000809</v>
      </c>
      <c r="L46" s="178">
        <f t="shared" si="5"/>
        <v>245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6"/>
        <v>5065.3099999999995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3"/>
        <v>0</v>
      </c>
      <c r="G47" s="70"/>
      <c r="H47" s="71"/>
      <c r="I47" s="78">
        <f t="shared" si="4"/>
        <v>-1.2900000000000809</v>
      </c>
      <c r="L47" s="178">
        <f t="shared" si="5"/>
        <v>245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6"/>
        <v>5065.3099999999995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3"/>
        <v>0</v>
      </c>
      <c r="G48" s="70"/>
      <c r="H48" s="71"/>
      <c r="I48" s="78">
        <f t="shared" si="4"/>
        <v>-1.2900000000000809</v>
      </c>
      <c r="L48" s="178">
        <f t="shared" si="5"/>
        <v>245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6"/>
        <v>5065.3099999999995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3"/>
        <v>0</v>
      </c>
      <c r="G49" s="70"/>
      <c r="H49" s="71"/>
      <c r="I49" s="78">
        <f t="shared" si="4"/>
        <v>-1.2900000000000809</v>
      </c>
      <c r="L49" s="178">
        <f t="shared" si="5"/>
        <v>245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6"/>
        <v>5065.3099999999995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3"/>
        <v>0</v>
      </c>
      <c r="G50" s="70"/>
      <c r="H50" s="71"/>
      <c r="I50" s="78">
        <f t="shared" si="4"/>
        <v>-1.2900000000000809</v>
      </c>
      <c r="L50" s="178">
        <f t="shared" si="5"/>
        <v>245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6"/>
        <v>5065.3099999999995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3"/>
        <v>0</v>
      </c>
      <c r="G51" s="70"/>
      <c r="H51" s="71"/>
      <c r="I51" s="78">
        <f t="shared" si="4"/>
        <v>-1.2900000000000809</v>
      </c>
      <c r="L51" s="178">
        <f t="shared" si="5"/>
        <v>245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6"/>
        <v>5065.3099999999995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3"/>
        <v>0</v>
      </c>
      <c r="G52" s="70"/>
      <c r="H52" s="71"/>
      <c r="I52" s="78">
        <f t="shared" si="4"/>
        <v>-1.2900000000000809</v>
      </c>
      <c r="L52" s="178">
        <f t="shared" si="5"/>
        <v>245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6"/>
        <v>5065.3099999999995</v>
      </c>
    </row>
    <row r="53" spans="2:19" x14ac:dyDescent="0.25">
      <c r="B53" s="178"/>
      <c r="C53" s="15"/>
      <c r="D53" s="69"/>
      <c r="E53" s="239"/>
      <c r="F53" s="69"/>
      <c r="G53" s="70"/>
      <c r="H53" s="71"/>
      <c r="I53" s="78"/>
      <c r="L53" s="178"/>
      <c r="M53" s="15"/>
      <c r="N53" s="69"/>
      <c r="O53" s="239"/>
      <c r="P53" s="69"/>
      <c r="Q53" s="70"/>
      <c r="R53" s="71"/>
      <c r="S53" s="78"/>
    </row>
    <row r="54" spans="2:19" x14ac:dyDescent="0.25">
      <c r="B54" s="178"/>
      <c r="C54" s="15"/>
      <c r="D54" s="69"/>
      <c r="E54" s="239"/>
      <c r="F54" s="69"/>
      <c r="G54" s="70"/>
      <c r="H54" s="71"/>
      <c r="I54" s="78"/>
      <c r="L54" s="178"/>
      <c r="M54" s="15"/>
      <c r="N54" s="69"/>
      <c r="O54" s="239"/>
      <c r="P54" s="69"/>
      <c r="Q54" s="70"/>
      <c r="R54" s="71"/>
      <c r="S54" s="78"/>
    </row>
    <row r="55" spans="2:19" x14ac:dyDescent="0.25">
      <c r="B55" s="178"/>
      <c r="C55" s="15"/>
      <c r="D55" s="69"/>
      <c r="E55" s="239"/>
      <c r="F55" s="69"/>
      <c r="G55" s="70"/>
      <c r="H55" s="71"/>
      <c r="I55" s="78"/>
      <c r="L55" s="178"/>
      <c r="M55" s="15"/>
      <c r="N55" s="69"/>
      <c r="O55" s="239"/>
      <c r="P55" s="69"/>
      <c r="Q55" s="70"/>
      <c r="R55" s="71"/>
      <c r="S55" s="78"/>
    </row>
    <row r="56" spans="2:19" x14ac:dyDescent="0.25">
      <c r="B56" s="178"/>
      <c r="C56" s="15"/>
      <c r="D56" s="69"/>
      <c r="E56" s="239"/>
      <c r="F56" s="69"/>
      <c r="G56" s="70"/>
      <c r="H56" s="71"/>
      <c r="I56" s="78"/>
      <c r="L56" s="178"/>
      <c r="M56" s="15"/>
      <c r="N56" s="69"/>
      <c r="O56" s="239"/>
      <c r="P56" s="69"/>
      <c r="Q56" s="70"/>
      <c r="R56" s="71"/>
      <c r="S56" s="78"/>
    </row>
    <row r="57" spans="2:19" x14ac:dyDescent="0.25">
      <c r="B57" s="178"/>
      <c r="C57" s="15"/>
      <c r="D57" s="69"/>
      <c r="E57" s="239"/>
      <c r="F57" s="69"/>
      <c r="G57" s="70"/>
      <c r="H57" s="71"/>
      <c r="I57" s="78"/>
      <c r="L57" s="178"/>
      <c r="M57" s="15"/>
      <c r="N57" s="69"/>
      <c r="O57" s="239"/>
      <c r="P57" s="69"/>
      <c r="Q57" s="70"/>
      <c r="R57" s="71"/>
      <c r="S57" s="78"/>
    </row>
    <row r="58" spans="2:19" x14ac:dyDescent="0.25">
      <c r="B58" s="178"/>
      <c r="C58" s="15"/>
      <c r="D58" s="69"/>
      <c r="E58" s="239"/>
      <c r="F58" s="69"/>
      <c r="G58" s="70"/>
      <c r="H58" s="71"/>
      <c r="I58" s="78"/>
      <c r="L58" s="178"/>
      <c r="M58" s="15"/>
      <c r="N58" s="69"/>
      <c r="O58" s="239"/>
      <c r="P58" s="69"/>
      <c r="Q58" s="70"/>
      <c r="R58" s="71"/>
      <c r="S58" s="78"/>
    </row>
    <row r="59" spans="2:19" x14ac:dyDescent="0.25">
      <c r="B59" s="178"/>
      <c r="C59" s="15"/>
      <c r="D59" s="69"/>
      <c r="E59" s="239"/>
      <c r="F59" s="69"/>
      <c r="G59" s="70"/>
      <c r="H59" s="71"/>
      <c r="I59" s="78"/>
      <c r="L59" s="178"/>
      <c r="M59" s="15"/>
      <c r="N59" s="69"/>
      <c r="O59" s="239"/>
      <c r="P59" s="69"/>
      <c r="Q59" s="70"/>
      <c r="R59" s="71"/>
      <c r="S59" s="78"/>
    </row>
    <row r="60" spans="2:19" x14ac:dyDescent="0.25">
      <c r="B60" s="178"/>
      <c r="C60" s="15"/>
      <c r="D60" s="69"/>
      <c r="E60" s="239"/>
      <c r="F60" s="69"/>
      <c r="G60" s="70"/>
      <c r="H60" s="71"/>
      <c r="I60" s="78"/>
      <c r="L60" s="178"/>
      <c r="M60" s="15"/>
      <c r="N60" s="69"/>
      <c r="O60" s="239"/>
      <c r="P60" s="69"/>
      <c r="Q60" s="70"/>
      <c r="R60" s="71"/>
      <c r="S60" s="78"/>
    </row>
    <row r="61" spans="2:19" x14ac:dyDescent="0.25">
      <c r="B61" s="178"/>
      <c r="C61" s="15"/>
      <c r="D61" s="69"/>
      <c r="E61" s="239"/>
      <c r="F61" s="69"/>
      <c r="G61" s="70"/>
      <c r="H61" s="71"/>
      <c r="I61" s="78"/>
      <c r="L61" s="178"/>
      <c r="M61" s="15"/>
      <c r="N61" s="69"/>
      <c r="O61" s="239"/>
      <c r="P61" s="69"/>
      <c r="Q61" s="70"/>
      <c r="R61" s="71"/>
      <c r="S61" s="78"/>
    </row>
    <row r="62" spans="2:19" x14ac:dyDescent="0.25">
      <c r="B62" s="178"/>
      <c r="C62" s="15"/>
      <c r="D62" s="69"/>
      <c r="E62" s="239"/>
      <c r="F62" s="69"/>
      <c r="G62" s="70"/>
      <c r="H62" s="71"/>
      <c r="I62" s="78"/>
      <c r="L62" s="178"/>
      <c r="M62" s="15"/>
      <c r="N62" s="69"/>
      <c r="O62" s="239"/>
      <c r="P62" s="69"/>
      <c r="Q62" s="70"/>
      <c r="R62" s="71"/>
      <c r="S62" s="78"/>
    </row>
    <row r="63" spans="2:19" x14ac:dyDescent="0.25">
      <c r="B63" s="178"/>
      <c r="C63" s="15"/>
      <c r="D63" s="69"/>
      <c r="E63" s="239"/>
      <c r="F63" s="69"/>
      <c r="G63" s="70"/>
      <c r="H63" s="71"/>
      <c r="I63" s="78"/>
      <c r="L63" s="178"/>
      <c r="M63" s="15"/>
      <c r="N63" s="69"/>
      <c r="O63" s="239"/>
      <c r="P63" s="69"/>
      <c r="Q63" s="70"/>
      <c r="R63" s="71"/>
      <c r="S63" s="78"/>
    </row>
    <row r="64" spans="2:19" x14ac:dyDescent="0.25">
      <c r="B64" s="178"/>
      <c r="C64" s="15"/>
      <c r="D64" s="69"/>
      <c r="E64" s="239"/>
      <c r="F64" s="69"/>
      <c r="G64" s="70"/>
      <c r="H64" s="71"/>
      <c r="I64" s="78"/>
      <c r="L64" s="178"/>
      <c r="M64" s="15"/>
      <c r="N64" s="69"/>
      <c r="O64" s="239"/>
      <c r="P64" s="69"/>
      <c r="Q64" s="70"/>
      <c r="R64" s="71"/>
      <c r="S64" s="78"/>
    </row>
    <row r="65" spans="2:19" x14ac:dyDescent="0.25">
      <c r="B65" s="178"/>
      <c r="C65" s="15"/>
      <c r="D65" s="69"/>
      <c r="E65" s="239"/>
      <c r="F65" s="69"/>
      <c r="G65" s="70"/>
      <c r="H65" s="71"/>
      <c r="I65" s="78"/>
      <c r="L65" s="178"/>
      <c r="M65" s="15"/>
      <c r="N65" s="69"/>
      <c r="O65" s="239"/>
      <c r="P65" s="69"/>
      <c r="Q65" s="70"/>
      <c r="R65" s="71"/>
      <c r="S65" s="78"/>
    </row>
    <row r="66" spans="2:19" x14ac:dyDescent="0.25">
      <c r="B66" s="178"/>
      <c r="C66" s="15"/>
      <c r="D66" s="69"/>
      <c r="E66" s="239"/>
      <c r="F66" s="69"/>
      <c r="G66" s="70"/>
      <c r="H66" s="71"/>
      <c r="I66" s="78"/>
      <c r="L66" s="178"/>
      <c r="M66" s="15"/>
      <c r="N66" s="69"/>
      <c r="O66" s="239"/>
      <c r="P66" s="69"/>
      <c r="Q66" s="70"/>
      <c r="R66" s="71"/>
      <c r="S66" s="78"/>
    </row>
    <row r="67" spans="2:19" ht="15.75" thickBot="1" x14ac:dyDescent="0.3">
      <c r="B67" s="3"/>
      <c r="C67" s="36"/>
      <c r="D67" s="147"/>
      <c r="E67" s="245"/>
      <c r="F67" s="147">
        <f t="shared" ref="F67" si="7">D67</f>
        <v>0</v>
      </c>
      <c r="G67" s="202"/>
      <c r="H67" s="75"/>
      <c r="I67" s="78">
        <f>I52-F67</f>
        <v>-1.2900000000000809</v>
      </c>
      <c r="L67" s="3"/>
      <c r="M67" s="36"/>
      <c r="N67" s="147"/>
      <c r="O67" s="245"/>
      <c r="P67" s="147">
        <f t="shared" ref="P67" si="8">N67</f>
        <v>0</v>
      </c>
      <c r="Q67" s="202"/>
      <c r="R67" s="75"/>
      <c r="S67" s="78">
        <f>S52-P67</f>
        <v>5065.3099999999995</v>
      </c>
    </row>
    <row r="68" spans="2:19" x14ac:dyDescent="0.25">
      <c r="C68" s="53">
        <f>SUM(C9:C67)</f>
        <v>65</v>
      </c>
      <c r="D68" s="121">
        <f>SUM(D9:D67)</f>
        <v>1331.0500000000002</v>
      </c>
      <c r="E68" s="162"/>
      <c r="F68" s="121">
        <f>SUM(F9:F67)</f>
        <v>1331.0500000000002</v>
      </c>
      <c r="G68" s="156"/>
      <c r="H68" s="156"/>
      <c r="M68" s="53">
        <f>SUM(M9:M67)</f>
        <v>5</v>
      </c>
      <c r="N68" s="121">
        <f>SUM(N9:N67)</f>
        <v>96.02</v>
      </c>
      <c r="O68" s="162"/>
      <c r="P68" s="121">
        <f>SUM(P9:P67)</f>
        <v>96.02</v>
      </c>
      <c r="Q68" s="156"/>
      <c r="R68" s="156"/>
    </row>
    <row r="69" spans="2:19" x14ac:dyDescent="0.25">
      <c r="C69" s="108"/>
      <c r="M69" s="108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245</v>
      </c>
    </row>
    <row r="72" spans="2:19" ht="15.75" thickBot="1" x14ac:dyDescent="0.3">
      <c r="B72" s="122"/>
      <c r="L72" s="122"/>
    </row>
    <row r="73" spans="2:19" ht="15.75" thickBot="1" x14ac:dyDescent="0.3">
      <c r="B73" s="91"/>
      <c r="C73" s="1388" t="s">
        <v>11</v>
      </c>
      <c r="D73" s="1389"/>
      <c r="E73" s="57">
        <f>E5-F68+E4+E6+E7</f>
        <v>-1.2900000000002763</v>
      </c>
      <c r="L73" s="91"/>
      <c r="M73" s="1388" t="s">
        <v>11</v>
      </c>
      <c r="N73" s="1389"/>
      <c r="O73" s="57">
        <f>O5-P68+O4+O6+O7</f>
        <v>5065.3099999999995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86" t="s">
        <v>104</v>
      </c>
      <c r="B1" s="1386"/>
      <c r="C1" s="1386"/>
      <c r="D1" s="1386"/>
      <c r="E1" s="1386"/>
      <c r="F1" s="1386"/>
      <c r="G1" s="138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387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107</v>
      </c>
      <c r="J5" s="614"/>
      <c r="K5" s="614"/>
      <c r="L5" s="614"/>
      <c r="M5" s="614"/>
    </row>
    <row r="6" spans="1:13" x14ac:dyDescent="0.25">
      <c r="A6" s="392" t="s">
        <v>91</v>
      </c>
      <c r="B6" s="1387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100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101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102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88" t="s">
        <v>11</v>
      </c>
      <c r="D83" s="138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395"/>
      <c r="B5" s="1421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95"/>
      <c r="B6" s="1421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388" t="s">
        <v>11</v>
      </c>
      <c r="D60" s="138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Q15" sqref="Q15:S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386" t="s">
        <v>285</v>
      </c>
      <c r="B1" s="1386"/>
      <c r="C1" s="1386"/>
      <c r="D1" s="1386"/>
      <c r="E1" s="1386"/>
      <c r="F1" s="1386"/>
      <c r="G1" s="1386"/>
      <c r="H1" s="11">
        <v>1</v>
      </c>
      <c r="K1" s="1390" t="s">
        <v>391</v>
      </c>
      <c r="L1" s="1390"/>
      <c r="M1" s="1390"/>
      <c r="N1" s="1390"/>
      <c r="O1" s="1390"/>
      <c r="P1" s="1390"/>
      <c r="Q1" s="1390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395"/>
      <c r="B4" s="1422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395"/>
      <c r="L4" s="1422" t="s">
        <v>89</v>
      </c>
      <c r="M4" s="125"/>
      <c r="N4" s="131"/>
      <c r="O4" s="121"/>
      <c r="P4" s="73"/>
      <c r="Q4" s="47">
        <f>P56</f>
        <v>1020.3199999999999</v>
      </c>
      <c r="R4" s="7">
        <f>O4-Q4+O5+O6+O7+O8</f>
        <v>1.1368683772161603E-13</v>
      </c>
    </row>
    <row r="5" spans="1:20" ht="15" customHeight="1" x14ac:dyDescent="0.25">
      <c r="A5" s="1395"/>
      <c r="B5" s="1423"/>
      <c r="C5" s="125">
        <v>55</v>
      </c>
      <c r="D5" s="225">
        <v>44945</v>
      </c>
      <c r="E5" s="78">
        <v>2001.18</v>
      </c>
      <c r="F5" s="62">
        <v>80</v>
      </c>
      <c r="K5" s="1395"/>
      <c r="L5" s="1423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1" t="s">
        <v>52</v>
      </c>
      <c r="B6" s="1423"/>
      <c r="C6" s="125">
        <v>55</v>
      </c>
      <c r="D6" s="225">
        <v>44949</v>
      </c>
      <c r="E6" s="78">
        <v>1018.77</v>
      </c>
      <c r="F6" s="62">
        <v>38</v>
      </c>
      <c r="K6" s="1061" t="s">
        <v>52</v>
      </c>
      <c r="L6" s="1423"/>
      <c r="M6" s="125"/>
      <c r="N6" s="225"/>
      <c r="O6" s="78"/>
      <c r="P6" s="62"/>
    </row>
    <row r="7" spans="1:20" ht="15.75" x14ac:dyDescent="0.25">
      <c r="A7" s="841"/>
      <c r="B7" s="842"/>
      <c r="C7" s="125"/>
      <c r="D7" s="225"/>
      <c r="E7" s="78"/>
      <c r="F7" s="62"/>
      <c r="K7" s="1061"/>
      <c r="L7" s="1062"/>
      <c r="M7" s="125"/>
      <c r="N7" s="225"/>
      <c r="O7" s="78"/>
      <c r="P7" s="62"/>
    </row>
    <row r="8" spans="1:20" ht="16.5" thickBot="1" x14ac:dyDescent="0.3">
      <c r="A8" s="841"/>
      <c r="B8" s="842"/>
      <c r="C8" s="125"/>
      <c r="D8" s="225"/>
      <c r="E8" s="78"/>
      <c r="F8" s="62"/>
      <c r="K8" s="1061"/>
      <c r="L8" s="1062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64" t="s">
        <v>7</v>
      </c>
      <c r="M9" s="1065" t="s">
        <v>8</v>
      </c>
      <c r="N9" s="1066" t="s">
        <v>3</v>
      </c>
      <c r="O9" s="1067" t="s">
        <v>2</v>
      </c>
      <c r="P9" s="1068" t="s">
        <v>9</v>
      </c>
      <c r="Q9" s="1069" t="s">
        <v>15</v>
      </c>
      <c r="R9" s="1070"/>
      <c r="S9" s="664"/>
      <c r="T9" s="664"/>
    </row>
    <row r="10" spans="1:20" ht="15.75" thickTop="1" x14ac:dyDescent="0.25">
      <c r="A10" s="55" t="s">
        <v>32</v>
      </c>
      <c r="B10" s="851">
        <f>F4+F5-C10+F6+F7+F8</f>
        <v>80</v>
      </c>
      <c r="C10" s="814">
        <v>38</v>
      </c>
      <c r="D10" s="633">
        <v>1018.77</v>
      </c>
      <c r="E10" s="741">
        <v>44950</v>
      </c>
      <c r="F10" s="633">
        <f t="shared" ref="F10:F55" si="0">D10</f>
        <v>1018.77</v>
      </c>
      <c r="G10" s="631" t="s">
        <v>263</v>
      </c>
      <c r="H10" s="632">
        <v>58</v>
      </c>
      <c r="I10" s="742">
        <f>E5+E4-F10+E6+E7+E8</f>
        <v>2001.18</v>
      </c>
      <c r="J10" s="664"/>
      <c r="K10" s="55" t="s">
        <v>32</v>
      </c>
      <c r="L10" s="851">
        <f>P4+P5-M10+P6+P7+P8</f>
        <v>24</v>
      </c>
      <c r="M10" s="814">
        <v>16</v>
      </c>
      <c r="N10" s="633">
        <v>406.96</v>
      </c>
      <c r="O10" s="741">
        <v>44973</v>
      </c>
      <c r="P10" s="633">
        <f t="shared" ref="P10:P55" si="1">N10</f>
        <v>406.96</v>
      </c>
      <c r="Q10" s="631" t="s">
        <v>581</v>
      </c>
      <c r="R10" s="632">
        <v>57</v>
      </c>
      <c r="S10" s="742">
        <f>O5+O4-P10+O6+O7+O8</f>
        <v>613.36000000000013</v>
      </c>
      <c r="T10" s="664"/>
    </row>
    <row r="11" spans="1:20" x14ac:dyDescent="0.25">
      <c r="A11" s="77"/>
      <c r="B11" s="719">
        <f t="shared" ref="B11:B54" si="2">B10-C11</f>
        <v>40</v>
      </c>
      <c r="C11" s="814">
        <v>40</v>
      </c>
      <c r="D11" s="633">
        <v>1036.3699999999999</v>
      </c>
      <c r="E11" s="741">
        <v>44953</v>
      </c>
      <c r="F11" s="633">
        <f t="shared" si="0"/>
        <v>1036.3699999999999</v>
      </c>
      <c r="G11" s="631" t="s">
        <v>271</v>
      </c>
      <c r="H11" s="632">
        <v>55</v>
      </c>
      <c r="I11" s="722">
        <f>I10-F11</f>
        <v>964.81000000000017</v>
      </c>
      <c r="J11" s="664"/>
      <c r="K11" s="77"/>
      <c r="L11" s="769">
        <f t="shared" ref="L11:L54" si="3">L10-M11</f>
        <v>16</v>
      </c>
      <c r="M11" s="814">
        <v>8</v>
      </c>
      <c r="N11" s="633">
        <v>205.3</v>
      </c>
      <c r="O11" s="741">
        <v>44973</v>
      </c>
      <c r="P11" s="633">
        <f t="shared" si="1"/>
        <v>205.3</v>
      </c>
      <c r="Q11" s="631" t="s">
        <v>583</v>
      </c>
      <c r="R11" s="632">
        <v>57</v>
      </c>
      <c r="S11" s="742">
        <f>S10-P11</f>
        <v>408.06000000000012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10">
        <v>265.31</v>
      </c>
      <c r="E12" s="1111">
        <v>44956</v>
      </c>
      <c r="F12" s="1112">
        <f t="shared" si="0"/>
        <v>265.31</v>
      </c>
      <c r="G12" s="1113" t="s">
        <v>444</v>
      </c>
      <c r="H12" s="1114">
        <v>55</v>
      </c>
      <c r="I12" s="742">
        <f t="shared" ref="I12:I55" si="4">I11-F12</f>
        <v>699.50000000000023</v>
      </c>
      <c r="K12" s="12"/>
      <c r="L12" s="769">
        <f t="shared" si="3"/>
        <v>12</v>
      </c>
      <c r="M12" s="714">
        <v>4</v>
      </c>
      <c r="N12" s="633">
        <v>100.41</v>
      </c>
      <c r="O12" s="741">
        <v>44979</v>
      </c>
      <c r="P12" s="633">
        <f t="shared" si="1"/>
        <v>100.41</v>
      </c>
      <c r="Q12" s="631" t="s">
        <v>625</v>
      </c>
      <c r="R12" s="632">
        <v>57</v>
      </c>
      <c r="S12" s="742">
        <f t="shared" ref="S12:S55" si="5">S11-P12</f>
        <v>307.65000000000009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12">
        <v>699.5</v>
      </c>
      <c r="E13" s="1111">
        <v>44960</v>
      </c>
      <c r="F13" s="1112">
        <f t="shared" si="0"/>
        <v>699.5</v>
      </c>
      <c r="G13" s="1113" t="s">
        <v>515</v>
      </c>
      <c r="H13" s="1114">
        <v>55</v>
      </c>
      <c r="I13" s="742">
        <f t="shared" si="4"/>
        <v>0</v>
      </c>
      <c r="K13" s="55" t="s">
        <v>33</v>
      </c>
      <c r="L13" s="769">
        <f t="shared" si="3"/>
        <v>0</v>
      </c>
      <c r="M13" s="714">
        <v>12</v>
      </c>
      <c r="N13" s="633">
        <v>307.64999999999998</v>
      </c>
      <c r="O13" s="741">
        <v>44979</v>
      </c>
      <c r="P13" s="633">
        <f t="shared" si="1"/>
        <v>307.64999999999998</v>
      </c>
      <c r="Q13" s="631" t="s">
        <v>633</v>
      </c>
      <c r="R13" s="632">
        <v>57</v>
      </c>
      <c r="S13" s="742">
        <f t="shared" si="5"/>
        <v>0</v>
      </c>
      <c r="T13" s="664"/>
    </row>
    <row r="14" spans="1:20" x14ac:dyDescent="0.25">
      <c r="A14" s="77"/>
      <c r="B14" s="178">
        <f t="shared" si="2"/>
        <v>0</v>
      </c>
      <c r="C14" s="15"/>
      <c r="D14" s="1112"/>
      <c r="E14" s="1111"/>
      <c r="F14" s="1112">
        <f t="shared" si="0"/>
        <v>0</v>
      </c>
      <c r="G14" s="1113"/>
      <c r="H14" s="1114"/>
      <c r="I14" s="742">
        <f t="shared" si="4"/>
        <v>0</v>
      </c>
      <c r="K14" s="77"/>
      <c r="L14" s="769">
        <f t="shared" si="3"/>
        <v>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0</v>
      </c>
      <c r="T14" s="664"/>
    </row>
    <row r="15" spans="1:20" x14ac:dyDescent="0.25">
      <c r="A15" s="12"/>
      <c r="B15" s="178">
        <f t="shared" si="2"/>
        <v>0</v>
      </c>
      <c r="C15" s="15"/>
      <c r="D15" s="1112"/>
      <c r="E15" s="1111"/>
      <c r="F15" s="1152">
        <f t="shared" si="0"/>
        <v>0</v>
      </c>
      <c r="G15" s="1153"/>
      <c r="H15" s="1154"/>
      <c r="I15" s="1155">
        <f t="shared" si="4"/>
        <v>0</v>
      </c>
      <c r="K15" s="12"/>
      <c r="L15" s="769">
        <f t="shared" si="3"/>
        <v>0</v>
      </c>
      <c r="M15" s="714"/>
      <c r="N15" s="633"/>
      <c r="O15" s="741"/>
      <c r="P15" s="633">
        <f t="shared" si="1"/>
        <v>0</v>
      </c>
      <c r="Q15" s="1158"/>
      <c r="R15" s="1159"/>
      <c r="S15" s="1155">
        <f t="shared" si="5"/>
        <v>0</v>
      </c>
      <c r="T15" s="664"/>
    </row>
    <row r="16" spans="1:20" x14ac:dyDescent="0.25">
      <c r="B16" s="178">
        <f t="shared" si="2"/>
        <v>0</v>
      </c>
      <c r="C16" s="15"/>
      <c r="D16" s="1112"/>
      <c r="E16" s="1111"/>
      <c r="F16" s="1152">
        <f t="shared" si="0"/>
        <v>0</v>
      </c>
      <c r="G16" s="1153"/>
      <c r="H16" s="1154"/>
      <c r="I16" s="1155">
        <f t="shared" si="4"/>
        <v>0</v>
      </c>
      <c r="L16" s="769">
        <f t="shared" si="3"/>
        <v>0</v>
      </c>
      <c r="M16" s="714"/>
      <c r="N16" s="633"/>
      <c r="O16" s="741"/>
      <c r="P16" s="633">
        <f t="shared" si="1"/>
        <v>0</v>
      </c>
      <c r="Q16" s="1158"/>
      <c r="R16" s="1159"/>
      <c r="S16" s="1155">
        <f t="shared" si="5"/>
        <v>0</v>
      </c>
      <c r="T16" s="664"/>
    </row>
    <row r="17" spans="2:20" x14ac:dyDescent="0.25">
      <c r="B17" s="178">
        <f t="shared" si="2"/>
        <v>0</v>
      </c>
      <c r="C17" s="15"/>
      <c r="D17" s="1112"/>
      <c r="E17" s="1111"/>
      <c r="F17" s="1152">
        <f t="shared" si="0"/>
        <v>0</v>
      </c>
      <c r="G17" s="1153"/>
      <c r="H17" s="1154"/>
      <c r="I17" s="1155">
        <f t="shared" si="4"/>
        <v>0</v>
      </c>
      <c r="L17" s="769">
        <f t="shared" si="3"/>
        <v>0</v>
      </c>
      <c r="M17" s="714"/>
      <c r="N17" s="633"/>
      <c r="O17" s="741"/>
      <c r="P17" s="633">
        <f t="shared" si="1"/>
        <v>0</v>
      </c>
      <c r="Q17" s="1158"/>
      <c r="R17" s="1159"/>
      <c r="S17" s="1155">
        <f t="shared" si="5"/>
        <v>0</v>
      </c>
      <c r="T17" s="664"/>
    </row>
    <row r="18" spans="2:20" x14ac:dyDescent="0.25">
      <c r="B18" s="178">
        <f t="shared" si="2"/>
        <v>0</v>
      </c>
      <c r="C18" s="15"/>
      <c r="D18" s="1112"/>
      <c r="E18" s="1111"/>
      <c r="F18" s="1152">
        <f t="shared" si="0"/>
        <v>0</v>
      </c>
      <c r="G18" s="1153"/>
      <c r="H18" s="1154"/>
      <c r="I18" s="1155">
        <f t="shared" si="4"/>
        <v>0</v>
      </c>
      <c r="L18" s="769">
        <f t="shared" si="3"/>
        <v>0</v>
      </c>
      <c r="M18" s="714"/>
      <c r="N18" s="633"/>
      <c r="O18" s="741"/>
      <c r="P18" s="633">
        <f t="shared" si="1"/>
        <v>0</v>
      </c>
      <c r="Q18" s="631"/>
      <c r="R18" s="632"/>
      <c r="S18" s="742">
        <f t="shared" si="5"/>
        <v>0</v>
      </c>
      <c r="T18" s="664"/>
    </row>
    <row r="19" spans="2:20" x14ac:dyDescent="0.25">
      <c r="B19" s="178">
        <f t="shared" si="2"/>
        <v>0</v>
      </c>
      <c r="C19" s="53"/>
      <c r="D19" s="1112"/>
      <c r="E19" s="1111"/>
      <c r="F19" s="1112">
        <f t="shared" si="0"/>
        <v>0</v>
      </c>
      <c r="G19" s="1113"/>
      <c r="H19" s="1114"/>
      <c r="I19" s="742">
        <f t="shared" si="4"/>
        <v>0</v>
      </c>
      <c r="L19" s="178">
        <f t="shared" si="3"/>
        <v>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0</v>
      </c>
    </row>
    <row r="20" spans="2:20" x14ac:dyDescent="0.25">
      <c r="B20" s="178">
        <f t="shared" si="2"/>
        <v>0</v>
      </c>
      <c r="C20" s="15"/>
      <c r="D20" s="1112"/>
      <c r="E20" s="1111"/>
      <c r="F20" s="1112">
        <f t="shared" si="0"/>
        <v>0</v>
      </c>
      <c r="G20" s="1113"/>
      <c r="H20" s="1114"/>
      <c r="I20" s="742">
        <f t="shared" si="4"/>
        <v>0</v>
      </c>
      <c r="L20" s="178">
        <f t="shared" si="3"/>
        <v>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0</v>
      </c>
    </row>
    <row r="21" spans="2:20" x14ac:dyDescent="0.25">
      <c r="B21" s="178">
        <f t="shared" si="2"/>
        <v>0</v>
      </c>
      <c r="C21" s="15"/>
      <c r="D21" s="1112"/>
      <c r="E21" s="1111"/>
      <c r="F21" s="1112">
        <f t="shared" si="0"/>
        <v>0</v>
      </c>
      <c r="G21" s="1113"/>
      <c r="H21" s="1114"/>
      <c r="I21" s="742">
        <f t="shared" si="4"/>
        <v>0</v>
      </c>
      <c r="L21" s="178">
        <f t="shared" si="3"/>
        <v>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0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0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0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0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0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0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0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0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0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0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0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0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40</v>
      </c>
      <c r="N56" s="121">
        <f>SUM(N10:N55)</f>
        <v>1020.3199999999999</v>
      </c>
      <c r="O56" s="162"/>
      <c r="P56" s="121">
        <f>SUM(P10:P55)</f>
        <v>1020.3199999999999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388" t="s">
        <v>11</v>
      </c>
      <c r="D61" s="1389"/>
      <c r="E61" s="57">
        <f>E5+E6+E7+E8-F56</f>
        <v>0</v>
      </c>
      <c r="L61" s="91"/>
      <c r="M61" s="1388" t="s">
        <v>11</v>
      </c>
      <c r="N61" s="1389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0"/>
      <c r="B1" s="1390"/>
      <c r="C1" s="1390"/>
      <c r="D1" s="1390"/>
      <c r="E1" s="1390"/>
      <c r="F1" s="1390"/>
      <c r="G1" s="1390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424"/>
      <c r="B5" s="1426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425"/>
      <c r="B6" s="1427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428" t="s">
        <v>11</v>
      </c>
      <c r="D56" s="1429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80" t="s">
        <v>391</v>
      </c>
      <c r="B1" s="1380"/>
      <c r="C1" s="1380"/>
      <c r="D1" s="1380"/>
      <c r="E1" s="1380"/>
      <c r="F1" s="1380"/>
      <c r="G1" s="1380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30" t="s">
        <v>687</v>
      </c>
      <c r="C4" s="17"/>
      <c r="E4" s="247"/>
      <c r="F4" s="233"/>
    </row>
    <row r="5" spans="1:10" ht="15" customHeight="1" x14ac:dyDescent="0.25">
      <c r="A5" s="1433" t="s">
        <v>686</v>
      </c>
      <c r="B5" s="1431"/>
      <c r="C5" s="366"/>
      <c r="D5" s="115">
        <v>44989</v>
      </c>
      <c r="E5" s="232">
        <v>4878.49</v>
      </c>
      <c r="F5" s="233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434"/>
      <c r="B6" s="1432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6.5" thickTop="1" x14ac:dyDescent="0.25">
      <c r="A8" s="80" t="s">
        <v>32</v>
      </c>
      <c r="B8" s="1242">
        <f>F5-C8</f>
        <v>212</v>
      </c>
      <c r="C8" s="15">
        <v>3</v>
      </c>
      <c r="D8" s="171">
        <v>65.739999999999995</v>
      </c>
      <c r="E8" s="393">
        <v>44989</v>
      </c>
      <c r="F8" s="69">
        <f t="shared" ref="F8:F51" si="0">D8</f>
        <v>65.739999999999995</v>
      </c>
      <c r="G8" s="70" t="s">
        <v>725</v>
      </c>
      <c r="H8" s="71">
        <v>140</v>
      </c>
      <c r="I8" s="215">
        <f>E5+E4-F8+E6</f>
        <v>4812.75</v>
      </c>
      <c r="J8" s="216">
        <f>F4+F5+F6-C8</f>
        <v>212</v>
      </c>
    </row>
    <row r="9" spans="1:10" ht="15.75" x14ac:dyDescent="0.25">
      <c r="A9" s="190"/>
      <c r="B9" s="1242">
        <f>B8-C9</f>
        <v>207</v>
      </c>
      <c r="C9" s="15">
        <v>5</v>
      </c>
      <c r="D9" s="171">
        <v>113.81</v>
      </c>
      <c r="E9" s="393">
        <v>44989</v>
      </c>
      <c r="F9" s="69">
        <f t="shared" si="0"/>
        <v>113.81</v>
      </c>
      <c r="G9" s="70" t="s">
        <v>730</v>
      </c>
      <c r="H9" s="71">
        <v>144</v>
      </c>
      <c r="I9" s="215">
        <f>I8-F9</f>
        <v>4698.9399999999996</v>
      </c>
      <c r="J9" s="216">
        <f>J8-C9</f>
        <v>207</v>
      </c>
    </row>
    <row r="10" spans="1:10" ht="15.75" x14ac:dyDescent="0.25">
      <c r="A10" s="178"/>
      <c r="B10" s="1242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2">I9-F10</f>
        <v>4698.9399999999996</v>
      </c>
      <c r="J10" s="216">
        <f t="shared" ref="J10:J50" si="3">J9-C10</f>
        <v>207</v>
      </c>
    </row>
    <row r="11" spans="1:10" ht="15.75" x14ac:dyDescent="0.25">
      <c r="A11" s="82" t="s">
        <v>33</v>
      </c>
      <c r="B11" s="1242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2"/>
        <v>4698.9399999999996</v>
      </c>
      <c r="J11" s="216">
        <f t="shared" si="3"/>
        <v>207</v>
      </c>
    </row>
    <row r="12" spans="1:10" ht="15.75" x14ac:dyDescent="0.25">
      <c r="A12" s="73"/>
      <c r="B12" s="1242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2"/>
        <v>4698.9399999999996</v>
      </c>
      <c r="J12" s="216">
        <f t="shared" si="3"/>
        <v>207</v>
      </c>
    </row>
    <row r="13" spans="1:10" ht="15.75" x14ac:dyDescent="0.25">
      <c r="A13" s="73"/>
      <c r="B13" s="1242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2"/>
        <v>4698.9399999999996</v>
      </c>
      <c r="J13" s="216">
        <f t="shared" si="3"/>
        <v>207</v>
      </c>
    </row>
    <row r="14" spans="1:10" ht="15.75" x14ac:dyDescent="0.25">
      <c r="B14" s="1242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2"/>
        <v>4698.9399999999996</v>
      </c>
      <c r="J14" s="216">
        <f t="shared" si="3"/>
        <v>207</v>
      </c>
    </row>
    <row r="15" spans="1:10" ht="15.75" x14ac:dyDescent="0.25">
      <c r="B15" s="1242">
        <f t="shared" si="1"/>
        <v>207</v>
      </c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2"/>
        <v>4698.9399999999996</v>
      </c>
      <c r="J15" s="216">
        <f t="shared" si="3"/>
        <v>207</v>
      </c>
    </row>
    <row r="16" spans="1:10" ht="15.75" x14ac:dyDescent="0.25">
      <c r="A16" s="81"/>
      <c r="B16" s="1242">
        <f t="shared" si="1"/>
        <v>207</v>
      </c>
      <c r="C16" s="15"/>
      <c r="D16" s="171">
        <f t="shared" ref="D16:D53" si="4">C16*B16</f>
        <v>0</v>
      </c>
      <c r="E16" s="363"/>
      <c r="F16" s="69">
        <f t="shared" si="0"/>
        <v>0</v>
      </c>
      <c r="G16" s="70"/>
      <c r="H16" s="71"/>
      <c r="I16" s="215">
        <f t="shared" si="2"/>
        <v>4698.9399999999996</v>
      </c>
      <c r="J16" s="216">
        <f t="shared" si="3"/>
        <v>207</v>
      </c>
    </row>
    <row r="17" spans="1:10" ht="15.75" x14ac:dyDescent="0.25">
      <c r="A17" s="83"/>
      <c r="B17" s="1242">
        <f t="shared" si="1"/>
        <v>207</v>
      </c>
      <c r="C17" s="15"/>
      <c r="D17" s="171">
        <f t="shared" si="4"/>
        <v>0</v>
      </c>
      <c r="E17" s="363"/>
      <c r="F17" s="69">
        <f t="shared" si="0"/>
        <v>0</v>
      </c>
      <c r="G17" s="70"/>
      <c r="H17" s="71"/>
      <c r="I17" s="215">
        <f t="shared" si="2"/>
        <v>4698.9399999999996</v>
      </c>
      <c r="J17" s="216">
        <f t="shared" si="3"/>
        <v>207</v>
      </c>
    </row>
    <row r="18" spans="1:10" ht="15.75" x14ac:dyDescent="0.25">
      <c r="A18" s="2"/>
      <c r="B18" s="1242">
        <f t="shared" si="1"/>
        <v>207</v>
      </c>
      <c r="C18" s="15"/>
      <c r="D18" s="171">
        <f t="shared" si="4"/>
        <v>0</v>
      </c>
      <c r="E18" s="363"/>
      <c r="F18" s="69">
        <f t="shared" si="0"/>
        <v>0</v>
      </c>
      <c r="G18" s="70"/>
      <c r="H18" s="71"/>
      <c r="I18" s="215">
        <f t="shared" si="2"/>
        <v>4698.9399999999996</v>
      </c>
      <c r="J18" s="216">
        <f t="shared" si="3"/>
        <v>207</v>
      </c>
    </row>
    <row r="19" spans="1:10" ht="15.75" x14ac:dyDescent="0.25">
      <c r="A19" s="2"/>
      <c r="B19" s="1242">
        <f t="shared" si="1"/>
        <v>207</v>
      </c>
      <c r="C19" s="15"/>
      <c r="D19" s="171">
        <f t="shared" si="4"/>
        <v>0</v>
      </c>
      <c r="E19" s="363"/>
      <c r="F19" s="69">
        <f t="shared" si="0"/>
        <v>0</v>
      </c>
      <c r="G19" s="70"/>
      <c r="H19" s="71"/>
      <c r="I19" s="215">
        <f t="shared" si="2"/>
        <v>4698.9399999999996</v>
      </c>
      <c r="J19" s="216">
        <f t="shared" si="3"/>
        <v>207</v>
      </c>
    </row>
    <row r="20" spans="1:10" ht="15.75" x14ac:dyDescent="0.25">
      <c r="A20" s="2"/>
      <c r="B20" s="1242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5">
        <f>I19-F20</f>
        <v>4698.9399999999996</v>
      </c>
      <c r="J20" s="216">
        <f t="shared" si="3"/>
        <v>207</v>
      </c>
    </row>
    <row r="21" spans="1:10" ht="15.75" x14ac:dyDescent="0.25">
      <c r="A21" s="2"/>
      <c r="B21" s="1242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5">
        <f t="shared" ref="I21:I50" si="5">I20-F21</f>
        <v>4698.9399999999996</v>
      </c>
      <c r="J21" s="216">
        <f t="shared" si="3"/>
        <v>207</v>
      </c>
    </row>
    <row r="22" spans="1:10" ht="15.75" x14ac:dyDescent="0.25">
      <c r="A22" s="2"/>
      <c r="B22" s="1242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5">
        <f t="shared" si="5"/>
        <v>4698.9399999999996</v>
      </c>
      <c r="J22" s="216">
        <f t="shared" si="3"/>
        <v>207</v>
      </c>
    </row>
    <row r="23" spans="1:10" ht="15.75" x14ac:dyDescent="0.25">
      <c r="A23" s="2"/>
      <c r="B23" s="1242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5">
        <f t="shared" si="5"/>
        <v>4698.9399999999996</v>
      </c>
      <c r="J23" s="216">
        <f t="shared" si="3"/>
        <v>207</v>
      </c>
    </row>
    <row r="24" spans="1:10" ht="15.75" x14ac:dyDescent="0.25">
      <c r="A24" s="2"/>
      <c r="B24" s="1242">
        <f t="shared" si="1"/>
        <v>207</v>
      </c>
      <c r="C24" s="15"/>
      <c r="D24" s="171">
        <f t="shared" si="4"/>
        <v>0</v>
      </c>
      <c r="E24" s="393"/>
      <c r="F24" s="69">
        <f t="shared" si="0"/>
        <v>0</v>
      </c>
      <c r="G24" s="70"/>
      <c r="H24" s="71"/>
      <c r="I24" s="215">
        <f t="shared" si="5"/>
        <v>4698.9399999999996</v>
      </c>
      <c r="J24" s="216">
        <f t="shared" si="3"/>
        <v>207</v>
      </c>
    </row>
    <row r="25" spans="1:10" ht="15.75" x14ac:dyDescent="0.25">
      <c r="A25" s="2"/>
      <c r="B25" s="1242">
        <f t="shared" si="1"/>
        <v>207</v>
      </c>
      <c r="C25" s="15"/>
      <c r="D25" s="171">
        <f t="shared" si="4"/>
        <v>0</v>
      </c>
      <c r="E25" s="393"/>
      <c r="F25" s="69">
        <f t="shared" si="0"/>
        <v>0</v>
      </c>
      <c r="G25" s="70"/>
      <c r="H25" s="71"/>
      <c r="I25" s="215">
        <f t="shared" si="5"/>
        <v>4698.9399999999996</v>
      </c>
      <c r="J25" s="216">
        <f t="shared" si="3"/>
        <v>207</v>
      </c>
    </row>
    <row r="26" spans="1:10" ht="15.75" x14ac:dyDescent="0.25">
      <c r="A26" s="2"/>
      <c r="B26" s="1242">
        <f t="shared" si="1"/>
        <v>207</v>
      </c>
      <c r="C26" s="15"/>
      <c r="D26" s="171">
        <f t="shared" si="4"/>
        <v>0</v>
      </c>
      <c r="E26" s="393"/>
      <c r="F26" s="69">
        <f t="shared" si="0"/>
        <v>0</v>
      </c>
      <c r="G26" s="70"/>
      <c r="H26" s="71"/>
      <c r="I26" s="215">
        <f t="shared" si="5"/>
        <v>4698.9399999999996</v>
      </c>
      <c r="J26" s="216">
        <f t="shared" si="3"/>
        <v>207</v>
      </c>
    </row>
    <row r="27" spans="1:10" ht="15.75" x14ac:dyDescent="0.25">
      <c r="A27" s="172"/>
      <c r="B27" s="1242">
        <f t="shared" si="1"/>
        <v>207</v>
      </c>
      <c r="C27" s="15"/>
      <c r="D27" s="171">
        <f t="shared" si="4"/>
        <v>0</v>
      </c>
      <c r="E27" s="393"/>
      <c r="F27" s="69">
        <f t="shared" si="0"/>
        <v>0</v>
      </c>
      <c r="G27" s="70"/>
      <c r="H27" s="71"/>
      <c r="I27" s="215">
        <f t="shared" si="5"/>
        <v>4698.9399999999996</v>
      </c>
      <c r="J27" s="216">
        <f t="shared" si="3"/>
        <v>207</v>
      </c>
    </row>
    <row r="28" spans="1:10" ht="15.75" x14ac:dyDescent="0.25">
      <c r="A28" s="172"/>
      <c r="B28" s="1242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5">
        <f t="shared" si="5"/>
        <v>4698.9399999999996</v>
      </c>
      <c r="J28" s="216">
        <f t="shared" si="3"/>
        <v>207</v>
      </c>
    </row>
    <row r="29" spans="1:10" ht="15.75" x14ac:dyDescent="0.25">
      <c r="A29" s="172"/>
      <c r="B29" s="1242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5">
        <f t="shared" si="5"/>
        <v>4698.9399999999996</v>
      </c>
      <c r="J29" s="216">
        <f t="shared" si="3"/>
        <v>207</v>
      </c>
    </row>
    <row r="30" spans="1:10" ht="15.75" x14ac:dyDescent="0.25">
      <c r="A30" s="172"/>
      <c r="B30" s="1242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5">
        <f t="shared" si="5"/>
        <v>4698.9399999999996</v>
      </c>
      <c r="J30" s="216">
        <f t="shared" si="3"/>
        <v>207</v>
      </c>
    </row>
    <row r="31" spans="1:10" ht="15.75" x14ac:dyDescent="0.25">
      <c r="A31" s="172"/>
      <c r="B31" s="1242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5">
        <f t="shared" si="5"/>
        <v>4698.9399999999996</v>
      </c>
      <c r="J31" s="216">
        <f t="shared" si="3"/>
        <v>207</v>
      </c>
    </row>
    <row r="32" spans="1:10" ht="15.75" x14ac:dyDescent="0.25">
      <c r="A32" s="2"/>
      <c r="B32" s="1242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5">
        <f t="shared" si="5"/>
        <v>4698.9399999999996</v>
      </c>
      <c r="J32" s="216">
        <f t="shared" si="3"/>
        <v>207</v>
      </c>
    </row>
    <row r="33" spans="1:10" ht="15.75" x14ac:dyDescent="0.25">
      <c r="A33" s="2"/>
      <c r="B33" s="1242">
        <f t="shared" si="1"/>
        <v>207</v>
      </c>
      <c r="C33" s="15"/>
      <c r="D33" s="171">
        <f t="shared" si="4"/>
        <v>0</v>
      </c>
      <c r="E33" s="363"/>
      <c r="F33" s="69">
        <f t="shared" si="0"/>
        <v>0</v>
      </c>
      <c r="G33" s="70"/>
      <c r="H33" s="71"/>
      <c r="I33" s="215">
        <f t="shared" si="5"/>
        <v>4698.9399999999996</v>
      </c>
      <c r="J33" s="216">
        <f t="shared" si="3"/>
        <v>207</v>
      </c>
    </row>
    <row r="34" spans="1:10" ht="15.75" x14ac:dyDescent="0.25">
      <c r="A34" s="2"/>
      <c r="B34" s="1242">
        <f t="shared" si="1"/>
        <v>207</v>
      </c>
      <c r="C34" s="15"/>
      <c r="D34" s="171">
        <f t="shared" si="4"/>
        <v>0</v>
      </c>
      <c r="E34" s="363"/>
      <c r="F34" s="69">
        <f t="shared" si="0"/>
        <v>0</v>
      </c>
      <c r="G34" s="70"/>
      <c r="H34" s="71"/>
      <c r="I34" s="215">
        <f t="shared" si="5"/>
        <v>4698.9399999999996</v>
      </c>
      <c r="J34" s="216">
        <f t="shared" si="3"/>
        <v>207</v>
      </c>
    </row>
    <row r="35" spans="1:10" ht="15.75" x14ac:dyDescent="0.25">
      <c r="A35" s="2"/>
      <c r="B35" s="1242">
        <f t="shared" si="1"/>
        <v>207</v>
      </c>
      <c r="C35" s="15"/>
      <c r="D35" s="171">
        <f t="shared" si="4"/>
        <v>0</v>
      </c>
      <c r="E35" s="363"/>
      <c r="F35" s="69">
        <f t="shared" si="0"/>
        <v>0</v>
      </c>
      <c r="G35" s="70"/>
      <c r="H35" s="71"/>
      <c r="I35" s="215">
        <f t="shared" si="5"/>
        <v>4698.9399999999996</v>
      </c>
      <c r="J35" s="216">
        <f t="shared" si="3"/>
        <v>207</v>
      </c>
    </row>
    <row r="36" spans="1:10" ht="15.75" x14ac:dyDescent="0.25">
      <c r="A36" s="2"/>
      <c r="B36" s="1242">
        <f t="shared" si="1"/>
        <v>207</v>
      </c>
      <c r="C36" s="15"/>
      <c r="D36" s="171">
        <f t="shared" si="4"/>
        <v>0</v>
      </c>
      <c r="E36" s="363"/>
      <c r="F36" s="69">
        <f t="shared" si="0"/>
        <v>0</v>
      </c>
      <c r="G36" s="70"/>
      <c r="H36" s="71"/>
      <c r="I36" s="215">
        <f t="shared" si="5"/>
        <v>4698.9399999999996</v>
      </c>
      <c r="J36" s="216">
        <f t="shared" si="3"/>
        <v>207</v>
      </c>
    </row>
    <row r="37" spans="1:10" ht="15.75" x14ac:dyDescent="0.25">
      <c r="A37" s="2"/>
      <c r="B37" s="1242">
        <f t="shared" si="1"/>
        <v>207</v>
      </c>
      <c r="C37" s="15"/>
      <c r="D37" s="171">
        <f t="shared" si="4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5"/>
        <v>4698.9399999999996</v>
      </c>
      <c r="J37" s="216">
        <f t="shared" si="3"/>
        <v>207</v>
      </c>
    </row>
    <row r="38" spans="1:10" ht="15.75" x14ac:dyDescent="0.25">
      <c r="A38" s="2"/>
      <c r="B38" s="1242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5">
        <f t="shared" si="5"/>
        <v>4698.9399999999996</v>
      </c>
      <c r="J38" s="216">
        <f t="shared" si="3"/>
        <v>207</v>
      </c>
    </row>
    <row r="39" spans="1:10" ht="15.75" x14ac:dyDescent="0.25">
      <c r="A39" s="2"/>
      <c r="B39" s="1242">
        <f t="shared" si="1"/>
        <v>207</v>
      </c>
      <c r="C39" s="15"/>
      <c r="D39" s="171">
        <f t="shared" si="4"/>
        <v>0</v>
      </c>
      <c r="E39" s="363"/>
      <c r="F39" s="69">
        <f t="shared" si="0"/>
        <v>0</v>
      </c>
      <c r="G39" s="70"/>
      <c r="H39" s="71"/>
      <c r="I39" s="215">
        <f t="shared" si="5"/>
        <v>4698.9399999999996</v>
      </c>
      <c r="J39" s="216">
        <f t="shared" si="3"/>
        <v>207</v>
      </c>
    </row>
    <row r="40" spans="1:10" ht="15.75" x14ac:dyDescent="0.25">
      <c r="A40" s="2"/>
      <c r="B40" s="1242">
        <f t="shared" si="1"/>
        <v>207</v>
      </c>
      <c r="C40" s="15"/>
      <c r="D40" s="171">
        <f t="shared" si="4"/>
        <v>0</v>
      </c>
      <c r="E40" s="363"/>
      <c r="F40" s="69">
        <f t="shared" si="0"/>
        <v>0</v>
      </c>
      <c r="G40" s="70"/>
      <c r="H40" s="71"/>
      <c r="I40" s="215">
        <f t="shared" si="5"/>
        <v>4698.9399999999996</v>
      </c>
      <c r="J40" s="216">
        <f t="shared" si="3"/>
        <v>207</v>
      </c>
    </row>
    <row r="41" spans="1:10" ht="15.75" x14ac:dyDescent="0.25">
      <c r="A41" s="2"/>
      <c r="B41" s="1242">
        <f t="shared" si="1"/>
        <v>207</v>
      </c>
      <c r="C41" s="15"/>
      <c r="D41" s="171">
        <f t="shared" si="4"/>
        <v>0</v>
      </c>
      <c r="E41" s="363"/>
      <c r="F41" s="69">
        <f t="shared" si="0"/>
        <v>0</v>
      </c>
      <c r="G41" s="70"/>
      <c r="H41" s="71"/>
      <c r="I41" s="215">
        <f t="shared" si="5"/>
        <v>4698.9399999999996</v>
      </c>
      <c r="J41" s="216">
        <f t="shared" si="3"/>
        <v>207</v>
      </c>
    </row>
    <row r="42" spans="1:10" ht="15.75" x14ac:dyDescent="0.25">
      <c r="A42" s="2"/>
      <c r="B42" s="1242">
        <f t="shared" si="1"/>
        <v>207</v>
      </c>
      <c r="C42" s="15"/>
      <c r="D42" s="171">
        <f t="shared" si="4"/>
        <v>0</v>
      </c>
      <c r="E42" s="363"/>
      <c r="F42" s="69">
        <f t="shared" si="0"/>
        <v>0</v>
      </c>
      <c r="G42" s="70"/>
      <c r="H42" s="71"/>
      <c r="I42" s="215">
        <f t="shared" si="5"/>
        <v>4698.9399999999996</v>
      </c>
      <c r="J42" s="216">
        <f t="shared" si="3"/>
        <v>207</v>
      </c>
    </row>
    <row r="43" spans="1:10" ht="15.75" x14ac:dyDescent="0.25">
      <c r="A43" s="2"/>
      <c r="B43" s="1242">
        <f t="shared" si="1"/>
        <v>207</v>
      </c>
      <c r="C43" s="15"/>
      <c r="D43" s="171">
        <f t="shared" si="4"/>
        <v>0</v>
      </c>
      <c r="E43" s="363"/>
      <c r="F43" s="69">
        <f t="shared" si="0"/>
        <v>0</v>
      </c>
      <c r="G43" s="70"/>
      <c r="H43" s="71"/>
      <c r="I43" s="215">
        <f t="shared" si="5"/>
        <v>4698.9399999999996</v>
      </c>
      <c r="J43" s="216">
        <f t="shared" si="3"/>
        <v>207</v>
      </c>
    </row>
    <row r="44" spans="1:10" ht="15.75" x14ac:dyDescent="0.25">
      <c r="A44" s="2"/>
      <c r="B44" s="1242">
        <f t="shared" si="1"/>
        <v>207</v>
      </c>
      <c r="C44" s="15"/>
      <c r="D44" s="171">
        <f t="shared" si="4"/>
        <v>0</v>
      </c>
      <c r="E44" s="363"/>
      <c r="F44" s="69">
        <f t="shared" si="0"/>
        <v>0</v>
      </c>
      <c r="G44" s="70"/>
      <c r="H44" s="71"/>
      <c r="I44" s="215">
        <f t="shared" si="5"/>
        <v>4698.9399999999996</v>
      </c>
      <c r="J44" s="216">
        <f t="shared" si="3"/>
        <v>207</v>
      </c>
    </row>
    <row r="45" spans="1:10" ht="15.75" x14ac:dyDescent="0.25">
      <c r="A45" s="2"/>
      <c r="B45" s="1242">
        <f t="shared" si="1"/>
        <v>207</v>
      </c>
      <c r="C45" s="15"/>
      <c r="D45" s="171">
        <f t="shared" si="4"/>
        <v>0</v>
      </c>
      <c r="E45" s="363"/>
      <c r="F45" s="69">
        <f t="shared" si="0"/>
        <v>0</v>
      </c>
      <c r="G45" s="70"/>
      <c r="H45" s="71"/>
      <c r="I45" s="215">
        <f t="shared" si="5"/>
        <v>4698.9399999999996</v>
      </c>
      <c r="J45" s="216">
        <f t="shared" si="3"/>
        <v>207</v>
      </c>
    </row>
    <row r="46" spans="1:10" ht="15.75" x14ac:dyDescent="0.25">
      <c r="A46" s="2"/>
      <c r="B46" s="1242">
        <f t="shared" si="1"/>
        <v>207</v>
      </c>
      <c r="C46" s="15"/>
      <c r="D46" s="171">
        <f t="shared" si="4"/>
        <v>0</v>
      </c>
      <c r="E46" s="363"/>
      <c r="F46" s="69">
        <f t="shared" si="0"/>
        <v>0</v>
      </c>
      <c r="G46" s="70"/>
      <c r="H46" s="71"/>
      <c r="I46" s="215">
        <f t="shared" si="5"/>
        <v>4698.9399999999996</v>
      </c>
      <c r="J46" s="216">
        <f t="shared" si="3"/>
        <v>207</v>
      </c>
    </row>
    <row r="47" spans="1:10" ht="15.75" x14ac:dyDescent="0.25">
      <c r="A47" s="2"/>
      <c r="B47" s="1242">
        <f t="shared" si="1"/>
        <v>207</v>
      </c>
      <c r="C47" s="15"/>
      <c r="D47" s="171">
        <f t="shared" si="4"/>
        <v>0</v>
      </c>
      <c r="E47" s="363"/>
      <c r="F47" s="69">
        <f t="shared" si="0"/>
        <v>0</v>
      </c>
      <c r="G47" s="70"/>
      <c r="H47" s="71"/>
      <c r="I47" s="215">
        <f t="shared" si="5"/>
        <v>4698.9399999999996</v>
      </c>
      <c r="J47" s="216">
        <f t="shared" si="3"/>
        <v>207</v>
      </c>
    </row>
    <row r="48" spans="1:10" ht="15.75" x14ac:dyDescent="0.25">
      <c r="A48" s="2"/>
      <c r="B48" s="1242">
        <f t="shared" si="1"/>
        <v>207</v>
      </c>
      <c r="C48" s="15"/>
      <c r="D48" s="171">
        <f t="shared" si="4"/>
        <v>0</v>
      </c>
      <c r="E48" s="363"/>
      <c r="F48" s="69">
        <f t="shared" si="0"/>
        <v>0</v>
      </c>
      <c r="G48" s="70"/>
      <c r="H48" s="71"/>
      <c r="I48" s="215">
        <f t="shared" si="5"/>
        <v>4698.9399999999996</v>
      </c>
      <c r="J48" s="216">
        <f t="shared" si="3"/>
        <v>207</v>
      </c>
    </row>
    <row r="49" spans="1:10" ht="15.75" x14ac:dyDescent="0.25">
      <c r="A49" s="2"/>
      <c r="B49" s="1242">
        <f t="shared" si="1"/>
        <v>207</v>
      </c>
      <c r="C49" s="15"/>
      <c r="D49" s="171">
        <f t="shared" si="4"/>
        <v>0</v>
      </c>
      <c r="E49" s="363"/>
      <c r="F49" s="69">
        <f t="shared" si="0"/>
        <v>0</v>
      </c>
      <c r="G49" s="70"/>
      <c r="H49" s="71"/>
      <c r="I49" s="215">
        <f t="shared" si="5"/>
        <v>4698.9399999999996</v>
      </c>
      <c r="J49" s="216">
        <f t="shared" si="3"/>
        <v>207</v>
      </c>
    </row>
    <row r="50" spans="1:10" ht="15.75" x14ac:dyDescent="0.25">
      <c r="A50" s="2"/>
      <c r="B50" s="1242">
        <f t="shared" si="1"/>
        <v>207</v>
      </c>
      <c r="C50" s="15"/>
      <c r="D50" s="171">
        <f t="shared" si="4"/>
        <v>0</v>
      </c>
      <c r="E50" s="363"/>
      <c r="F50" s="69">
        <f t="shared" si="0"/>
        <v>0</v>
      </c>
      <c r="G50" s="70"/>
      <c r="H50" s="71"/>
      <c r="I50" s="215">
        <f t="shared" si="5"/>
        <v>4698.9399999999996</v>
      </c>
      <c r="J50" s="216">
        <f t="shared" si="3"/>
        <v>207</v>
      </c>
    </row>
    <row r="51" spans="1:10" ht="16.5" thickBot="1" x14ac:dyDescent="0.3">
      <c r="A51" s="4"/>
      <c r="B51" s="1242">
        <f t="shared" si="1"/>
        <v>207</v>
      </c>
      <c r="C51" s="37"/>
      <c r="D51" s="181">
        <f t="shared" si="4"/>
        <v>0</v>
      </c>
      <c r="E51" s="244"/>
      <c r="F51" s="196">
        <f t="shared" si="0"/>
        <v>0</v>
      </c>
      <c r="G51" s="197"/>
      <c r="H51" s="189"/>
    </row>
    <row r="52" spans="1:10" ht="17.25" thickTop="1" thickBot="1" x14ac:dyDescent="0.3">
      <c r="B52" s="1242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242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428" t="s">
        <v>11</v>
      </c>
      <c r="D55" s="1429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B19" sqref="B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0" t="s">
        <v>309</v>
      </c>
      <c r="B1" s="1390"/>
      <c r="C1" s="1390"/>
      <c r="D1" s="1390"/>
      <c r="E1" s="1390"/>
      <c r="F1" s="1390"/>
      <c r="G1" s="1390"/>
      <c r="H1" s="11">
        <v>1</v>
      </c>
      <c r="K1" s="1390" t="s">
        <v>309</v>
      </c>
      <c r="L1" s="1390"/>
      <c r="M1" s="1390"/>
      <c r="N1" s="1390"/>
      <c r="O1" s="1390"/>
      <c r="P1" s="1390"/>
      <c r="Q1" s="13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95"/>
      <c r="B4" s="1422" t="s">
        <v>310</v>
      </c>
      <c r="C4" s="125"/>
      <c r="D4" s="131"/>
      <c r="E4" s="121"/>
      <c r="F4" s="73"/>
      <c r="G4" s="47"/>
      <c r="H4" s="1100"/>
      <c r="K4" s="1395"/>
      <c r="L4" s="1422" t="s">
        <v>310</v>
      </c>
      <c r="M4" s="125"/>
      <c r="N4" s="131"/>
      <c r="O4" s="121"/>
      <c r="P4" s="73"/>
      <c r="Q4" s="47"/>
      <c r="R4" s="1100"/>
    </row>
    <row r="5" spans="1:19" ht="15" customHeight="1" x14ac:dyDescent="0.25">
      <c r="A5" s="1395"/>
      <c r="B5" s="1423"/>
      <c r="C5" s="125">
        <v>133</v>
      </c>
      <c r="D5" s="225">
        <v>44967</v>
      </c>
      <c r="E5" s="78">
        <v>500.82</v>
      </c>
      <c r="F5" s="62">
        <v>23</v>
      </c>
      <c r="K5" s="1395"/>
      <c r="L5" s="1423"/>
      <c r="M5" s="125"/>
      <c r="N5" s="225">
        <v>44989</v>
      </c>
      <c r="O5" s="78">
        <v>1034.5899999999999</v>
      </c>
      <c r="P5" s="62">
        <v>40</v>
      </c>
    </row>
    <row r="6" spans="1:19" ht="15" customHeight="1" x14ac:dyDescent="0.25">
      <c r="A6" s="969" t="s">
        <v>94</v>
      </c>
      <c r="B6" s="1423"/>
      <c r="C6" s="125">
        <v>133</v>
      </c>
      <c r="D6" s="225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435" t="s">
        <v>685</v>
      </c>
      <c r="L6" s="1423"/>
      <c r="M6" s="125"/>
      <c r="N6" s="225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69"/>
      <c r="B7" s="970"/>
      <c r="C7" s="125"/>
      <c r="D7" s="225"/>
      <c r="E7" s="78"/>
      <c r="F7" s="62"/>
      <c r="K7" s="1435"/>
      <c r="L7" s="1201"/>
      <c r="M7" s="125"/>
      <c r="N7" s="225"/>
      <c r="O7" s="78"/>
      <c r="P7" s="62"/>
    </row>
    <row r="8" spans="1:19" ht="16.5" thickBot="1" x14ac:dyDescent="0.3">
      <c r="A8" s="969"/>
      <c r="B8" s="970"/>
      <c r="C8" s="125"/>
      <c r="D8" s="225"/>
      <c r="E8" s="78"/>
      <c r="F8" s="62"/>
      <c r="K8" s="1200"/>
      <c r="L8" s="1201"/>
      <c r="M8" s="125"/>
      <c r="N8" s="225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1">
        <f>F4+F5-C10+F6+F7+F8</f>
        <v>58</v>
      </c>
      <c r="C10" s="814">
        <v>5</v>
      </c>
      <c r="D10" s="633">
        <v>120.91</v>
      </c>
      <c r="E10" s="741">
        <v>44971</v>
      </c>
      <c r="F10" s="633">
        <f t="shared" ref="F10:F55" si="0">D10</f>
        <v>120.91</v>
      </c>
      <c r="G10" s="631" t="s">
        <v>572</v>
      </c>
      <c r="H10" s="632">
        <v>135</v>
      </c>
      <c r="I10" s="742">
        <f>E5+E4-F10+E6+E7+E8</f>
        <v>1309.1399999999999</v>
      </c>
      <c r="J10" s="664"/>
      <c r="K10" s="55" t="s">
        <v>32</v>
      </c>
      <c r="L10" s="851">
        <f>P4+P5-M10+P6+P7+P8</f>
        <v>40</v>
      </c>
      <c r="M10" s="814"/>
      <c r="N10" s="633"/>
      <c r="O10" s="741"/>
      <c r="P10" s="633">
        <f t="shared" ref="P10:P55" si="1">N10</f>
        <v>0</v>
      </c>
      <c r="Q10" s="631"/>
      <c r="R10" s="632"/>
      <c r="S10" s="742">
        <f>O5+O4-P10+O6+O7+O8</f>
        <v>1034.5899999999999</v>
      </c>
    </row>
    <row r="11" spans="1:19" x14ac:dyDescent="0.25">
      <c r="A11" s="77"/>
      <c r="B11" s="769">
        <f t="shared" ref="B11:B54" si="2">B10-C11</f>
        <v>57</v>
      </c>
      <c r="C11" s="814">
        <v>1</v>
      </c>
      <c r="D11" s="633">
        <v>21.85</v>
      </c>
      <c r="E11" s="741">
        <v>44974</v>
      </c>
      <c r="F11" s="633">
        <f t="shared" si="0"/>
        <v>21.85</v>
      </c>
      <c r="G11" s="631" t="s">
        <v>457</v>
      </c>
      <c r="H11" s="632">
        <v>135</v>
      </c>
      <c r="I11" s="742">
        <f>I10-F11</f>
        <v>1287.29</v>
      </c>
      <c r="J11" s="664"/>
      <c r="K11" s="77"/>
      <c r="L11" s="769">
        <f t="shared" ref="L11:L54" si="3">L10-M11</f>
        <v>40</v>
      </c>
      <c r="M11" s="814"/>
      <c r="N11" s="633"/>
      <c r="O11" s="741"/>
      <c r="P11" s="633">
        <f t="shared" si="1"/>
        <v>0</v>
      </c>
      <c r="Q11" s="631"/>
      <c r="R11" s="632"/>
      <c r="S11" s="742">
        <f>S10-P11</f>
        <v>1034.5899999999999</v>
      </c>
    </row>
    <row r="12" spans="1:19" x14ac:dyDescent="0.25">
      <c r="A12" s="12"/>
      <c r="B12" s="769">
        <f t="shared" si="2"/>
        <v>49</v>
      </c>
      <c r="C12" s="714">
        <v>8</v>
      </c>
      <c r="D12" s="633">
        <v>176.15</v>
      </c>
      <c r="E12" s="741">
        <v>44975</v>
      </c>
      <c r="F12" s="633">
        <f t="shared" si="0"/>
        <v>176.15</v>
      </c>
      <c r="G12" s="631" t="s">
        <v>458</v>
      </c>
      <c r="H12" s="632">
        <v>135</v>
      </c>
      <c r="I12" s="742">
        <f t="shared" ref="I12:I55" si="4">I11-F12</f>
        <v>1111.1399999999999</v>
      </c>
      <c r="J12" s="664"/>
      <c r="K12" s="12"/>
      <c r="L12" s="769">
        <f t="shared" si="3"/>
        <v>40</v>
      </c>
      <c r="M12" s="714"/>
      <c r="N12" s="633"/>
      <c r="O12" s="741"/>
      <c r="P12" s="633">
        <f t="shared" si="1"/>
        <v>0</v>
      </c>
      <c r="Q12" s="631"/>
      <c r="R12" s="632"/>
      <c r="S12" s="742">
        <f t="shared" ref="S12:S55" si="5">S11-P12</f>
        <v>1034.5899999999999</v>
      </c>
    </row>
    <row r="13" spans="1:19" x14ac:dyDescent="0.25">
      <c r="A13" s="55" t="s">
        <v>33</v>
      </c>
      <c r="B13" s="769">
        <f t="shared" si="2"/>
        <v>45</v>
      </c>
      <c r="C13" s="714">
        <v>4</v>
      </c>
      <c r="D13" s="633">
        <v>77.290000000000006</v>
      </c>
      <c r="E13" s="741">
        <v>44975</v>
      </c>
      <c r="F13" s="633">
        <f t="shared" si="0"/>
        <v>77.290000000000006</v>
      </c>
      <c r="G13" s="631" t="s">
        <v>459</v>
      </c>
      <c r="H13" s="632">
        <v>135</v>
      </c>
      <c r="I13" s="742">
        <f t="shared" si="4"/>
        <v>1033.8499999999999</v>
      </c>
      <c r="J13" s="664"/>
      <c r="K13" s="55" t="s">
        <v>33</v>
      </c>
      <c r="L13" s="769">
        <f t="shared" si="3"/>
        <v>40</v>
      </c>
      <c r="M13" s="714"/>
      <c r="N13" s="633"/>
      <c r="O13" s="741"/>
      <c r="P13" s="633">
        <f t="shared" si="1"/>
        <v>0</v>
      </c>
      <c r="Q13" s="631"/>
      <c r="R13" s="632"/>
      <c r="S13" s="742">
        <f t="shared" si="5"/>
        <v>1034.5899999999999</v>
      </c>
    </row>
    <row r="14" spans="1:19" x14ac:dyDescent="0.25">
      <c r="A14" s="77"/>
      <c r="B14" s="769">
        <f t="shared" si="2"/>
        <v>44</v>
      </c>
      <c r="C14" s="714">
        <v>1</v>
      </c>
      <c r="D14" s="633">
        <v>23.9</v>
      </c>
      <c r="E14" s="741">
        <v>44981</v>
      </c>
      <c r="F14" s="633">
        <f t="shared" si="0"/>
        <v>23.9</v>
      </c>
      <c r="G14" s="631" t="s">
        <v>649</v>
      </c>
      <c r="H14" s="632">
        <v>135</v>
      </c>
      <c r="I14" s="742">
        <f t="shared" si="4"/>
        <v>1009.9499999999999</v>
      </c>
      <c r="J14" s="664"/>
      <c r="K14" s="77"/>
      <c r="L14" s="769">
        <f t="shared" si="3"/>
        <v>40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1034.5899999999999</v>
      </c>
    </row>
    <row r="15" spans="1:19" x14ac:dyDescent="0.25">
      <c r="A15" s="12"/>
      <c r="B15" s="178">
        <f t="shared" si="2"/>
        <v>43</v>
      </c>
      <c r="C15" s="15">
        <v>1</v>
      </c>
      <c r="D15" s="633">
        <v>22.83</v>
      </c>
      <c r="E15" s="741">
        <v>44982</v>
      </c>
      <c r="F15" s="633">
        <f t="shared" si="0"/>
        <v>22.83</v>
      </c>
      <c r="G15" s="631" t="s">
        <v>661</v>
      </c>
      <c r="H15" s="632">
        <v>135</v>
      </c>
      <c r="I15" s="742">
        <f t="shared" si="4"/>
        <v>987.11999999999989</v>
      </c>
      <c r="K15" s="12"/>
      <c r="L15" s="178">
        <f t="shared" si="3"/>
        <v>40</v>
      </c>
      <c r="M15" s="15"/>
      <c r="N15" s="633"/>
      <c r="O15" s="741"/>
      <c r="P15" s="633">
        <f t="shared" si="1"/>
        <v>0</v>
      </c>
      <c r="Q15" s="631"/>
      <c r="R15" s="632"/>
      <c r="S15" s="742">
        <f t="shared" si="5"/>
        <v>1034.5899999999999</v>
      </c>
    </row>
    <row r="16" spans="1:19" x14ac:dyDescent="0.25">
      <c r="B16" s="178">
        <f t="shared" si="2"/>
        <v>39</v>
      </c>
      <c r="C16" s="15">
        <v>4</v>
      </c>
      <c r="D16" s="633">
        <v>81.790000000000006</v>
      </c>
      <c r="E16" s="741">
        <v>44988</v>
      </c>
      <c r="F16" s="633">
        <f t="shared" si="0"/>
        <v>81.790000000000006</v>
      </c>
      <c r="G16" s="631" t="s">
        <v>716</v>
      </c>
      <c r="H16" s="632">
        <v>135</v>
      </c>
      <c r="I16" s="742">
        <f t="shared" si="4"/>
        <v>905.32999999999993</v>
      </c>
      <c r="L16" s="178">
        <f t="shared" si="3"/>
        <v>40</v>
      </c>
      <c r="M16" s="15"/>
      <c r="N16" s="633"/>
      <c r="O16" s="741"/>
      <c r="P16" s="633">
        <f t="shared" si="1"/>
        <v>0</v>
      </c>
      <c r="Q16" s="631"/>
      <c r="R16" s="632"/>
      <c r="S16" s="742">
        <f t="shared" si="5"/>
        <v>1034.5899999999999</v>
      </c>
    </row>
    <row r="17" spans="2:19" x14ac:dyDescent="0.25">
      <c r="B17" s="178">
        <f t="shared" si="2"/>
        <v>35</v>
      </c>
      <c r="C17" s="15">
        <v>4</v>
      </c>
      <c r="D17" s="633">
        <v>44.84</v>
      </c>
      <c r="E17" s="741">
        <v>44989</v>
      </c>
      <c r="F17" s="633">
        <f t="shared" si="0"/>
        <v>44.84</v>
      </c>
      <c r="G17" s="631" t="s">
        <v>729</v>
      </c>
      <c r="H17" s="632">
        <v>135</v>
      </c>
      <c r="I17" s="742">
        <f t="shared" si="4"/>
        <v>860.4899999999999</v>
      </c>
      <c r="L17" s="178">
        <f t="shared" si="3"/>
        <v>40</v>
      </c>
      <c r="M17" s="15"/>
      <c r="N17" s="633"/>
      <c r="O17" s="741"/>
      <c r="P17" s="633">
        <f t="shared" si="1"/>
        <v>0</v>
      </c>
      <c r="Q17" s="631"/>
      <c r="R17" s="632"/>
      <c r="S17" s="742">
        <f t="shared" si="5"/>
        <v>1034.5899999999999</v>
      </c>
    </row>
    <row r="18" spans="2:19" x14ac:dyDescent="0.25">
      <c r="B18" s="178">
        <f t="shared" si="2"/>
        <v>30</v>
      </c>
      <c r="C18" s="15">
        <v>5</v>
      </c>
      <c r="D18" s="633">
        <v>131.47</v>
      </c>
      <c r="E18" s="741">
        <v>44989</v>
      </c>
      <c r="F18" s="633">
        <f t="shared" si="0"/>
        <v>131.47</v>
      </c>
      <c r="G18" s="631" t="s">
        <v>731</v>
      </c>
      <c r="H18" s="632">
        <v>139</v>
      </c>
      <c r="I18" s="742">
        <f t="shared" si="4"/>
        <v>729.01999999999987</v>
      </c>
      <c r="L18" s="178">
        <f t="shared" si="3"/>
        <v>40</v>
      </c>
      <c r="M18" s="15"/>
      <c r="N18" s="633"/>
      <c r="O18" s="741"/>
      <c r="P18" s="633">
        <f t="shared" si="1"/>
        <v>0</v>
      </c>
      <c r="Q18" s="631"/>
      <c r="R18" s="632"/>
      <c r="S18" s="742">
        <f t="shared" si="5"/>
        <v>1034.5899999999999</v>
      </c>
    </row>
    <row r="19" spans="2:19" x14ac:dyDescent="0.25">
      <c r="B19" s="178">
        <f t="shared" si="2"/>
        <v>30</v>
      </c>
      <c r="C19" s="53"/>
      <c r="D19" s="633"/>
      <c r="E19" s="741"/>
      <c r="F19" s="633">
        <f t="shared" si="0"/>
        <v>0</v>
      </c>
      <c r="G19" s="631"/>
      <c r="H19" s="632"/>
      <c r="I19" s="742">
        <f t="shared" si="4"/>
        <v>729.01999999999987</v>
      </c>
      <c r="L19" s="178">
        <f t="shared" si="3"/>
        <v>40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1034.5899999999999</v>
      </c>
    </row>
    <row r="20" spans="2:19" x14ac:dyDescent="0.25">
      <c r="B20" s="178">
        <f t="shared" si="2"/>
        <v>30</v>
      </c>
      <c r="C20" s="15"/>
      <c r="D20" s="633"/>
      <c r="E20" s="741"/>
      <c r="F20" s="633">
        <f t="shared" si="0"/>
        <v>0</v>
      </c>
      <c r="G20" s="631"/>
      <c r="H20" s="632"/>
      <c r="I20" s="742">
        <f t="shared" si="4"/>
        <v>729.01999999999987</v>
      </c>
      <c r="L20" s="178">
        <f t="shared" si="3"/>
        <v>40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1034.5899999999999</v>
      </c>
    </row>
    <row r="21" spans="2:19" x14ac:dyDescent="0.25">
      <c r="B21" s="178">
        <f t="shared" si="2"/>
        <v>30</v>
      </c>
      <c r="C21" s="15"/>
      <c r="D21" s="633"/>
      <c r="E21" s="741"/>
      <c r="F21" s="633">
        <f t="shared" si="0"/>
        <v>0</v>
      </c>
      <c r="G21" s="631"/>
      <c r="H21" s="632"/>
      <c r="I21" s="742">
        <f t="shared" si="4"/>
        <v>729.01999999999987</v>
      </c>
      <c r="L21" s="178">
        <f t="shared" si="3"/>
        <v>40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1034.5899999999999</v>
      </c>
    </row>
    <row r="22" spans="2:19" x14ac:dyDescent="0.25">
      <c r="B22" s="178">
        <f t="shared" si="2"/>
        <v>30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729.01999999999987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8">
        <f t="shared" si="2"/>
        <v>30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729.01999999999987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8">
        <f t="shared" si="2"/>
        <v>30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729.01999999999987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8">
        <f t="shared" si="2"/>
        <v>30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729.01999999999987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8">
        <f t="shared" si="2"/>
        <v>30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729.01999999999987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8">
        <f t="shared" si="2"/>
        <v>30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729.01999999999987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8">
        <f t="shared" si="2"/>
        <v>30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729.01999999999987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8">
        <f t="shared" si="2"/>
        <v>30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729.01999999999987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8">
        <f t="shared" si="2"/>
        <v>30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729.01999999999987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8">
        <f t="shared" si="2"/>
        <v>30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729.01999999999987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8">
        <f t="shared" si="2"/>
        <v>30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729.01999999999987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8">
        <f t="shared" si="2"/>
        <v>30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729.01999999999987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8">
        <f t="shared" si="2"/>
        <v>30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729.01999999999987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8">
        <f t="shared" si="2"/>
        <v>30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729.01999999999987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8">
        <f t="shared" si="2"/>
        <v>30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729.01999999999987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8">
        <f t="shared" si="2"/>
        <v>30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729.01999999999987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8">
        <f t="shared" si="2"/>
        <v>30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729.01999999999987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8">
        <f t="shared" si="2"/>
        <v>30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729.01999999999987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8">
        <f t="shared" si="2"/>
        <v>30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729.01999999999987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8">
        <f t="shared" si="2"/>
        <v>30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729.01999999999987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8">
        <f t="shared" si="2"/>
        <v>30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729.01999999999987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8">
        <f t="shared" si="2"/>
        <v>30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729.01999999999987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8">
        <f t="shared" si="2"/>
        <v>30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729.01999999999987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8">
        <f t="shared" si="2"/>
        <v>30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729.01999999999987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8">
        <f t="shared" si="2"/>
        <v>30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729.01999999999987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8">
        <f t="shared" si="2"/>
        <v>30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729.01999999999987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8">
        <f t="shared" si="2"/>
        <v>30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729.01999999999987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8">
        <f t="shared" si="2"/>
        <v>30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729.01999999999987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8">
        <f t="shared" si="2"/>
        <v>30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729.01999999999987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8">
        <f t="shared" si="2"/>
        <v>30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729.01999999999987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8">
        <f t="shared" si="2"/>
        <v>30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729.01999999999987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8">
        <f t="shared" si="2"/>
        <v>30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729.01999999999987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8">
        <f t="shared" si="2"/>
        <v>30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729.01999999999987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729.01999999999987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388" t="s">
        <v>11</v>
      </c>
      <c r="D61" s="1389"/>
      <c r="E61" s="57">
        <f>E5+E6+E7+E8-F56</f>
        <v>729.02</v>
      </c>
      <c r="L61" s="91"/>
      <c r="M61" s="1388" t="s">
        <v>11</v>
      </c>
      <c r="N61" s="1389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4" activePane="bottomLeft" state="frozen"/>
      <selection activeCell="M1" sqref="M1"/>
      <selection pane="bottomLeft" activeCell="S45" sqref="S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90" t="s">
        <v>294</v>
      </c>
      <c r="B1" s="1390"/>
      <c r="C1" s="1390"/>
      <c r="D1" s="1390"/>
      <c r="E1" s="1390"/>
      <c r="F1" s="1390"/>
      <c r="G1" s="1390"/>
      <c r="H1" s="1390"/>
      <c r="I1" s="1390"/>
      <c r="J1" s="11">
        <v>1</v>
      </c>
      <c r="M1" s="1390" t="s">
        <v>294</v>
      </c>
      <c r="N1" s="1390"/>
      <c r="O1" s="1390"/>
      <c r="P1" s="1390"/>
      <c r="Q1" s="1390"/>
      <c r="R1" s="1390"/>
      <c r="S1" s="1390"/>
      <c r="T1" s="1390"/>
      <c r="U1" s="1390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4"/>
      <c r="D4" s="835"/>
      <c r="E4" s="666"/>
      <c r="F4" s="645"/>
      <c r="G4" s="73"/>
      <c r="I4" s="186"/>
      <c r="J4" s="73" t="s">
        <v>36</v>
      </c>
      <c r="N4" s="12"/>
      <c r="O4" s="834"/>
      <c r="P4" s="835"/>
      <c r="Q4" s="666">
        <v>95.34</v>
      </c>
      <c r="R4" s="645">
        <v>21</v>
      </c>
      <c r="S4" s="73"/>
      <c r="U4" s="186"/>
      <c r="V4" s="73" t="s">
        <v>36</v>
      </c>
    </row>
    <row r="5" spans="1:23" ht="15" customHeight="1" x14ac:dyDescent="0.25">
      <c r="A5" s="1400" t="s">
        <v>295</v>
      </c>
      <c r="B5" s="1436" t="s">
        <v>43</v>
      </c>
      <c r="C5" s="834">
        <v>44</v>
      </c>
      <c r="D5" s="835">
        <v>44956</v>
      </c>
      <c r="E5" s="666">
        <v>2002.14</v>
      </c>
      <c r="F5" s="645">
        <v>441</v>
      </c>
      <c r="G5" s="5">
        <f>F109</f>
        <v>2002.1399999999999</v>
      </c>
      <c r="H5" s="7">
        <f>E4+E5-G5+E6+E7</f>
        <v>2.2737367544323206E-13</v>
      </c>
      <c r="I5" s="186"/>
      <c r="J5" s="73"/>
      <c r="M5" s="1400" t="s">
        <v>213</v>
      </c>
      <c r="N5" s="1436" t="s">
        <v>43</v>
      </c>
      <c r="O5" s="834">
        <v>42</v>
      </c>
      <c r="P5" s="835">
        <v>44967</v>
      </c>
      <c r="Q5" s="666">
        <v>2002.14</v>
      </c>
      <c r="R5" s="645">
        <v>441</v>
      </c>
      <c r="S5" s="5">
        <f>R109</f>
        <v>3450.3999999999987</v>
      </c>
      <c r="T5" s="7">
        <f>Q4+Q5-S5+Q6+Q7</f>
        <v>649.22000000000139</v>
      </c>
      <c r="U5" s="186"/>
      <c r="V5" s="73"/>
    </row>
    <row r="6" spans="1:23" x14ac:dyDescent="0.25">
      <c r="A6" s="1400"/>
      <c r="B6" s="1436"/>
      <c r="C6" s="834"/>
      <c r="D6" s="825"/>
      <c r="E6" s="742"/>
      <c r="F6" s="763"/>
      <c r="I6" s="187"/>
      <c r="J6" s="73"/>
      <c r="M6" s="1400"/>
      <c r="N6" s="1436"/>
      <c r="O6" s="834">
        <v>43</v>
      </c>
      <c r="P6" s="825">
        <v>44980</v>
      </c>
      <c r="Q6" s="742">
        <v>2002.14</v>
      </c>
      <c r="R6" s="763">
        <v>441</v>
      </c>
      <c r="U6" s="187"/>
      <c r="V6" s="73"/>
    </row>
    <row r="7" spans="1:23" ht="15.75" thickBot="1" x14ac:dyDescent="0.3">
      <c r="B7" s="12"/>
      <c r="C7" s="646"/>
      <c r="D7" s="825"/>
      <c r="E7" s="666"/>
      <c r="F7" s="645"/>
      <c r="I7" s="187"/>
      <c r="J7" s="73"/>
      <c r="N7" s="12"/>
      <c r="O7" s="646"/>
      <c r="P7" s="825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445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1">
        <v>44968</v>
      </c>
      <c r="R9" s="69">
        <f t="shared" ref="R9:R31" si="3">P9</f>
        <v>136.19999999999999</v>
      </c>
      <c r="S9" s="70" t="s">
        <v>561</v>
      </c>
      <c r="T9" s="71">
        <v>50</v>
      </c>
      <c r="U9" s="186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486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1">
        <v>44970</v>
      </c>
      <c r="R10" s="69">
        <f t="shared" si="3"/>
        <v>4.54</v>
      </c>
      <c r="S10" s="70" t="s">
        <v>564</v>
      </c>
      <c r="T10" s="71">
        <v>50</v>
      </c>
      <c r="U10" s="186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14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487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4">
        <v>20</v>
      </c>
      <c r="P11" s="633">
        <f t="shared" si="2"/>
        <v>90.8</v>
      </c>
      <c r="Q11" s="191">
        <v>44970</v>
      </c>
      <c r="R11" s="69">
        <f t="shared" si="3"/>
        <v>90.8</v>
      </c>
      <c r="S11" s="70" t="s">
        <v>454</v>
      </c>
      <c r="T11" s="71">
        <v>50</v>
      </c>
      <c r="U11" s="186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488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1">
        <v>44971</v>
      </c>
      <c r="R12" s="69">
        <f t="shared" si="3"/>
        <v>136.19999999999999</v>
      </c>
      <c r="S12" s="70" t="s">
        <v>568</v>
      </c>
      <c r="T12" s="71">
        <v>50</v>
      </c>
      <c r="U12" s="186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493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1">
        <v>44972</v>
      </c>
      <c r="R13" s="69">
        <f t="shared" si="3"/>
        <v>136.19999999999999</v>
      </c>
      <c r="S13" s="70" t="s">
        <v>455</v>
      </c>
      <c r="T13" s="71">
        <v>50</v>
      </c>
      <c r="U13" s="186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500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1">
        <v>44972</v>
      </c>
      <c r="R14" s="69">
        <f t="shared" si="3"/>
        <v>13.620000000000001</v>
      </c>
      <c r="S14" s="70" t="s">
        <v>578</v>
      </c>
      <c r="T14" s="71">
        <v>50</v>
      </c>
      <c r="U14" s="186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501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582</v>
      </c>
      <c r="T15" s="71">
        <v>50</v>
      </c>
      <c r="U15" s="186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502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1">
        <v>44974</v>
      </c>
      <c r="R16" s="69">
        <f t="shared" si="3"/>
        <v>136.19999999999999</v>
      </c>
      <c r="S16" s="70" t="s">
        <v>595</v>
      </c>
      <c r="T16" s="71">
        <v>50</v>
      </c>
      <c r="U16" s="186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512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1">
        <v>44974</v>
      </c>
      <c r="R17" s="69">
        <f t="shared" si="3"/>
        <v>45.4</v>
      </c>
      <c r="S17" s="70" t="s">
        <v>457</v>
      </c>
      <c r="T17" s="71">
        <v>50</v>
      </c>
      <c r="U17" s="186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514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1">
        <v>44975</v>
      </c>
      <c r="R18" s="69">
        <f t="shared" si="3"/>
        <v>136.19999999999999</v>
      </c>
      <c r="S18" s="70" t="s">
        <v>458</v>
      </c>
      <c r="T18" s="71">
        <v>50</v>
      </c>
      <c r="U18" s="186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520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1">
        <v>44975</v>
      </c>
      <c r="R19" s="69">
        <f t="shared" si="3"/>
        <v>9.08</v>
      </c>
      <c r="S19" s="70" t="s">
        <v>602</v>
      </c>
      <c r="T19" s="71">
        <v>50</v>
      </c>
      <c r="U19" s="186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522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1">
        <v>44976</v>
      </c>
      <c r="R20" s="69">
        <f t="shared" si="3"/>
        <v>4.54</v>
      </c>
      <c r="S20" s="70" t="s">
        <v>612</v>
      </c>
      <c r="T20" s="71">
        <v>50</v>
      </c>
      <c r="U20" s="186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527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1">
        <v>44977</v>
      </c>
      <c r="R21" s="69">
        <f t="shared" si="3"/>
        <v>18.16</v>
      </c>
      <c r="S21" s="70" t="s">
        <v>461</v>
      </c>
      <c r="T21" s="71">
        <v>50</v>
      </c>
      <c r="U21" s="186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528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1">
        <v>44977</v>
      </c>
      <c r="R22" s="69">
        <f t="shared" si="3"/>
        <v>136.19999999999999</v>
      </c>
      <c r="S22" s="70" t="s">
        <v>615</v>
      </c>
      <c r="T22" s="71">
        <v>50</v>
      </c>
      <c r="U22" s="186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534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>
        <v>18</v>
      </c>
      <c r="P23" s="69">
        <f t="shared" si="2"/>
        <v>81.72</v>
      </c>
      <c r="Q23" s="191">
        <v>44978</v>
      </c>
      <c r="R23" s="69">
        <f t="shared" si="3"/>
        <v>81.72</v>
      </c>
      <c r="S23" s="70" t="s">
        <v>619</v>
      </c>
      <c r="T23" s="71">
        <v>50</v>
      </c>
      <c r="U23" s="186">
        <f t="shared" si="8"/>
        <v>2787.5600000000013</v>
      </c>
      <c r="V23" s="73">
        <f t="shared" si="9"/>
        <v>614</v>
      </c>
      <c r="W23" s="60">
        <f t="shared" si="5"/>
        <v>4086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3">
        <v>44965</v>
      </c>
      <c r="F24" s="633">
        <f t="shared" si="1"/>
        <v>27.240000000000002</v>
      </c>
      <c r="G24" s="631" t="s">
        <v>449</v>
      </c>
      <c r="H24" s="632">
        <v>50</v>
      </c>
      <c r="I24" s="945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>
        <v>12</v>
      </c>
      <c r="P24" s="69">
        <f t="shared" si="2"/>
        <v>54.480000000000004</v>
      </c>
      <c r="Q24" s="743">
        <v>44978</v>
      </c>
      <c r="R24" s="633">
        <f t="shared" si="3"/>
        <v>54.480000000000004</v>
      </c>
      <c r="S24" s="631" t="s">
        <v>620</v>
      </c>
      <c r="T24" s="632">
        <v>50</v>
      </c>
      <c r="U24" s="945">
        <f t="shared" si="8"/>
        <v>2733.0800000000013</v>
      </c>
      <c r="V24" s="645">
        <f t="shared" si="9"/>
        <v>602</v>
      </c>
      <c r="W24" s="665">
        <f t="shared" si="5"/>
        <v>2724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3">
        <v>44965</v>
      </c>
      <c r="F25" s="633">
        <f t="shared" si="1"/>
        <v>136.19999999999999</v>
      </c>
      <c r="G25" s="631" t="s">
        <v>537</v>
      </c>
      <c r="H25" s="632">
        <v>50</v>
      </c>
      <c r="I25" s="945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>
        <v>1</v>
      </c>
      <c r="P25" s="69">
        <f t="shared" si="2"/>
        <v>4.54</v>
      </c>
      <c r="Q25" s="743">
        <v>44979</v>
      </c>
      <c r="R25" s="633">
        <f t="shared" si="3"/>
        <v>4.54</v>
      </c>
      <c r="S25" s="631" t="s">
        <v>622</v>
      </c>
      <c r="T25" s="632">
        <v>50</v>
      </c>
      <c r="U25" s="945">
        <f t="shared" si="8"/>
        <v>2728.5400000000013</v>
      </c>
      <c r="V25" s="645">
        <f t="shared" si="9"/>
        <v>601</v>
      </c>
      <c r="W25" s="665">
        <f t="shared" si="5"/>
        <v>227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3">
        <v>44965</v>
      </c>
      <c r="F26" s="633">
        <f t="shared" si="1"/>
        <v>227</v>
      </c>
      <c r="G26" s="631" t="s">
        <v>542</v>
      </c>
      <c r="H26" s="632">
        <v>50</v>
      </c>
      <c r="I26" s="945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>
        <v>50</v>
      </c>
      <c r="P26" s="69">
        <f t="shared" si="2"/>
        <v>227</v>
      </c>
      <c r="Q26" s="743">
        <v>44979</v>
      </c>
      <c r="R26" s="633">
        <f t="shared" si="3"/>
        <v>227</v>
      </c>
      <c r="S26" s="631" t="s">
        <v>623</v>
      </c>
      <c r="T26" s="632">
        <v>50</v>
      </c>
      <c r="U26" s="945">
        <f t="shared" si="8"/>
        <v>2501.5400000000013</v>
      </c>
      <c r="V26" s="645">
        <f t="shared" si="9"/>
        <v>551</v>
      </c>
      <c r="W26" s="665">
        <f t="shared" si="5"/>
        <v>11350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3">
        <v>44965</v>
      </c>
      <c r="F27" s="633">
        <f t="shared" si="1"/>
        <v>9.08</v>
      </c>
      <c r="G27" s="631" t="s">
        <v>543</v>
      </c>
      <c r="H27" s="632">
        <v>50</v>
      </c>
      <c r="I27" s="945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>
        <v>10</v>
      </c>
      <c r="P27" s="69">
        <f t="shared" si="2"/>
        <v>45.4</v>
      </c>
      <c r="Q27" s="743">
        <v>44980</v>
      </c>
      <c r="R27" s="633">
        <f t="shared" si="3"/>
        <v>45.4</v>
      </c>
      <c r="S27" s="631" t="s">
        <v>634</v>
      </c>
      <c r="T27" s="632">
        <v>50</v>
      </c>
      <c r="U27" s="945">
        <f t="shared" si="8"/>
        <v>2456.1400000000012</v>
      </c>
      <c r="V27" s="645">
        <f t="shared" si="9"/>
        <v>541</v>
      </c>
      <c r="W27" s="665">
        <f t="shared" si="5"/>
        <v>2270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3">
        <v>44965</v>
      </c>
      <c r="F28" s="633">
        <f t="shared" si="1"/>
        <v>181.6</v>
      </c>
      <c r="G28" s="631" t="s">
        <v>547</v>
      </c>
      <c r="H28" s="632">
        <v>50</v>
      </c>
      <c r="I28" s="945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>
        <v>10</v>
      </c>
      <c r="P28" s="69">
        <f t="shared" si="2"/>
        <v>45.4</v>
      </c>
      <c r="Q28" s="743">
        <v>44980</v>
      </c>
      <c r="R28" s="633">
        <f t="shared" si="3"/>
        <v>45.4</v>
      </c>
      <c r="S28" s="631" t="s">
        <v>637</v>
      </c>
      <c r="T28" s="632">
        <v>50</v>
      </c>
      <c r="U28" s="945">
        <f t="shared" si="8"/>
        <v>2410.7400000000011</v>
      </c>
      <c r="V28" s="645">
        <f t="shared" si="9"/>
        <v>531</v>
      </c>
      <c r="W28" s="665">
        <f t="shared" si="5"/>
        <v>2270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3">
        <v>44967</v>
      </c>
      <c r="F29" s="633">
        <f t="shared" si="1"/>
        <v>27.240000000000002</v>
      </c>
      <c r="G29" s="631" t="s">
        <v>550</v>
      </c>
      <c r="H29" s="632">
        <v>50</v>
      </c>
      <c r="I29" s="945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>
        <v>30</v>
      </c>
      <c r="P29" s="69">
        <f t="shared" si="2"/>
        <v>136.19999999999999</v>
      </c>
      <c r="Q29" s="743">
        <v>44980</v>
      </c>
      <c r="R29" s="633">
        <f t="shared" si="3"/>
        <v>136.19999999999999</v>
      </c>
      <c r="S29" s="631" t="s">
        <v>629</v>
      </c>
      <c r="T29" s="632">
        <v>50</v>
      </c>
      <c r="U29" s="945">
        <f t="shared" si="8"/>
        <v>2274.5400000000013</v>
      </c>
      <c r="V29" s="645">
        <f t="shared" si="9"/>
        <v>501</v>
      </c>
      <c r="W29" s="665">
        <f t="shared" si="5"/>
        <v>6809.9999999999991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3">
        <v>44967</v>
      </c>
      <c r="F30" s="633">
        <f t="shared" si="1"/>
        <v>9.08</v>
      </c>
      <c r="G30" s="631" t="s">
        <v>551</v>
      </c>
      <c r="H30" s="632">
        <v>50</v>
      </c>
      <c r="I30" s="945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>
        <v>50</v>
      </c>
      <c r="P30" s="69">
        <f t="shared" si="2"/>
        <v>227</v>
      </c>
      <c r="Q30" s="743">
        <v>44981</v>
      </c>
      <c r="R30" s="633">
        <f t="shared" si="3"/>
        <v>227</v>
      </c>
      <c r="S30" s="631" t="s">
        <v>649</v>
      </c>
      <c r="T30" s="632">
        <v>50</v>
      </c>
      <c r="U30" s="945">
        <f t="shared" si="8"/>
        <v>2047.5400000000013</v>
      </c>
      <c r="V30" s="645">
        <f t="shared" si="9"/>
        <v>451</v>
      </c>
      <c r="W30" s="665">
        <f t="shared" si="5"/>
        <v>11350</v>
      </c>
    </row>
    <row r="31" spans="2:23" x14ac:dyDescent="0.25">
      <c r="B31" s="130">
        <v>4.54</v>
      </c>
      <c r="C31" s="15"/>
      <c r="D31" s="69">
        <f t="shared" si="0"/>
        <v>0</v>
      </c>
      <c r="E31" s="743"/>
      <c r="F31" s="633">
        <f t="shared" si="1"/>
        <v>0</v>
      </c>
      <c r="G31" s="631"/>
      <c r="H31" s="632"/>
      <c r="I31" s="945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>
        <v>30</v>
      </c>
      <c r="P31" s="69">
        <f t="shared" si="2"/>
        <v>136.19999999999999</v>
      </c>
      <c r="Q31" s="743">
        <v>44981</v>
      </c>
      <c r="R31" s="633">
        <f t="shared" si="3"/>
        <v>136.19999999999999</v>
      </c>
      <c r="S31" s="631" t="s">
        <v>653</v>
      </c>
      <c r="T31" s="632">
        <v>50</v>
      </c>
      <c r="U31" s="945">
        <f t="shared" si="8"/>
        <v>1911.3400000000013</v>
      </c>
      <c r="V31" s="645">
        <f t="shared" si="9"/>
        <v>421</v>
      </c>
      <c r="W31" s="665">
        <f t="shared" si="5"/>
        <v>6809.9999999999991</v>
      </c>
    </row>
    <row r="32" spans="2:23" x14ac:dyDescent="0.25">
      <c r="B32" s="130">
        <v>4.54</v>
      </c>
      <c r="C32" s="15"/>
      <c r="D32" s="69">
        <f t="shared" si="0"/>
        <v>0</v>
      </c>
      <c r="E32" s="743"/>
      <c r="F32" s="633">
        <f>D32</f>
        <v>0</v>
      </c>
      <c r="G32" s="631"/>
      <c r="H32" s="632"/>
      <c r="I32" s="945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>
        <v>1</v>
      </c>
      <c r="P32" s="69">
        <f t="shared" si="2"/>
        <v>4.54</v>
      </c>
      <c r="Q32" s="743">
        <v>44982</v>
      </c>
      <c r="R32" s="633">
        <f>P32</f>
        <v>4.54</v>
      </c>
      <c r="S32" s="631" t="s">
        <v>644</v>
      </c>
      <c r="T32" s="632">
        <v>50</v>
      </c>
      <c r="U32" s="945">
        <f t="shared" si="8"/>
        <v>1906.8000000000013</v>
      </c>
      <c r="V32" s="645">
        <f t="shared" si="9"/>
        <v>420</v>
      </c>
      <c r="W32" s="665">
        <f t="shared" si="5"/>
        <v>227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7"/>
      <c r="F33" s="1171">
        <f>D33</f>
        <v>95.34</v>
      </c>
      <c r="G33" s="1172"/>
      <c r="H33" s="1173"/>
      <c r="I33" s="1174">
        <f t="shared" si="6"/>
        <v>-2.9842794901924208E-13</v>
      </c>
      <c r="J33" s="1175">
        <f t="shared" si="7"/>
        <v>0</v>
      </c>
      <c r="K33" s="1176">
        <f t="shared" si="4"/>
        <v>0</v>
      </c>
      <c r="N33" s="130">
        <v>4.54</v>
      </c>
      <c r="O33" s="15">
        <v>5</v>
      </c>
      <c r="P33" s="69">
        <f t="shared" si="2"/>
        <v>22.7</v>
      </c>
      <c r="Q33" s="647">
        <v>44982</v>
      </c>
      <c r="R33" s="633">
        <f>P33</f>
        <v>22.7</v>
      </c>
      <c r="S33" s="631" t="s">
        <v>661</v>
      </c>
      <c r="T33" s="632">
        <v>50</v>
      </c>
      <c r="U33" s="945">
        <f t="shared" si="8"/>
        <v>1884.1000000000013</v>
      </c>
      <c r="V33" s="645">
        <f t="shared" si="9"/>
        <v>415</v>
      </c>
      <c r="W33" s="665">
        <f t="shared" si="5"/>
        <v>1135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1171">
        <f t="shared" ref="F34:F108" si="10">D34</f>
        <v>0</v>
      </c>
      <c r="G34" s="1172"/>
      <c r="H34" s="1173"/>
      <c r="I34" s="1174">
        <f t="shared" si="6"/>
        <v>-2.9842794901924208E-13</v>
      </c>
      <c r="J34" s="1175">
        <f t="shared" si="7"/>
        <v>0</v>
      </c>
      <c r="K34" s="1176">
        <f t="shared" si="4"/>
        <v>0</v>
      </c>
      <c r="N34" s="130">
        <v>4.54</v>
      </c>
      <c r="O34" s="15">
        <v>60</v>
      </c>
      <c r="P34" s="69">
        <f t="shared" si="2"/>
        <v>272.39999999999998</v>
      </c>
      <c r="Q34" s="647">
        <v>44982</v>
      </c>
      <c r="R34" s="633">
        <f t="shared" ref="R34:R108" si="11">P34</f>
        <v>272.39999999999998</v>
      </c>
      <c r="S34" s="631" t="s">
        <v>663</v>
      </c>
      <c r="T34" s="632">
        <v>50</v>
      </c>
      <c r="U34" s="945">
        <f t="shared" si="8"/>
        <v>1611.7000000000012</v>
      </c>
      <c r="V34" s="645">
        <f t="shared" si="9"/>
        <v>355</v>
      </c>
      <c r="W34" s="665">
        <f t="shared" si="5"/>
        <v>13619.999999999998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1171">
        <f t="shared" si="10"/>
        <v>0</v>
      </c>
      <c r="G35" s="1172"/>
      <c r="H35" s="1173"/>
      <c r="I35" s="1174">
        <f t="shared" si="6"/>
        <v>-2.9842794901924208E-13</v>
      </c>
      <c r="J35" s="1175">
        <f t="shared" si="7"/>
        <v>0</v>
      </c>
      <c r="K35" s="1176">
        <f t="shared" si="4"/>
        <v>0</v>
      </c>
      <c r="N35" s="130">
        <v>4.54</v>
      </c>
      <c r="O35" s="15">
        <v>25</v>
      </c>
      <c r="P35" s="69">
        <f t="shared" si="2"/>
        <v>113.5</v>
      </c>
      <c r="Q35" s="647">
        <v>44984</v>
      </c>
      <c r="R35" s="633">
        <f t="shared" si="11"/>
        <v>113.5</v>
      </c>
      <c r="S35" s="631" t="s">
        <v>462</v>
      </c>
      <c r="T35" s="632">
        <v>50</v>
      </c>
      <c r="U35" s="945">
        <f t="shared" si="8"/>
        <v>1498.2000000000012</v>
      </c>
      <c r="V35" s="645">
        <f t="shared" si="9"/>
        <v>330</v>
      </c>
      <c r="W35" s="665">
        <f t="shared" si="5"/>
        <v>5675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1171">
        <f t="shared" si="10"/>
        <v>0</v>
      </c>
      <c r="G36" s="1172"/>
      <c r="H36" s="1173"/>
      <c r="I36" s="1174">
        <f t="shared" si="6"/>
        <v>-2.9842794901924208E-13</v>
      </c>
      <c r="J36" s="1175">
        <f t="shared" si="7"/>
        <v>0</v>
      </c>
      <c r="K36" s="1176">
        <f t="shared" si="4"/>
        <v>0</v>
      </c>
      <c r="M36" s="75"/>
      <c r="N36" s="130">
        <v>4.54</v>
      </c>
      <c r="O36" s="15">
        <v>5</v>
      </c>
      <c r="P36" s="69">
        <f t="shared" si="2"/>
        <v>22.7</v>
      </c>
      <c r="Q36" s="647">
        <v>44984</v>
      </c>
      <c r="R36" s="633">
        <f t="shared" si="11"/>
        <v>22.7</v>
      </c>
      <c r="S36" s="631" t="s">
        <v>463</v>
      </c>
      <c r="T36" s="632">
        <v>50</v>
      </c>
      <c r="U36" s="945">
        <f t="shared" si="8"/>
        <v>1475.5000000000011</v>
      </c>
      <c r="V36" s="645">
        <f t="shared" si="9"/>
        <v>325</v>
      </c>
      <c r="W36" s="665">
        <f t="shared" si="5"/>
        <v>1135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1171">
        <f t="shared" si="10"/>
        <v>0</v>
      </c>
      <c r="G37" s="1172"/>
      <c r="H37" s="1173"/>
      <c r="I37" s="1174">
        <f t="shared" si="6"/>
        <v>-2.9842794901924208E-13</v>
      </c>
      <c r="J37" s="1175">
        <f t="shared" si="7"/>
        <v>0</v>
      </c>
      <c r="K37" s="1176">
        <f t="shared" si="4"/>
        <v>0</v>
      </c>
      <c r="N37" s="130">
        <v>4.54</v>
      </c>
      <c r="O37" s="15">
        <v>25</v>
      </c>
      <c r="P37" s="69">
        <f t="shared" si="2"/>
        <v>113.5</v>
      </c>
      <c r="Q37" s="647">
        <v>44985</v>
      </c>
      <c r="R37" s="633">
        <f t="shared" si="11"/>
        <v>113.5</v>
      </c>
      <c r="S37" s="631" t="s">
        <v>645</v>
      </c>
      <c r="T37" s="632">
        <v>50</v>
      </c>
      <c r="U37" s="945">
        <f t="shared" si="8"/>
        <v>1362.0000000000011</v>
      </c>
      <c r="V37" s="645">
        <f t="shared" si="9"/>
        <v>300</v>
      </c>
      <c r="W37" s="665">
        <f t="shared" si="5"/>
        <v>5675</v>
      </c>
    </row>
    <row r="38" spans="1:23" x14ac:dyDescent="0.25">
      <c r="B38" s="130">
        <v>4.54</v>
      </c>
      <c r="C38" s="15"/>
      <c r="D38" s="69">
        <f t="shared" si="0"/>
        <v>0</v>
      </c>
      <c r="E38" s="743"/>
      <c r="F38" s="633">
        <f t="shared" si="10"/>
        <v>0</v>
      </c>
      <c r="G38" s="631"/>
      <c r="H38" s="632"/>
      <c r="I38" s="945">
        <f t="shared" si="6"/>
        <v>-2.9842794901924208E-13</v>
      </c>
      <c r="J38" s="645">
        <f t="shared" si="7"/>
        <v>0</v>
      </c>
      <c r="K38" s="665">
        <f t="shared" si="4"/>
        <v>0</v>
      </c>
      <c r="N38" s="130">
        <v>4.54</v>
      </c>
      <c r="O38" s="15">
        <v>1</v>
      </c>
      <c r="P38" s="69">
        <f t="shared" si="2"/>
        <v>4.54</v>
      </c>
      <c r="Q38" s="743">
        <v>44986</v>
      </c>
      <c r="R38" s="633">
        <f t="shared" si="11"/>
        <v>4.54</v>
      </c>
      <c r="S38" s="631" t="s">
        <v>670</v>
      </c>
      <c r="T38" s="632">
        <v>50</v>
      </c>
      <c r="U38" s="945">
        <f t="shared" si="8"/>
        <v>1357.4600000000012</v>
      </c>
      <c r="V38" s="645">
        <f t="shared" si="9"/>
        <v>299</v>
      </c>
      <c r="W38" s="665">
        <f t="shared" si="5"/>
        <v>227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>
        <v>30</v>
      </c>
      <c r="P39" s="69">
        <f t="shared" si="2"/>
        <v>136.19999999999999</v>
      </c>
      <c r="Q39" s="191">
        <v>44986</v>
      </c>
      <c r="R39" s="69">
        <f t="shared" si="11"/>
        <v>136.19999999999999</v>
      </c>
      <c r="S39" s="70" t="s">
        <v>672</v>
      </c>
      <c r="T39" s="71">
        <v>50</v>
      </c>
      <c r="U39" s="186">
        <f t="shared" si="8"/>
        <v>1221.2600000000011</v>
      </c>
      <c r="V39" s="73">
        <f t="shared" si="9"/>
        <v>269</v>
      </c>
      <c r="W39" s="60">
        <f t="shared" si="5"/>
        <v>6809.9999999999991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>
        <v>30</v>
      </c>
      <c r="P40" s="69">
        <f t="shared" si="2"/>
        <v>136.19999999999999</v>
      </c>
      <c r="Q40" s="191">
        <v>44986</v>
      </c>
      <c r="R40" s="69">
        <f t="shared" si="11"/>
        <v>136.19999999999999</v>
      </c>
      <c r="S40" s="70" t="s">
        <v>656</v>
      </c>
      <c r="T40" s="71">
        <v>50</v>
      </c>
      <c r="U40" s="186">
        <f t="shared" si="8"/>
        <v>1085.0600000000011</v>
      </c>
      <c r="V40" s="73">
        <f t="shared" si="9"/>
        <v>239</v>
      </c>
      <c r="W40" s="60">
        <f t="shared" si="5"/>
        <v>6809.9999999999991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>
        <v>1</v>
      </c>
      <c r="P41" s="69">
        <f t="shared" si="2"/>
        <v>4.54</v>
      </c>
      <c r="Q41" s="191">
        <v>44988</v>
      </c>
      <c r="R41" s="69">
        <f t="shared" si="11"/>
        <v>4.54</v>
      </c>
      <c r="S41" s="70" t="s">
        <v>713</v>
      </c>
      <c r="T41" s="71">
        <v>50</v>
      </c>
      <c r="U41" s="186">
        <f t="shared" si="8"/>
        <v>1080.5200000000011</v>
      </c>
      <c r="V41" s="73">
        <f t="shared" si="9"/>
        <v>238</v>
      </c>
      <c r="W41" s="60">
        <f t="shared" si="5"/>
        <v>227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-2.9842794901924208E-13</v>
      </c>
      <c r="J42" s="73">
        <f t="shared" si="7"/>
        <v>0</v>
      </c>
      <c r="K42" s="665">
        <f t="shared" si="4"/>
        <v>0</v>
      </c>
      <c r="N42" s="130">
        <v>4.54</v>
      </c>
      <c r="O42" s="15">
        <v>50</v>
      </c>
      <c r="P42" s="69">
        <f t="shared" si="2"/>
        <v>227</v>
      </c>
      <c r="Q42" s="191">
        <v>44988</v>
      </c>
      <c r="R42" s="69">
        <f t="shared" si="11"/>
        <v>227</v>
      </c>
      <c r="S42" s="70" t="s">
        <v>712</v>
      </c>
      <c r="T42" s="71">
        <v>50</v>
      </c>
      <c r="U42" s="186">
        <f t="shared" si="8"/>
        <v>853.52000000000112</v>
      </c>
      <c r="V42" s="73">
        <f t="shared" si="9"/>
        <v>188</v>
      </c>
      <c r="W42" s="665">
        <f t="shared" si="5"/>
        <v>11350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>
        <v>5</v>
      </c>
      <c r="P43" s="69">
        <f t="shared" si="2"/>
        <v>22.7</v>
      </c>
      <c r="Q43" s="191">
        <v>44988</v>
      </c>
      <c r="R43" s="69">
        <f t="shared" si="11"/>
        <v>22.7</v>
      </c>
      <c r="S43" s="70" t="s">
        <v>719</v>
      </c>
      <c r="T43" s="71">
        <v>50</v>
      </c>
      <c r="U43" s="186">
        <f t="shared" si="8"/>
        <v>830.82000000000107</v>
      </c>
      <c r="V43" s="73">
        <f t="shared" si="9"/>
        <v>183</v>
      </c>
      <c r="W43" s="60">
        <f t="shared" si="5"/>
        <v>1135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>
        <v>40</v>
      </c>
      <c r="P44" s="69">
        <f t="shared" si="2"/>
        <v>181.6</v>
      </c>
      <c r="Q44" s="191">
        <v>44989</v>
      </c>
      <c r="R44" s="69">
        <f t="shared" si="11"/>
        <v>181.6</v>
      </c>
      <c r="S44" s="70" t="s">
        <v>732</v>
      </c>
      <c r="T44" s="71">
        <v>50</v>
      </c>
      <c r="U44" s="186">
        <f t="shared" si="8"/>
        <v>649.22000000000105</v>
      </c>
      <c r="V44" s="73">
        <f t="shared" si="9"/>
        <v>143</v>
      </c>
      <c r="W44" s="60">
        <f t="shared" si="5"/>
        <v>9080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649.22000000000105</v>
      </c>
      <c r="V45" s="73">
        <f t="shared" si="9"/>
        <v>143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649.22000000000105</v>
      </c>
      <c r="V46" s="73">
        <f t="shared" si="9"/>
        <v>143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649.22000000000105</v>
      </c>
      <c r="V47" s="73">
        <f t="shared" si="9"/>
        <v>143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649.22000000000105</v>
      </c>
      <c r="V48" s="73">
        <f t="shared" si="9"/>
        <v>143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649.22000000000105</v>
      </c>
      <c r="V49" s="73">
        <f t="shared" si="9"/>
        <v>143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649.22000000000105</v>
      </c>
      <c r="V50" s="73">
        <f t="shared" si="9"/>
        <v>143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45">
        <f t="shared" si="6"/>
        <v>-2.9842794901924208E-13</v>
      </c>
      <c r="J51" s="645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45">
        <f t="shared" si="8"/>
        <v>649.22000000000105</v>
      </c>
      <c r="V51" s="645">
        <f t="shared" si="9"/>
        <v>143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31"/>
      <c r="F52" s="617">
        <f t="shared" si="10"/>
        <v>0</v>
      </c>
      <c r="G52" s="619"/>
      <c r="H52" s="201"/>
      <c r="I52" s="946">
        <f t="shared" si="6"/>
        <v>-2.9842794901924208E-13</v>
      </c>
      <c r="J52" s="947">
        <f t="shared" si="7"/>
        <v>0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31"/>
      <c r="R52" s="617">
        <f t="shared" si="11"/>
        <v>0</v>
      </c>
      <c r="S52" s="619"/>
      <c r="T52" s="201"/>
      <c r="U52" s="946">
        <f t="shared" si="8"/>
        <v>649.22000000000105</v>
      </c>
      <c r="V52" s="947">
        <f t="shared" si="9"/>
        <v>143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31"/>
      <c r="F53" s="617">
        <f t="shared" si="10"/>
        <v>0</v>
      </c>
      <c r="G53" s="619"/>
      <c r="H53" s="201"/>
      <c r="I53" s="932">
        <f t="shared" si="6"/>
        <v>-2.9842794901924208E-13</v>
      </c>
      <c r="J53" s="915">
        <f t="shared" si="7"/>
        <v>0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31"/>
      <c r="R53" s="617">
        <f t="shared" si="11"/>
        <v>0</v>
      </c>
      <c r="S53" s="619"/>
      <c r="T53" s="201"/>
      <c r="U53" s="932">
        <f t="shared" si="8"/>
        <v>649.22000000000105</v>
      </c>
      <c r="V53" s="915">
        <f t="shared" si="9"/>
        <v>143</v>
      </c>
      <c r="W53" s="60">
        <f t="shared" si="5"/>
        <v>0</v>
      </c>
    </row>
    <row r="54" spans="1:23" x14ac:dyDescent="0.25">
      <c r="A54" s="650"/>
      <c r="B54" s="778">
        <v>4.54</v>
      </c>
      <c r="C54" s="714"/>
      <c r="D54" s="912">
        <f t="shared" si="0"/>
        <v>0</v>
      </c>
      <c r="E54" s="933"/>
      <c r="F54" s="912">
        <f t="shared" si="10"/>
        <v>0</v>
      </c>
      <c r="G54" s="914"/>
      <c r="H54" s="663"/>
      <c r="I54" s="932">
        <f t="shared" si="6"/>
        <v>-2.9842794901924208E-13</v>
      </c>
      <c r="J54" s="915">
        <f t="shared" si="7"/>
        <v>0</v>
      </c>
      <c r="K54" s="60">
        <f t="shared" si="4"/>
        <v>0</v>
      </c>
      <c r="M54" s="650"/>
      <c r="N54" s="130">
        <v>4.54</v>
      </c>
      <c r="O54" s="714"/>
      <c r="P54" s="912">
        <f t="shared" si="2"/>
        <v>0</v>
      </c>
      <c r="Q54" s="933"/>
      <c r="R54" s="912">
        <f t="shared" si="11"/>
        <v>0</v>
      </c>
      <c r="S54" s="914"/>
      <c r="T54" s="663"/>
      <c r="U54" s="932">
        <f t="shared" si="8"/>
        <v>649.22000000000105</v>
      </c>
      <c r="V54" s="915">
        <f t="shared" si="9"/>
        <v>143</v>
      </c>
      <c r="W54" s="60">
        <f t="shared" si="5"/>
        <v>0</v>
      </c>
    </row>
    <row r="55" spans="1:23" x14ac:dyDescent="0.25">
      <c r="A55" s="664"/>
      <c r="B55" s="778">
        <v>4.54</v>
      </c>
      <c r="C55" s="714"/>
      <c r="D55" s="912">
        <f t="shared" si="0"/>
        <v>0</v>
      </c>
      <c r="E55" s="933"/>
      <c r="F55" s="912">
        <f t="shared" si="10"/>
        <v>0</v>
      </c>
      <c r="G55" s="914"/>
      <c r="H55" s="663"/>
      <c r="I55" s="932">
        <f t="shared" si="6"/>
        <v>-2.9842794901924208E-13</v>
      </c>
      <c r="J55" s="915">
        <f t="shared" si="7"/>
        <v>0</v>
      </c>
      <c r="K55" s="60">
        <f t="shared" si="4"/>
        <v>0</v>
      </c>
      <c r="M55" s="664"/>
      <c r="N55" s="130">
        <v>4.54</v>
      </c>
      <c r="O55" s="714"/>
      <c r="P55" s="912">
        <f t="shared" si="2"/>
        <v>0</v>
      </c>
      <c r="Q55" s="933"/>
      <c r="R55" s="912">
        <f t="shared" si="11"/>
        <v>0</v>
      </c>
      <c r="S55" s="914"/>
      <c r="T55" s="663"/>
      <c r="U55" s="932">
        <f t="shared" si="8"/>
        <v>649.22000000000105</v>
      </c>
      <c r="V55" s="915">
        <f t="shared" si="9"/>
        <v>143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31"/>
      <c r="F56" s="617">
        <f t="shared" si="10"/>
        <v>0</v>
      </c>
      <c r="G56" s="619"/>
      <c r="H56" s="201"/>
      <c r="I56" s="932">
        <f t="shared" si="6"/>
        <v>-2.9842794901924208E-13</v>
      </c>
      <c r="J56" s="915">
        <f t="shared" si="7"/>
        <v>0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31"/>
      <c r="R56" s="617">
        <f t="shared" si="11"/>
        <v>0</v>
      </c>
      <c r="S56" s="619"/>
      <c r="T56" s="201"/>
      <c r="U56" s="932">
        <f t="shared" si="8"/>
        <v>649.22000000000105</v>
      </c>
      <c r="V56" s="915">
        <f t="shared" si="9"/>
        <v>143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31"/>
      <c r="F57" s="617">
        <f t="shared" si="10"/>
        <v>0</v>
      </c>
      <c r="G57" s="619"/>
      <c r="H57" s="201"/>
      <c r="I57" s="932">
        <f t="shared" si="6"/>
        <v>-2.9842794901924208E-13</v>
      </c>
      <c r="J57" s="915">
        <f t="shared" si="7"/>
        <v>0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31"/>
      <c r="R57" s="617">
        <f t="shared" si="11"/>
        <v>0</v>
      </c>
      <c r="S57" s="619"/>
      <c r="T57" s="201"/>
      <c r="U57" s="932">
        <f t="shared" si="8"/>
        <v>649.22000000000105</v>
      </c>
      <c r="V57" s="915">
        <f t="shared" si="9"/>
        <v>143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31"/>
      <c r="F58" s="617">
        <f t="shared" si="10"/>
        <v>0</v>
      </c>
      <c r="G58" s="619"/>
      <c r="H58" s="201"/>
      <c r="I58" s="932">
        <f t="shared" si="6"/>
        <v>-2.9842794901924208E-13</v>
      </c>
      <c r="J58" s="915">
        <f t="shared" si="7"/>
        <v>0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31"/>
      <c r="R58" s="617">
        <f t="shared" si="11"/>
        <v>0</v>
      </c>
      <c r="S58" s="619"/>
      <c r="T58" s="201"/>
      <c r="U58" s="932">
        <f t="shared" si="8"/>
        <v>649.22000000000105</v>
      </c>
      <c r="V58" s="915">
        <f t="shared" si="9"/>
        <v>143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31"/>
      <c r="F59" s="617">
        <f t="shared" si="10"/>
        <v>0</v>
      </c>
      <c r="G59" s="619"/>
      <c r="H59" s="201"/>
      <c r="I59" s="932">
        <f t="shared" si="6"/>
        <v>-2.9842794901924208E-13</v>
      </c>
      <c r="J59" s="915">
        <f t="shared" si="7"/>
        <v>0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31"/>
      <c r="R59" s="617">
        <f t="shared" si="11"/>
        <v>0</v>
      </c>
      <c r="S59" s="619"/>
      <c r="T59" s="201"/>
      <c r="U59" s="932">
        <f t="shared" si="8"/>
        <v>649.22000000000105</v>
      </c>
      <c r="V59" s="915">
        <f t="shared" si="9"/>
        <v>143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31"/>
      <c r="F60" s="617">
        <f t="shared" si="10"/>
        <v>0</v>
      </c>
      <c r="G60" s="619"/>
      <c r="H60" s="201"/>
      <c r="I60" s="932">
        <f t="shared" si="6"/>
        <v>-2.9842794901924208E-13</v>
      </c>
      <c r="J60" s="915">
        <f t="shared" si="7"/>
        <v>0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31"/>
      <c r="R60" s="617">
        <f t="shared" si="11"/>
        <v>0</v>
      </c>
      <c r="S60" s="619"/>
      <c r="T60" s="201"/>
      <c r="U60" s="932">
        <f t="shared" si="8"/>
        <v>649.22000000000105</v>
      </c>
      <c r="V60" s="915">
        <f t="shared" si="9"/>
        <v>143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31"/>
      <c r="F61" s="617">
        <f t="shared" si="10"/>
        <v>0</v>
      </c>
      <c r="G61" s="619"/>
      <c r="H61" s="201"/>
      <c r="I61" s="932">
        <f t="shared" si="6"/>
        <v>-2.9842794901924208E-13</v>
      </c>
      <c r="J61" s="915">
        <f t="shared" si="7"/>
        <v>0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31"/>
      <c r="R61" s="617">
        <f t="shared" si="11"/>
        <v>0</v>
      </c>
      <c r="S61" s="619"/>
      <c r="T61" s="201"/>
      <c r="U61" s="932">
        <f t="shared" si="8"/>
        <v>649.22000000000105</v>
      </c>
      <c r="V61" s="915">
        <f t="shared" si="9"/>
        <v>143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31"/>
      <c r="F62" s="617">
        <f t="shared" si="10"/>
        <v>0</v>
      </c>
      <c r="G62" s="619"/>
      <c r="H62" s="201"/>
      <c r="I62" s="932">
        <f t="shared" si="6"/>
        <v>-2.9842794901924208E-13</v>
      </c>
      <c r="J62" s="915">
        <f t="shared" si="7"/>
        <v>0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31"/>
      <c r="R62" s="617">
        <f t="shared" si="11"/>
        <v>0</v>
      </c>
      <c r="S62" s="619"/>
      <c r="T62" s="201"/>
      <c r="U62" s="932">
        <f t="shared" si="8"/>
        <v>649.22000000000105</v>
      </c>
      <c r="V62" s="915">
        <f t="shared" si="9"/>
        <v>143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31"/>
      <c r="F63" s="617">
        <f t="shared" si="10"/>
        <v>0</v>
      </c>
      <c r="G63" s="619"/>
      <c r="H63" s="201"/>
      <c r="I63" s="932">
        <f t="shared" si="6"/>
        <v>-2.9842794901924208E-13</v>
      </c>
      <c r="J63" s="915">
        <f t="shared" si="7"/>
        <v>0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31"/>
      <c r="R63" s="617">
        <f t="shared" si="11"/>
        <v>0</v>
      </c>
      <c r="S63" s="619"/>
      <c r="T63" s="201"/>
      <c r="U63" s="932">
        <f t="shared" si="8"/>
        <v>649.22000000000105</v>
      </c>
      <c r="V63" s="915">
        <f t="shared" si="9"/>
        <v>143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31"/>
      <c r="F64" s="617">
        <f t="shared" si="10"/>
        <v>0</v>
      </c>
      <c r="G64" s="619"/>
      <c r="H64" s="201"/>
      <c r="I64" s="932">
        <f t="shared" si="6"/>
        <v>-2.9842794901924208E-13</v>
      </c>
      <c r="J64" s="915">
        <f t="shared" si="7"/>
        <v>0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31"/>
      <c r="R64" s="617">
        <f t="shared" si="11"/>
        <v>0</v>
      </c>
      <c r="S64" s="619"/>
      <c r="T64" s="201"/>
      <c r="U64" s="932">
        <f t="shared" si="8"/>
        <v>649.22000000000105</v>
      </c>
      <c r="V64" s="915">
        <f t="shared" si="9"/>
        <v>143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31"/>
      <c r="F65" s="617">
        <f t="shared" si="10"/>
        <v>0</v>
      </c>
      <c r="G65" s="619"/>
      <c r="H65" s="201"/>
      <c r="I65" s="932">
        <f t="shared" si="6"/>
        <v>-2.9842794901924208E-13</v>
      </c>
      <c r="J65" s="915">
        <f t="shared" si="7"/>
        <v>0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31"/>
      <c r="R65" s="617">
        <f t="shared" si="11"/>
        <v>0</v>
      </c>
      <c r="S65" s="619"/>
      <c r="T65" s="201"/>
      <c r="U65" s="932">
        <f t="shared" si="8"/>
        <v>649.22000000000105</v>
      </c>
      <c r="V65" s="915">
        <f t="shared" si="9"/>
        <v>143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31"/>
      <c r="F66" s="617">
        <f t="shared" si="10"/>
        <v>0</v>
      </c>
      <c r="G66" s="619"/>
      <c r="H66" s="201"/>
      <c r="I66" s="932">
        <f t="shared" si="6"/>
        <v>-2.9842794901924208E-13</v>
      </c>
      <c r="J66" s="915">
        <f t="shared" si="7"/>
        <v>0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31"/>
      <c r="R66" s="617">
        <f t="shared" si="11"/>
        <v>0</v>
      </c>
      <c r="S66" s="619"/>
      <c r="T66" s="201"/>
      <c r="U66" s="932">
        <f t="shared" si="8"/>
        <v>649.22000000000105</v>
      </c>
      <c r="V66" s="915">
        <f t="shared" si="9"/>
        <v>143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31"/>
      <c r="F67" s="617">
        <f t="shared" si="10"/>
        <v>0</v>
      </c>
      <c r="G67" s="619"/>
      <c r="H67" s="201"/>
      <c r="I67" s="932">
        <f t="shared" si="6"/>
        <v>-2.9842794901924208E-13</v>
      </c>
      <c r="J67" s="915">
        <f t="shared" si="7"/>
        <v>0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31"/>
      <c r="R67" s="617">
        <f t="shared" si="11"/>
        <v>0</v>
      </c>
      <c r="S67" s="619"/>
      <c r="T67" s="201"/>
      <c r="U67" s="932">
        <f t="shared" si="8"/>
        <v>649.22000000000105</v>
      </c>
      <c r="V67" s="915">
        <f t="shared" si="9"/>
        <v>143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31"/>
      <c r="F68" s="617">
        <f t="shared" si="10"/>
        <v>0</v>
      </c>
      <c r="G68" s="619"/>
      <c r="H68" s="201"/>
      <c r="I68" s="932">
        <f t="shared" si="6"/>
        <v>-2.9842794901924208E-13</v>
      </c>
      <c r="J68" s="915">
        <f t="shared" si="7"/>
        <v>0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31"/>
      <c r="R68" s="617">
        <f t="shared" si="11"/>
        <v>0</v>
      </c>
      <c r="S68" s="619"/>
      <c r="T68" s="201"/>
      <c r="U68" s="932">
        <f t="shared" si="8"/>
        <v>649.22000000000105</v>
      </c>
      <c r="V68" s="915">
        <f t="shared" si="9"/>
        <v>143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31"/>
      <c r="F69" s="617">
        <f t="shared" si="10"/>
        <v>0</v>
      </c>
      <c r="G69" s="619"/>
      <c r="H69" s="201"/>
      <c r="I69" s="932">
        <f t="shared" si="6"/>
        <v>-2.9842794901924208E-13</v>
      </c>
      <c r="J69" s="915">
        <f t="shared" si="7"/>
        <v>0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31"/>
      <c r="R69" s="617">
        <f t="shared" si="11"/>
        <v>0</v>
      </c>
      <c r="S69" s="619"/>
      <c r="T69" s="201"/>
      <c r="U69" s="932">
        <f t="shared" si="8"/>
        <v>649.22000000000105</v>
      </c>
      <c r="V69" s="915">
        <f t="shared" si="9"/>
        <v>143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649.22000000000105</v>
      </c>
      <c r="V70" s="73">
        <f t="shared" si="9"/>
        <v>143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649.22000000000105</v>
      </c>
      <c r="V71" s="73">
        <f t="shared" si="9"/>
        <v>143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649.22000000000105</v>
      </c>
      <c r="V72" s="73">
        <f t="shared" si="9"/>
        <v>143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649.22000000000105</v>
      </c>
      <c r="V73" s="73">
        <f t="shared" si="9"/>
        <v>143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649.22000000000105</v>
      </c>
      <c r="V74" s="73">
        <f t="shared" si="9"/>
        <v>143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649.22000000000105</v>
      </c>
      <c r="V75" s="73">
        <f t="shared" ref="V75:V107" si="17">V74-O75</f>
        <v>143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649.22000000000105</v>
      </c>
      <c r="V76" s="73">
        <f t="shared" si="17"/>
        <v>143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649.22000000000105</v>
      </c>
      <c r="V77" s="73">
        <f t="shared" si="17"/>
        <v>143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649.22000000000105</v>
      </c>
      <c r="V78" s="73">
        <f t="shared" si="17"/>
        <v>143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649.22000000000105</v>
      </c>
      <c r="V79" s="73">
        <f t="shared" si="17"/>
        <v>143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649.22000000000105</v>
      </c>
      <c r="V80" s="73">
        <f t="shared" si="17"/>
        <v>143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649.22000000000105</v>
      </c>
      <c r="V81" s="73">
        <f t="shared" si="17"/>
        <v>143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649.22000000000105</v>
      </c>
      <c r="V82" s="73">
        <f t="shared" si="17"/>
        <v>143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649.22000000000105</v>
      </c>
      <c r="V83" s="73">
        <f t="shared" si="17"/>
        <v>143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649.22000000000105</v>
      </c>
      <c r="V84" s="73">
        <f t="shared" si="17"/>
        <v>143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649.22000000000105</v>
      </c>
      <c r="V85" s="73">
        <f t="shared" si="17"/>
        <v>143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649.22000000000105</v>
      </c>
      <c r="V86" s="73">
        <f t="shared" si="17"/>
        <v>143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649.22000000000105</v>
      </c>
      <c r="V87" s="73">
        <f t="shared" si="17"/>
        <v>143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649.22000000000105</v>
      </c>
      <c r="V88" s="73">
        <f t="shared" si="17"/>
        <v>143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649.22000000000105</v>
      </c>
      <c r="V89" s="73">
        <f t="shared" si="17"/>
        <v>143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649.22000000000105</v>
      </c>
      <c r="V90" s="73">
        <f t="shared" si="17"/>
        <v>143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649.22000000000105</v>
      </c>
      <c r="V91" s="73">
        <f t="shared" si="17"/>
        <v>143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649.22000000000105</v>
      </c>
      <c r="V92" s="73">
        <f t="shared" si="17"/>
        <v>143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649.22000000000105</v>
      </c>
      <c r="V93" s="73">
        <f t="shared" si="17"/>
        <v>143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649.22000000000105</v>
      </c>
      <c r="V94" s="73">
        <f t="shared" si="17"/>
        <v>143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649.22000000000105</v>
      </c>
      <c r="V95" s="73">
        <f t="shared" si="17"/>
        <v>143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649.22000000000105</v>
      </c>
      <c r="V96" s="73">
        <f t="shared" si="17"/>
        <v>143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649.22000000000105</v>
      </c>
      <c r="V97" s="73">
        <f t="shared" si="17"/>
        <v>143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649.22000000000105</v>
      </c>
      <c r="V98" s="73">
        <f t="shared" si="17"/>
        <v>143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649.22000000000105</v>
      </c>
      <c r="V99" s="73">
        <f t="shared" si="17"/>
        <v>143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649.22000000000105</v>
      </c>
      <c r="V100" s="73">
        <f t="shared" si="17"/>
        <v>143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649.22000000000105</v>
      </c>
      <c r="V101" s="73">
        <f t="shared" si="17"/>
        <v>143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649.22000000000105</v>
      </c>
      <c r="V102" s="73">
        <f t="shared" si="17"/>
        <v>143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649.22000000000105</v>
      </c>
      <c r="V103" s="73">
        <f t="shared" si="17"/>
        <v>143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649.22000000000105</v>
      </c>
      <c r="V104" s="73">
        <f t="shared" si="17"/>
        <v>143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649.22000000000105</v>
      </c>
      <c r="V105" s="73">
        <f t="shared" si="17"/>
        <v>143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649.22000000000105</v>
      </c>
      <c r="V106" s="73">
        <f t="shared" si="17"/>
        <v>143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649.22000000000105</v>
      </c>
      <c r="V107" s="73">
        <f t="shared" si="17"/>
        <v>143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143</v>
      </c>
      <c r="Q111" s="40"/>
      <c r="R111" s="6"/>
      <c r="S111" s="31"/>
      <c r="T111" s="17"/>
      <c r="U111" s="129"/>
      <c r="V111" s="73"/>
    </row>
    <row r="112" spans="2:23" x14ac:dyDescent="0.25">
      <c r="C112" s="1437" t="s">
        <v>19</v>
      </c>
      <c r="D112" s="1438"/>
      <c r="E112" s="39">
        <f>E4+E5-F109+E6+E7</f>
        <v>2.2737367544323206E-13</v>
      </c>
      <c r="F112" s="6"/>
      <c r="G112" s="6"/>
      <c r="H112" s="17"/>
      <c r="I112" s="129"/>
      <c r="J112" s="73"/>
      <c r="O112" s="1437" t="s">
        <v>19</v>
      </c>
      <c r="P112" s="1438"/>
      <c r="Q112" s="39">
        <f>Q4+Q5-R109+Q6+Q7</f>
        <v>649.22000000000139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395" t="s">
        <v>52</v>
      </c>
      <c r="B5" s="1439" t="s">
        <v>96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395"/>
      <c r="B6" s="1439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440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1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47">
        <f>B9-C10</f>
        <v>0</v>
      </c>
      <c r="C10" s="714"/>
      <c r="D10" s="815"/>
      <c r="E10" s="743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47">
        <f t="shared" ref="B11:B30" si="1">B10-C11</f>
        <v>0</v>
      </c>
      <c r="C11" s="714"/>
      <c r="D11" s="816"/>
      <c r="E11" s="743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47">
        <f t="shared" si="1"/>
        <v>0</v>
      </c>
      <c r="C12" s="714"/>
      <c r="D12" s="816"/>
      <c r="E12" s="743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47">
        <f t="shared" si="1"/>
        <v>0</v>
      </c>
      <c r="C13" s="714"/>
      <c r="D13" s="816"/>
      <c r="E13" s="743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47">
        <f t="shared" si="1"/>
        <v>0</v>
      </c>
      <c r="C14" s="714"/>
      <c r="D14" s="816"/>
      <c r="E14" s="743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47">
        <f t="shared" si="1"/>
        <v>0</v>
      </c>
      <c r="C15" s="714"/>
      <c r="D15" s="817"/>
      <c r="E15" s="743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47">
        <f t="shared" si="1"/>
        <v>0</v>
      </c>
      <c r="C16" s="714"/>
      <c r="D16" s="817"/>
      <c r="E16" s="743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47">
        <f t="shared" si="1"/>
        <v>0</v>
      </c>
      <c r="C17" s="714"/>
      <c r="D17" s="817"/>
      <c r="E17" s="743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47">
        <f t="shared" si="1"/>
        <v>0</v>
      </c>
      <c r="C18" s="714"/>
      <c r="D18" s="817"/>
      <c r="E18" s="743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47">
        <f t="shared" si="1"/>
        <v>0</v>
      </c>
      <c r="C19" s="714"/>
      <c r="D19" s="817"/>
      <c r="E19" s="743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47">
        <f t="shared" si="1"/>
        <v>0</v>
      </c>
      <c r="C20" s="714"/>
      <c r="D20" s="817"/>
      <c r="E20" s="743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47">
        <f t="shared" si="1"/>
        <v>0</v>
      </c>
      <c r="C21" s="714"/>
      <c r="D21" s="821"/>
      <c r="E21" s="743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47">
        <f t="shared" si="1"/>
        <v>0</v>
      </c>
      <c r="C22" s="714"/>
      <c r="D22" s="821"/>
      <c r="E22" s="743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47">
        <f t="shared" si="1"/>
        <v>0</v>
      </c>
      <c r="C23" s="714"/>
      <c r="D23" s="821"/>
      <c r="E23" s="743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47">
        <f t="shared" si="1"/>
        <v>0</v>
      </c>
      <c r="C24" s="714"/>
      <c r="D24" s="821"/>
      <c r="E24" s="743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47">
        <f t="shared" si="1"/>
        <v>0</v>
      </c>
      <c r="C25" s="714"/>
      <c r="D25" s="821"/>
      <c r="E25" s="743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47">
        <f t="shared" si="1"/>
        <v>0</v>
      </c>
      <c r="C26" s="714"/>
      <c r="D26" s="821"/>
      <c r="E26" s="743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47">
        <f t="shared" si="1"/>
        <v>0</v>
      </c>
      <c r="C27" s="714"/>
      <c r="D27" s="821"/>
      <c r="E27" s="743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47">
        <f t="shared" si="1"/>
        <v>0</v>
      </c>
      <c r="C28" s="714"/>
      <c r="D28" s="735"/>
      <c r="E28" s="743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47">
        <f t="shared" si="1"/>
        <v>0</v>
      </c>
      <c r="C29" s="714"/>
      <c r="D29" s="735"/>
      <c r="E29" s="743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37" t="s">
        <v>19</v>
      </c>
      <c r="D34" s="143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O21" sqref="AO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86" t="s">
        <v>286</v>
      </c>
      <c r="B1" s="1386"/>
      <c r="C1" s="1386"/>
      <c r="D1" s="1386"/>
      <c r="E1" s="1386"/>
      <c r="F1" s="1386"/>
      <c r="G1" s="1386"/>
      <c r="H1" s="11">
        <v>1</v>
      </c>
      <c r="K1" s="1386" t="str">
        <f>A1</f>
        <v>INVENTARIO     DEL MES DE   ENERO  2023</v>
      </c>
      <c r="L1" s="1386"/>
      <c r="M1" s="1386"/>
      <c r="N1" s="1386"/>
      <c r="O1" s="1386"/>
      <c r="P1" s="1386"/>
      <c r="Q1" s="1386"/>
      <c r="R1" s="11">
        <v>2</v>
      </c>
      <c r="U1" s="1390" t="s">
        <v>313</v>
      </c>
      <c r="V1" s="1390"/>
      <c r="W1" s="1390"/>
      <c r="X1" s="1390"/>
      <c r="Y1" s="1390"/>
      <c r="Z1" s="1390"/>
      <c r="AA1" s="1390"/>
      <c r="AB1" s="11">
        <v>3</v>
      </c>
      <c r="AE1" s="1390" t="s">
        <v>313</v>
      </c>
      <c r="AF1" s="1390"/>
      <c r="AG1" s="1390"/>
      <c r="AH1" s="1390"/>
      <c r="AI1" s="1390"/>
      <c r="AJ1" s="1390"/>
      <c r="AK1" s="139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424" t="s">
        <v>113</v>
      </c>
      <c r="B5" s="1443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400" t="s">
        <v>141</v>
      </c>
      <c r="L5" s="1442" t="s">
        <v>68</v>
      </c>
      <c r="M5" s="379">
        <v>88</v>
      </c>
      <c r="N5" s="647">
        <v>44937</v>
      </c>
      <c r="O5" s="826">
        <v>100</v>
      </c>
      <c r="P5" s="763">
        <v>10</v>
      </c>
      <c r="Q5" s="5"/>
      <c r="U5" s="1400" t="s">
        <v>213</v>
      </c>
      <c r="V5" s="1442" t="s">
        <v>68</v>
      </c>
      <c r="W5" s="379">
        <v>85</v>
      </c>
      <c r="X5" s="647">
        <v>44967</v>
      </c>
      <c r="Y5" s="826">
        <v>150</v>
      </c>
      <c r="Z5" s="763">
        <v>15</v>
      </c>
      <c r="AA5" s="5"/>
      <c r="AE5" s="1424" t="s">
        <v>314</v>
      </c>
      <c r="AF5" s="1443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424"/>
      <c r="B6" s="1444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400"/>
      <c r="L6" s="1442"/>
      <c r="M6" s="379"/>
      <c r="N6" s="647"/>
      <c r="O6" s="534">
        <v>10</v>
      </c>
      <c r="P6" s="141">
        <v>1</v>
      </c>
      <c r="Q6" s="47">
        <f>P78</f>
        <v>110</v>
      </c>
      <c r="R6" s="7">
        <f>O6-Q6+O7+O5-Q5+O4</f>
        <v>0</v>
      </c>
      <c r="U6" s="1400"/>
      <c r="V6" s="1442"/>
      <c r="W6" s="379"/>
      <c r="X6" s="647"/>
      <c r="Y6" s="534"/>
      <c r="Z6" s="141"/>
      <c r="AA6" s="47">
        <f>Z78</f>
        <v>10</v>
      </c>
      <c r="AB6" s="7">
        <f>Y6-AA6+Y7+Y5-AA5+Y4</f>
        <v>140</v>
      </c>
      <c r="AE6" s="1424"/>
      <c r="AF6" s="1444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200</v>
      </c>
      <c r="AL6" s="7">
        <f>AI6-AK6+AI7+AI5-AK5+AI4</f>
        <v>100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229</v>
      </c>
      <c r="H9" s="71">
        <v>115</v>
      </c>
      <c r="I9" s="103">
        <f>E6-F9+E5+E7+E4</f>
        <v>140</v>
      </c>
      <c r="J9" s="103"/>
      <c r="K9" s="80" t="s">
        <v>32</v>
      </c>
      <c r="L9" s="717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237</v>
      </c>
      <c r="R9" s="71">
        <v>100</v>
      </c>
      <c r="S9" s="716">
        <f>O6-P9+O5+O7+O4</f>
        <v>90</v>
      </c>
      <c r="U9" s="80" t="s">
        <v>32</v>
      </c>
      <c r="V9" s="776">
        <f>Z6-W9+Z5+Z7+Z4</f>
        <v>14</v>
      </c>
      <c r="W9" s="714">
        <v>1</v>
      </c>
      <c r="X9" s="633">
        <v>10</v>
      </c>
      <c r="Y9" s="662">
        <v>44981</v>
      </c>
      <c r="Z9" s="633">
        <f>X9</f>
        <v>10</v>
      </c>
      <c r="AA9" s="631" t="s">
        <v>653</v>
      </c>
      <c r="AB9" s="632">
        <v>100</v>
      </c>
      <c r="AC9" s="666">
        <f>Y6-Z9+Y5+Y7+Y4</f>
        <v>140</v>
      </c>
      <c r="AD9" s="664"/>
      <c r="AE9" s="80" t="s">
        <v>32</v>
      </c>
      <c r="AF9" s="83">
        <f>AJ6-AG9+AJ5+AJ7+AJ4</f>
        <v>28</v>
      </c>
      <c r="AG9" s="73">
        <v>2</v>
      </c>
      <c r="AH9" s="69">
        <v>20</v>
      </c>
      <c r="AI9" s="198">
        <v>44968</v>
      </c>
      <c r="AJ9" s="69">
        <f>AH9</f>
        <v>20</v>
      </c>
      <c r="AK9" s="70" t="s">
        <v>561</v>
      </c>
      <c r="AL9" s="71">
        <v>115</v>
      </c>
      <c r="AM9" s="103">
        <f>AI6-AJ9+AI5+AI7+AI4</f>
        <v>280</v>
      </c>
    </row>
    <row r="10" spans="1:39" x14ac:dyDescent="0.25">
      <c r="A10" s="190"/>
      <c r="B10" s="776">
        <f t="shared" ref="B10:B73" si="0">B9-C10</f>
        <v>13</v>
      </c>
      <c r="C10" s="714">
        <v>1</v>
      </c>
      <c r="D10" s="633">
        <v>10</v>
      </c>
      <c r="E10" s="662">
        <v>44942</v>
      </c>
      <c r="F10" s="633">
        <f>D10</f>
        <v>10</v>
      </c>
      <c r="G10" s="631" t="s">
        <v>230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10">
        <v>10</v>
      </c>
      <c r="O10" s="1126">
        <v>44957</v>
      </c>
      <c r="P10" s="1110">
        <f t="shared" ref="P10:P73" si="2">N10</f>
        <v>10</v>
      </c>
      <c r="Q10" s="580" t="s">
        <v>444</v>
      </c>
      <c r="R10" s="372">
        <v>100</v>
      </c>
      <c r="S10" s="103">
        <f>S9-P10</f>
        <v>80</v>
      </c>
      <c r="U10" s="190"/>
      <c r="V10" s="776">
        <f t="shared" ref="V10:V73" si="3">V9-W10</f>
        <v>14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140</v>
      </c>
      <c r="AD10" s="664"/>
      <c r="AE10" s="190"/>
      <c r="AF10" s="776">
        <f t="shared" ref="AF10:AF73" si="5">AF9-AG10</f>
        <v>27</v>
      </c>
      <c r="AG10" s="714">
        <v>1</v>
      </c>
      <c r="AH10" s="633">
        <v>10</v>
      </c>
      <c r="AI10" s="662">
        <v>44971</v>
      </c>
      <c r="AJ10" s="633">
        <f>AH10</f>
        <v>10</v>
      </c>
      <c r="AK10" s="631" t="s">
        <v>570</v>
      </c>
      <c r="AL10" s="632">
        <v>115</v>
      </c>
      <c r="AM10" s="666">
        <f>AM9-AJ10</f>
        <v>270</v>
      </c>
    </row>
    <row r="11" spans="1:39" x14ac:dyDescent="0.25">
      <c r="A11" s="178"/>
      <c r="B11" s="776">
        <f t="shared" si="0"/>
        <v>12</v>
      </c>
      <c r="C11" s="714">
        <v>1</v>
      </c>
      <c r="D11" s="633">
        <v>10</v>
      </c>
      <c r="E11" s="662">
        <v>44944</v>
      </c>
      <c r="F11" s="633">
        <f>D11</f>
        <v>10</v>
      </c>
      <c r="G11" s="631" t="s">
        <v>234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10">
        <v>10</v>
      </c>
      <c r="O11" s="1126">
        <v>44957</v>
      </c>
      <c r="P11" s="1110">
        <f t="shared" si="2"/>
        <v>10</v>
      </c>
      <c r="Q11" s="580" t="s">
        <v>488</v>
      </c>
      <c r="R11" s="372">
        <v>100</v>
      </c>
      <c r="S11" s="103">
        <f t="shared" ref="S11:S74" si="7">S10-P11</f>
        <v>70</v>
      </c>
      <c r="U11" s="178"/>
      <c r="V11" s="83">
        <f t="shared" si="3"/>
        <v>14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140</v>
      </c>
      <c r="AE11" s="178"/>
      <c r="AF11" s="776">
        <f t="shared" si="5"/>
        <v>26</v>
      </c>
      <c r="AG11" s="714">
        <v>1</v>
      </c>
      <c r="AH11" s="633">
        <v>10</v>
      </c>
      <c r="AI11" s="662">
        <v>44972</v>
      </c>
      <c r="AJ11" s="633">
        <f>AH11</f>
        <v>10</v>
      </c>
      <c r="AK11" s="631" t="s">
        <v>455</v>
      </c>
      <c r="AL11" s="632">
        <v>115</v>
      </c>
      <c r="AM11" s="666">
        <f t="shared" ref="AM11:AM74" si="9">AM10-AJ11</f>
        <v>260</v>
      </c>
    </row>
    <row r="12" spans="1:39" x14ac:dyDescent="0.25">
      <c r="A12" s="178"/>
      <c r="B12" s="776">
        <f t="shared" si="0"/>
        <v>10</v>
      </c>
      <c r="C12" s="714">
        <v>2</v>
      </c>
      <c r="D12" s="633">
        <v>20</v>
      </c>
      <c r="E12" s="662">
        <v>44945</v>
      </c>
      <c r="F12" s="633">
        <f>D12</f>
        <v>20</v>
      </c>
      <c r="G12" s="631" t="s">
        <v>237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10">
        <v>10</v>
      </c>
      <c r="O12" s="1126">
        <v>44959</v>
      </c>
      <c r="P12" s="1110">
        <f t="shared" si="2"/>
        <v>10</v>
      </c>
      <c r="Q12" s="580" t="s">
        <v>502</v>
      </c>
      <c r="R12" s="372">
        <v>100</v>
      </c>
      <c r="S12" s="103">
        <f t="shared" si="7"/>
        <v>60</v>
      </c>
      <c r="U12" s="178"/>
      <c r="V12" s="83">
        <f t="shared" si="3"/>
        <v>14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140</v>
      </c>
      <c r="AE12" s="178"/>
      <c r="AF12" s="776">
        <f t="shared" si="5"/>
        <v>25</v>
      </c>
      <c r="AG12" s="714">
        <v>1</v>
      </c>
      <c r="AH12" s="633">
        <v>10</v>
      </c>
      <c r="AI12" s="662">
        <v>44974</v>
      </c>
      <c r="AJ12" s="633">
        <f>AH12</f>
        <v>10</v>
      </c>
      <c r="AK12" s="631" t="s">
        <v>600</v>
      </c>
      <c r="AL12" s="632">
        <v>115</v>
      </c>
      <c r="AM12" s="666">
        <f t="shared" si="9"/>
        <v>250</v>
      </c>
    </row>
    <row r="13" spans="1:39" x14ac:dyDescent="0.25">
      <c r="A13" s="82" t="s">
        <v>33</v>
      </c>
      <c r="B13" s="717">
        <f t="shared" si="0"/>
        <v>8</v>
      </c>
      <c r="C13" s="714">
        <v>2</v>
      </c>
      <c r="D13" s="633">
        <v>20</v>
      </c>
      <c r="E13" s="662">
        <v>44951</v>
      </c>
      <c r="F13" s="633">
        <f>D13</f>
        <v>20</v>
      </c>
      <c r="G13" s="631" t="s">
        <v>264</v>
      </c>
      <c r="H13" s="632">
        <v>115</v>
      </c>
      <c r="I13" s="716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10">
        <v>10</v>
      </c>
      <c r="O13" s="1126">
        <v>44960</v>
      </c>
      <c r="P13" s="1110">
        <f t="shared" si="2"/>
        <v>10</v>
      </c>
      <c r="Q13" s="580" t="s">
        <v>514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14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140</v>
      </c>
      <c r="AE13" s="82" t="s">
        <v>33</v>
      </c>
      <c r="AF13" s="776">
        <f t="shared" si="5"/>
        <v>24</v>
      </c>
      <c r="AG13" s="714">
        <v>1</v>
      </c>
      <c r="AH13" s="633">
        <v>10</v>
      </c>
      <c r="AI13" s="662">
        <v>44975</v>
      </c>
      <c r="AJ13" s="633">
        <f>AH13</f>
        <v>10</v>
      </c>
      <c r="AK13" s="631" t="s">
        <v>458</v>
      </c>
      <c r="AL13" s="632">
        <v>115</v>
      </c>
      <c r="AM13" s="666">
        <f t="shared" si="9"/>
        <v>240</v>
      </c>
    </row>
    <row r="14" spans="1:39" x14ac:dyDescent="0.25">
      <c r="A14" s="73"/>
      <c r="B14" s="776">
        <f t="shared" si="0"/>
        <v>7</v>
      </c>
      <c r="C14" s="714">
        <v>1</v>
      </c>
      <c r="D14" s="1112">
        <v>10</v>
      </c>
      <c r="E14" s="1125">
        <v>44956</v>
      </c>
      <c r="F14" s="1112">
        <f t="shared" ref="F14:F76" si="10">D14</f>
        <v>10</v>
      </c>
      <c r="G14" s="1113" t="s">
        <v>444</v>
      </c>
      <c r="H14" s="1114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10">
        <v>10</v>
      </c>
      <c r="O14" s="1126">
        <v>44965</v>
      </c>
      <c r="P14" s="1110">
        <f t="shared" si="2"/>
        <v>10</v>
      </c>
      <c r="Q14" s="580" t="s">
        <v>547</v>
      </c>
      <c r="R14" s="372">
        <v>100</v>
      </c>
      <c r="S14" s="103">
        <f t="shared" si="7"/>
        <v>40</v>
      </c>
      <c r="U14" s="73"/>
      <c r="V14" s="83">
        <f t="shared" si="3"/>
        <v>14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140</v>
      </c>
      <c r="AE14" s="73"/>
      <c r="AF14" s="776">
        <f t="shared" si="5"/>
        <v>19</v>
      </c>
      <c r="AG14" s="714">
        <v>5</v>
      </c>
      <c r="AH14" s="633">
        <v>50</v>
      </c>
      <c r="AI14" s="662">
        <v>44975</v>
      </c>
      <c r="AJ14" s="633">
        <f t="shared" ref="AJ14:AJ76" si="11">AH14</f>
        <v>50</v>
      </c>
      <c r="AK14" s="631" t="s">
        <v>459</v>
      </c>
      <c r="AL14" s="632">
        <v>115</v>
      </c>
      <c r="AM14" s="666">
        <f t="shared" si="9"/>
        <v>190</v>
      </c>
    </row>
    <row r="15" spans="1:39" x14ac:dyDescent="0.25">
      <c r="A15" s="73" t="s">
        <v>22</v>
      </c>
      <c r="B15" s="776">
        <f t="shared" si="0"/>
        <v>5</v>
      </c>
      <c r="C15" s="714">
        <v>2</v>
      </c>
      <c r="D15" s="1112">
        <v>20</v>
      </c>
      <c r="E15" s="1125">
        <v>44957</v>
      </c>
      <c r="F15" s="1112">
        <f t="shared" si="10"/>
        <v>20</v>
      </c>
      <c r="G15" s="1113" t="s">
        <v>488</v>
      </c>
      <c r="H15" s="1114">
        <v>115</v>
      </c>
      <c r="I15" s="666">
        <f t="shared" si="6"/>
        <v>50</v>
      </c>
      <c r="J15" s="666"/>
      <c r="K15" s="73"/>
      <c r="L15" s="83">
        <f t="shared" si="1"/>
        <v>2</v>
      </c>
      <c r="M15" s="62">
        <v>2</v>
      </c>
      <c r="N15" s="1110">
        <v>20</v>
      </c>
      <c r="O15" s="1126">
        <v>44968</v>
      </c>
      <c r="P15" s="1110">
        <f t="shared" si="2"/>
        <v>20</v>
      </c>
      <c r="Q15" s="580" t="s">
        <v>561</v>
      </c>
      <c r="R15" s="372">
        <v>100</v>
      </c>
      <c r="S15" s="103">
        <f t="shared" si="7"/>
        <v>20</v>
      </c>
      <c r="U15" s="73"/>
      <c r="V15" s="83">
        <f t="shared" si="3"/>
        <v>14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140</v>
      </c>
      <c r="AE15" s="73" t="s">
        <v>22</v>
      </c>
      <c r="AF15" s="776">
        <f t="shared" si="5"/>
        <v>18</v>
      </c>
      <c r="AG15" s="714">
        <v>1</v>
      </c>
      <c r="AH15" s="633">
        <v>10</v>
      </c>
      <c r="AI15" s="662">
        <v>44977</v>
      </c>
      <c r="AJ15" s="633">
        <f t="shared" si="11"/>
        <v>10</v>
      </c>
      <c r="AK15" s="631" t="s">
        <v>615</v>
      </c>
      <c r="AL15" s="632">
        <v>115</v>
      </c>
      <c r="AM15" s="666">
        <f t="shared" si="9"/>
        <v>180</v>
      </c>
    </row>
    <row r="16" spans="1:39" x14ac:dyDescent="0.25">
      <c r="B16" s="776">
        <f t="shared" si="0"/>
        <v>4</v>
      </c>
      <c r="C16" s="714">
        <v>1</v>
      </c>
      <c r="D16" s="1112">
        <v>10</v>
      </c>
      <c r="E16" s="1125">
        <v>44959</v>
      </c>
      <c r="F16" s="1112">
        <f t="shared" si="10"/>
        <v>10</v>
      </c>
      <c r="G16" s="1113" t="s">
        <v>502</v>
      </c>
      <c r="H16" s="1114">
        <v>115</v>
      </c>
      <c r="I16" s="666">
        <f t="shared" si="6"/>
        <v>40</v>
      </c>
      <c r="J16" s="666"/>
      <c r="L16" s="83">
        <f t="shared" si="1"/>
        <v>1</v>
      </c>
      <c r="M16" s="73">
        <v>1</v>
      </c>
      <c r="N16" s="1110">
        <v>10</v>
      </c>
      <c r="O16" s="1126">
        <v>44972</v>
      </c>
      <c r="P16" s="1110">
        <f t="shared" si="2"/>
        <v>10</v>
      </c>
      <c r="Q16" s="580" t="s">
        <v>455</v>
      </c>
      <c r="R16" s="372">
        <v>100</v>
      </c>
      <c r="S16" s="103">
        <f t="shared" si="7"/>
        <v>10</v>
      </c>
      <c r="V16" s="83">
        <f t="shared" si="3"/>
        <v>14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140</v>
      </c>
      <c r="AF16" s="776">
        <f t="shared" si="5"/>
        <v>17</v>
      </c>
      <c r="AG16" s="714">
        <v>1</v>
      </c>
      <c r="AH16" s="633">
        <v>10</v>
      </c>
      <c r="AI16" s="662">
        <v>44979</v>
      </c>
      <c r="AJ16" s="633">
        <f t="shared" si="11"/>
        <v>10</v>
      </c>
      <c r="AK16" s="631" t="s">
        <v>623</v>
      </c>
      <c r="AL16" s="632">
        <v>115</v>
      </c>
      <c r="AM16" s="666">
        <f t="shared" si="9"/>
        <v>170</v>
      </c>
    </row>
    <row r="17" spans="1:39" x14ac:dyDescent="0.25">
      <c r="B17" s="776">
        <f t="shared" si="0"/>
        <v>3</v>
      </c>
      <c r="C17" s="714">
        <v>1</v>
      </c>
      <c r="D17" s="1112">
        <v>10</v>
      </c>
      <c r="E17" s="1125">
        <v>44960</v>
      </c>
      <c r="F17" s="1112">
        <f t="shared" si="10"/>
        <v>10</v>
      </c>
      <c r="G17" s="1113" t="s">
        <v>514</v>
      </c>
      <c r="H17" s="1114">
        <v>115</v>
      </c>
      <c r="I17" s="666">
        <f t="shared" si="6"/>
        <v>30</v>
      </c>
      <c r="J17" s="666"/>
      <c r="L17" s="776">
        <f t="shared" si="1"/>
        <v>0</v>
      </c>
      <c r="M17" s="645">
        <v>1</v>
      </c>
      <c r="N17" s="1112">
        <v>10</v>
      </c>
      <c r="O17" s="1125">
        <v>44975</v>
      </c>
      <c r="P17" s="1112">
        <f t="shared" si="2"/>
        <v>10</v>
      </c>
      <c r="Q17" s="1113" t="s">
        <v>458</v>
      </c>
      <c r="R17" s="1114">
        <v>100</v>
      </c>
      <c r="S17" s="666">
        <f t="shared" si="7"/>
        <v>0</v>
      </c>
      <c r="T17" s="664"/>
      <c r="V17" s="776">
        <f t="shared" si="3"/>
        <v>14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140</v>
      </c>
      <c r="AF17" s="776">
        <f t="shared" si="5"/>
        <v>15</v>
      </c>
      <c r="AG17" s="714">
        <v>2</v>
      </c>
      <c r="AH17" s="633">
        <v>20</v>
      </c>
      <c r="AI17" s="662">
        <v>44980</v>
      </c>
      <c r="AJ17" s="633">
        <f t="shared" si="11"/>
        <v>20</v>
      </c>
      <c r="AK17" s="631" t="s">
        <v>634</v>
      </c>
      <c r="AL17" s="632">
        <v>115</v>
      </c>
      <c r="AM17" s="666">
        <f t="shared" si="9"/>
        <v>150</v>
      </c>
    </row>
    <row r="18" spans="1:39" x14ac:dyDescent="0.25">
      <c r="A18" s="119"/>
      <c r="B18" s="776">
        <f t="shared" si="0"/>
        <v>1</v>
      </c>
      <c r="C18" s="714">
        <v>2</v>
      </c>
      <c r="D18" s="1112">
        <v>20</v>
      </c>
      <c r="E18" s="1125">
        <v>44963</v>
      </c>
      <c r="F18" s="1112">
        <f t="shared" si="10"/>
        <v>20</v>
      </c>
      <c r="G18" s="1113" t="s">
        <v>527</v>
      </c>
      <c r="H18" s="1114">
        <v>115</v>
      </c>
      <c r="I18" s="666">
        <f t="shared" si="6"/>
        <v>10</v>
      </c>
      <c r="J18" s="666"/>
      <c r="K18" s="119"/>
      <c r="L18" s="776">
        <f t="shared" si="1"/>
        <v>0</v>
      </c>
      <c r="M18" s="645"/>
      <c r="N18" s="1112"/>
      <c r="O18" s="1125"/>
      <c r="P18" s="1152">
        <f t="shared" si="2"/>
        <v>0</v>
      </c>
      <c r="Q18" s="1153"/>
      <c r="R18" s="1154"/>
      <c r="S18" s="1150">
        <f t="shared" si="7"/>
        <v>0</v>
      </c>
      <c r="T18" s="664"/>
      <c r="U18" s="119"/>
      <c r="V18" s="776">
        <f t="shared" si="3"/>
        <v>14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140</v>
      </c>
      <c r="AE18" s="119"/>
      <c r="AF18" s="776">
        <f t="shared" si="5"/>
        <v>12</v>
      </c>
      <c r="AG18" s="714">
        <v>3</v>
      </c>
      <c r="AH18" s="633">
        <v>30</v>
      </c>
      <c r="AI18" s="662">
        <v>44982</v>
      </c>
      <c r="AJ18" s="633">
        <f t="shared" si="11"/>
        <v>30</v>
      </c>
      <c r="AK18" s="631" t="s">
        <v>663</v>
      </c>
      <c r="AL18" s="632">
        <v>115</v>
      </c>
      <c r="AM18" s="666">
        <f t="shared" si="9"/>
        <v>120</v>
      </c>
    </row>
    <row r="19" spans="1:39" x14ac:dyDescent="0.25">
      <c r="A19" s="119"/>
      <c r="B19" s="776">
        <f t="shared" si="0"/>
        <v>0</v>
      </c>
      <c r="C19" s="714">
        <v>1</v>
      </c>
      <c r="D19" s="1112">
        <v>10</v>
      </c>
      <c r="E19" s="1125">
        <v>44965</v>
      </c>
      <c r="F19" s="1112">
        <f t="shared" si="10"/>
        <v>10</v>
      </c>
      <c r="G19" s="1113" t="s">
        <v>449</v>
      </c>
      <c r="H19" s="1114">
        <v>115</v>
      </c>
      <c r="I19" s="666">
        <f t="shared" si="6"/>
        <v>0</v>
      </c>
      <c r="J19" s="666"/>
      <c r="K19" s="119"/>
      <c r="L19" s="776">
        <f t="shared" si="1"/>
        <v>0</v>
      </c>
      <c r="M19" s="714"/>
      <c r="N19" s="1112"/>
      <c r="O19" s="1125"/>
      <c r="P19" s="1152">
        <f t="shared" si="2"/>
        <v>0</v>
      </c>
      <c r="Q19" s="1153"/>
      <c r="R19" s="1154"/>
      <c r="S19" s="1150">
        <f t="shared" si="7"/>
        <v>0</v>
      </c>
      <c r="T19" s="664"/>
      <c r="U19" s="119"/>
      <c r="V19" s="776">
        <f t="shared" si="3"/>
        <v>14</v>
      </c>
      <c r="W19" s="714"/>
      <c r="X19" s="633"/>
      <c r="Y19" s="662"/>
      <c r="Z19" s="633">
        <f t="shared" si="4"/>
        <v>0</v>
      </c>
      <c r="AA19" s="631"/>
      <c r="AB19" s="632"/>
      <c r="AC19" s="666">
        <f t="shared" si="8"/>
        <v>140</v>
      </c>
      <c r="AE19" s="119"/>
      <c r="AF19" s="776">
        <f t="shared" si="5"/>
        <v>11</v>
      </c>
      <c r="AG19" s="714">
        <v>1</v>
      </c>
      <c r="AH19" s="633">
        <v>10</v>
      </c>
      <c r="AI19" s="662">
        <v>44985</v>
      </c>
      <c r="AJ19" s="633">
        <f t="shared" si="11"/>
        <v>10</v>
      </c>
      <c r="AK19" s="631" t="s">
        <v>645</v>
      </c>
      <c r="AL19" s="632">
        <v>115</v>
      </c>
      <c r="AM19" s="666">
        <f t="shared" si="9"/>
        <v>110</v>
      </c>
    </row>
    <row r="20" spans="1:39" x14ac:dyDescent="0.25">
      <c r="A20" s="119"/>
      <c r="B20" s="776">
        <f t="shared" si="0"/>
        <v>0</v>
      </c>
      <c r="C20" s="714"/>
      <c r="D20" s="1112"/>
      <c r="E20" s="1125"/>
      <c r="F20" s="1152">
        <f t="shared" si="10"/>
        <v>0</v>
      </c>
      <c r="G20" s="1153"/>
      <c r="H20" s="1154"/>
      <c r="I20" s="1150">
        <f t="shared" si="6"/>
        <v>0</v>
      </c>
      <c r="J20" s="666"/>
      <c r="K20" s="119"/>
      <c r="L20" s="776">
        <f t="shared" si="1"/>
        <v>0</v>
      </c>
      <c r="M20" s="714"/>
      <c r="N20" s="1112"/>
      <c r="O20" s="1125"/>
      <c r="P20" s="1152">
        <f t="shared" si="2"/>
        <v>0</v>
      </c>
      <c r="Q20" s="1153"/>
      <c r="R20" s="1154"/>
      <c r="S20" s="1150">
        <f t="shared" si="7"/>
        <v>0</v>
      </c>
      <c r="T20" s="664"/>
      <c r="U20" s="119"/>
      <c r="V20" s="776">
        <f t="shared" si="3"/>
        <v>14</v>
      </c>
      <c r="W20" s="714"/>
      <c r="X20" s="633"/>
      <c r="Y20" s="662"/>
      <c r="Z20" s="633">
        <f t="shared" si="4"/>
        <v>0</v>
      </c>
      <c r="AA20" s="631"/>
      <c r="AB20" s="632"/>
      <c r="AC20" s="666">
        <f t="shared" si="8"/>
        <v>140</v>
      </c>
      <c r="AE20" s="119"/>
      <c r="AF20" s="776">
        <f t="shared" si="5"/>
        <v>10</v>
      </c>
      <c r="AG20" s="714">
        <v>1</v>
      </c>
      <c r="AH20" s="633">
        <v>10</v>
      </c>
      <c r="AI20" s="662">
        <v>44989</v>
      </c>
      <c r="AJ20" s="633">
        <f t="shared" si="11"/>
        <v>10</v>
      </c>
      <c r="AK20" s="631" t="s">
        <v>469</v>
      </c>
      <c r="AL20" s="632">
        <v>115</v>
      </c>
      <c r="AM20" s="666">
        <f t="shared" si="9"/>
        <v>100</v>
      </c>
    </row>
    <row r="21" spans="1:39" x14ac:dyDescent="0.25">
      <c r="A21" s="119"/>
      <c r="B21" s="776">
        <f t="shared" si="0"/>
        <v>0</v>
      </c>
      <c r="C21" s="714"/>
      <c r="D21" s="1112"/>
      <c r="E21" s="1125"/>
      <c r="F21" s="1152">
        <f t="shared" si="10"/>
        <v>0</v>
      </c>
      <c r="G21" s="1153"/>
      <c r="H21" s="1154"/>
      <c r="I21" s="1150">
        <f t="shared" si="6"/>
        <v>0</v>
      </c>
      <c r="J21" s="666"/>
      <c r="K21" s="119"/>
      <c r="L21" s="776">
        <f t="shared" si="1"/>
        <v>0</v>
      </c>
      <c r="M21" s="714"/>
      <c r="N21" s="1112"/>
      <c r="O21" s="1125"/>
      <c r="P21" s="1152">
        <f t="shared" si="2"/>
        <v>0</v>
      </c>
      <c r="Q21" s="1153"/>
      <c r="R21" s="1154"/>
      <c r="S21" s="1150">
        <f t="shared" si="7"/>
        <v>0</v>
      </c>
      <c r="T21" s="664"/>
      <c r="U21" s="119"/>
      <c r="V21" s="776">
        <f t="shared" si="3"/>
        <v>14</v>
      </c>
      <c r="W21" s="714"/>
      <c r="X21" s="633"/>
      <c r="Y21" s="662"/>
      <c r="Z21" s="633">
        <f t="shared" si="4"/>
        <v>0</v>
      </c>
      <c r="AA21" s="631"/>
      <c r="AB21" s="632"/>
      <c r="AC21" s="666">
        <f t="shared" si="8"/>
        <v>140</v>
      </c>
      <c r="AE21" s="119"/>
      <c r="AF21" s="776">
        <f t="shared" si="5"/>
        <v>10</v>
      </c>
      <c r="AG21" s="714"/>
      <c r="AH21" s="633"/>
      <c r="AI21" s="662"/>
      <c r="AJ21" s="633">
        <f t="shared" si="11"/>
        <v>0</v>
      </c>
      <c r="AK21" s="631"/>
      <c r="AL21" s="632"/>
      <c r="AM21" s="666">
        <f t="shared" si="9"/>
        <v>100</v>
      </c>
    </row>
    <row r="22" spans="1:39" x14ac:dyDescent="0.25">
      <c r="A22" s="119"/>
      <c r="B22" s="836">
        <f t="shared" si="0"/>
        <v>0</v>
      </c>
      <c r="C22" s="714"/>
      <c r="D22" s="1112"/>
      <c r="E22" s="1125"/>
      <c r="F22" s="1152">
        <f t="shared" si="10"/>
        <v>0</v>
      </c>
      <c r="G22" s="1153"/>
      <c r="H22" s="1154"/>
      <c r="I22" s="1150">
        <f t="shared" si="6"/>
        <v>0</v>
      </c>
      <c r="J22" s="666"/>
      <c r="K22" s="119"/>
      <c r="L22" s="836">
        <f t="shared" si="1"/>
        <v>0</v>
      </c>
      <c r="M22" s="714"/>
      <c r="N22" s="1112"/>
      <c r="O22" s="1125"/>
      <c r="P22" s="1112">
        <f t="shared" si="2"/>
        <v>0</v>
      </c>
      <c r="Q22" s="1113"/>
      <c r="R22" s="1114"/>
      <c r="S22" s="666">
        <f t="shared" si="7"/>
        <v>0</v>
      </c>
      <c r="T22" s="664"/>
      <c r="U22" s="119"/>
      <c r="V22" s="836">
        <f t="shared" si="3"/>
        <v>14</v>
      </c>
      <c r="W22" s="714"/>
      <c r="X22" s="633"/>
      <c r="Y22" s="662"/>
      <c r="Z22" s="633">
        <f t="shared" si="4"/>
        <v>0</v>
      </c>
      <c r="AA22" s="631"/>
      <c r="AB22" s="632"/>
      <c r="AC22" s="666">
        <f t="shared" si="8"/>
        <v>140</v>
      </c>
      <c r="AE22" s="119"/>
      <c r="AF22" s="836">
        <f t="shared" si="5"/>
        <v>10</v>
      </c>
      <c r="AG22" s="714"/>
      <c r="AH22" s="633"/>
      <c r="AI22" s="662"/>
      <c r="AJ22" s="633">
        <f t="shared" si="11"/>
        <v>0</v>
      </c>
      <c r="AK22" s="631"/>
      <c r="AL22" s="632"/>
      <c r="AM22" s="666">
        <f t="shared" si="9"/>
        <v>100</v>
      </c>
    </row>
    <row r="23" spans="1:39" x14ac:dyDescent="0.25">
      <c r="A23" s="120"/>
      <c r="B23" s="836">
        <f t="shared" si="0"/>
        <v>0</v>
      </c>
      <c r="C23" s="645"/>
      <c r="D23" s="633"/>
      <c r="E23" s="662"/>
      <c r="F23" s="1157">
        <f t="shared" si="10"/>
        <v>0</v>
      </c>
      <c r="G23" s="1158"/>
      <c r="H23" s="1159"/>
      <c r="I23" s="1150">
        <f t="shared" si="6"/>
        <v>0</v>
      </c>
      <c r="J23" s="666"/>
      <c r="K23" s="120"/>
      <c r="L23" s="226">
        <f t="shared" si="1"/>
        <v>0</v>
      </c>
      <c r="M23" s="15"/>
      <c r="N23" s="1110"/>
      <c r="O23" s="1126"/>
      <c r="P23" s="1110">
        <f t="shared" si="2"/>
        <v>0</v>
      </c>
      <c r="Q23" s="580"/>
      <c r="R23" s="372"/>
      <c r="S23" s="103">
        <f t="shared" si="7"/>
        <v>0</v>
      </c>
      <c r="U23" s="120"/>
      <c r="V23" s="226">
        <f t="shared" si="3"/>
        <v>14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140</v>
      </c>
      <c r="AE23" s="120"/>
      <c r="AF23" s="836">
        <f t="shared" si="5"/>
        <v>10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100</v>
      </c>
    </row>
    <row r="24" spans="1:39" x14ac:dyDescent="0.25">
      <c r="A24" s="119"/>
      <c r="B24" s="836">
        <f t="shared" si="0"/>
        <v>0</v>
      </c>
      <c r="C24" s="714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0</v>
      </c>
      <c r="M24" s="15"/>
      <c r="N24" s="1110"/>
      <c r="O24" s="1126"/>
      <c r="P24" s="1110">
        <f t="shared" si="2"/>
        <v>0</v>
      </c>
      <c r="Q24" s="580"/>
      <c r="R24" s="372"/>
      <c r="S24" s="103">
        <f t="shared" si="7"/>
        <v>0</v>
      </c>
      <c r="U24" s="119"/>
      <c r="V24" s="226">
        <f t="shared" si="3"/>
        <v>14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140</v>
      </c>
      <c r="AE24" s="119"/>
      <c r="AF24" s="836">
        <f t="shared" si="5"/>
        <v>10</v>
      </c>
      <c r="AG24" s="714"/>
      <c r="AH24" s="633"/>
      <c r="AI24" s="662"/>
      <c r="AJ24" s="633">
        <f t="shared" si="11"/>
        <v>0</v>
      </c>
      <c r="AK24" s="631"/>
      <c r="AL24" s="632"/>
      <c r="AM24" s="666">
        <f t="shared" si="9"/>
        <v>100</v>
      </c>
    </row>
    <row r="25" spans="1:39" x14ac:dyDescent="0.25">
      <c r="A25" s="119"/>
      <c r="B25" s="836">
        <f t="shared" si="0"/>
        <v>0</v>
      </c>
      <c r="C25" s="714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0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0</v>
      </c>
      <c r="U25" s="119"/>
      <c r="V25" s="226">
        <f t="shared" si="3"/>
        <v>14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140</v>
      </c>
      <c r="AE25" s="119"/>
      <c r="AF25" s="836">
        <f t="shared" si="5"/>
        <v>10</v>
      </c>
      <c r="AG25" s="714"/>
      <c r="AH25" s="633"/>
      <c r="AI25" s="662"/>
      <c r="AJ25" s="633">
        <f t="shared" si="11"/>
        <v>0</v>
      </c>
      <c r="AK25" s="631"/>
      <c r="AL25" s="632"/>
      <c r="AM25" s="666">
        <f t="shared" si="9"/>
        <v>100</v>
      </c>
    </row>
    <row r="26" spans="1:39" x14ac:dyDescent="0.25">
      <c r="A26" s="119"/>
      <c r="B26" s="769">
        <f t="shared" si="0"/>
        <v>0</v>
      </c>
      <c r="C26" s="714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0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0</v>
      </c>
      <c r="U26" s="119"/>
      <c r="V26" s="178">
        <f t="shared" si="3"/>
        <v>14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140</v>
      </c>
      <c r="AE26" s="119"/>
      <c r="AF26" s="769">
        <f t="shared" si="5"/>
        <v>10</v>
      </c>
      <c r="AG26" s="714"/>
      <c r="AH26" s="633"/>
      <c r="AI26" s="662"/>
      <c r="AJ26" s="633">
        <f t="shared" si="11"/>
        <v>0</v>
      </c>
      <c r="AK26" s="631"/>
      <c r="AL26" s="632"/>
      <c r="AM26" s="666">
        <f t="shared" si="9"/>
        <v>100</v>
      </c>
    </row>
    <row r="27" spans="1:39" x14ac:dyDescent="0.25">
      <c r="A27" s="119"/>
      <c r="B27" s="836">
        <f t="shared" si="0"/>
        <v>0</v>
      </c>
      <c r="C27" s="714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0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0</v>
      </c>
      <c r="U27" s="119"/>
      <c r="V27" s="226">
        <f t="shared" si="3"/>
        <v>14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140</v>
      </c>
      <c r="AE27" s="119"/>
      <c r="AF27" s="836">
        <f t="shared" si="5"/>
        <v>10</v>
      </c>
      <c r="AG27" s="714"/>
      <c r="AH27" s="633"/>
      <c r="AI27" s="662"/>
      <c r="AJ27" s="633">
        <f t="shared" si="11"/>
        <v>0</v>
      </c>
      <c r="AK27" s="631"/>
      <c r="AL27" s="632"/>
      <c r="AM27" s="666">
        <f t="shared" si="9"/>
        <v>100</v>
      </c>
    </row>
    <row r="28" spans="1:39" x14ac:dyDescent="0.25">
      <c r="A28" s="119"/>
      <c r="B28" s="769">
        <f t="shared" si="0"/>
        <v>0</v>
      </c>
      <c r="C28" s="714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0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0</v>
      </c>
      <c r="U28" s="119"/>
      <c r="V28" s="178">
        <f t="shared" si="3"/>
        <v>14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140</v>
      </c>
      <c r="AE28" s="119"/>
      <c r="AF28" s="769">
        <f t="shared" si="5"/>
        <v>10</v>
      </c>
      <c r="AG28" s="714"/>
      <c r="AH28" s="633"/>
      <c r="AI28" s="662"/>
      <c r="AJ28" s="633">
        <f t="shared" si="11"/>
        <v>0</v>
      </c>
      <c r="AK28" s="631"/>
      <c r="AL28" s="632"/>
      <c r="AM28" s="666">
        <f t="shared" si="9"/>
        <v>100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0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0</v>
      </c>
      <c r="U29" s="119"/>
      <c r="V29" s="226">
        <f t="shared" si="3"/>
        <v>14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140</v>
      </c>
      <c r="AE29" s="119"/>
      <c r="AF29" s="226">
        <f t="shared" si="5"/>
        <v>10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100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0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0</v>
      </c>
      <c r="U30" s="119"/>
      <c r="V30" s="226">
        <f t="shared" si="3"/>
        <v>14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140</v>
      </c>
      <c r="AE30" s="119"/>
      <c r="AF30" s="226">
        <f t="shared" si="5"/>
        <v>10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100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0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0</v>
      </c>
      <c r="U31" s="119"/>
      <c r="V31" s="226">
        <f t="shared" si="3"/>
        <v>14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140</v>
      </c>
      <c r="AE31" s="119"/>
      <c r="AF31" s="226">
        <f t="shared" si="5"/>
        <v>10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100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0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0</v>
      </c>
      <c r="U32" s="119"/>
      <c r="V32" s="226">
        <f t="shared" si="3"/>
        <v>14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140</v>
      </c>
      <c r="AE32" s="119"/>
      <c r="AF32" s="226">
        <f t="shared" si="5"/>
        <v>10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100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0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0</v>
      </c>
      <c r="U33" s="119"/>
      <c r="V33" s="226">
        <f t="shared" si="3"/>
        <v>14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140</v>
      </c>
      <c r="AE33" s="119"/>
      <c r="AF33" s="226">
        <f t="shared" si="5"/>
        <v>10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100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0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0</v>
      </c>
      <c r="U34" s="119"/>
      <c r="V34" s="226">
        <f t="shared" si="3"/>
        <v>14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140</v>
      </c>
      <c r="AE34" s="119"/>
      <c r="AF34" s="226">
        <f t="shared" si="5"/>
        <v>10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100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0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0</v>
      </c>
      <c r="U35" s="119"/>
      <c r="V35" s="226">
        <f t="shared" si="3"/>
        <v>14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140</v>
      </c>
      <c r="AE35" s="119"/>
      <c r="AF35" s="226">
        <f t="shared" si="5"/>
        <v>10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100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0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0</v>
      </c>
      <c r="U36" s="119" t="s">
        <v>22</v>
      </c>
      <c r="V36" s="226">
        <f t="shared" si="3"/>
        <v>14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140</v>
      </c>
      <c r="AE36" s="119" t="s">
        <v>22</v>
      </c>
      <c r="AF36" s="226">
        <f t="shared" si="5"/>
        <v>10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100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0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0</v>
      </c>
      <c r="U37" s="120"/>
      <c r="V37" s="226">
        <f t="shared" si="3"/>
        <v>14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140</v>
      </c>
      <c r="AE37" s="120"/>
      <c r="AF37" s="226">
        <f t="shared" si="5"/>
        <v>10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100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0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0</v>
      </c>
      <c r="U38" s="119"/>
      <c r="V38" s="226">
        <f t="shared" si="3"/>
        <v>14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140</v>
      </c>
      <c r="AE38" s="119"/>
      <c r="AF38" s="226">
        <f t="shared" si="5"/>
        <v>10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100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0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0</v>
      </c>
      <c r="U39" s="119"/>
      <c r="V39" s="83">
        <f t="shared" si="3"/>
        <v>14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140</v>
      </c>
      <c r="AE39" s="119"/>
      <c r="AF39" s="83">
        <f t="shared" si="5"/>
        <v>10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100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0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0</v>
      </c>
      <c r="U40" s="119"/>
      <c r="V40" s="83">
        <f t="shared" si="3"/>
        <v>14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140</v>
      </c>
      <c r="AE40" s="119"/>
      <c r="AF40" s="83">
        <f t="shared" si="5"/>
        <v>10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100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0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0</v>
      </c>
      <c r="U41" s="119"/>
      <c r="V41" s="83">
        <f t="shared" si="3"/>
        <v>14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140</v>
      </c>
      <c r="AE41" s="119"/>
      <c r="AF41" s="83">
        <f t="shared" si="5"/>
        <v>10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100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0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0</v>
      </c>
      <c r="U42" s="119"/>
      <c r="V42" s="83">
        <f t="shared" si="3"/>
        <v>14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140</v>
      </c>
      <c r="AE42" s="119"/>
      <c r="AF42" s="83">
        <f t="shared" si="5"/>
        <v>10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100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0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0</v>
      </c>
      <c r="U43" s="119"/>
      <c r="V43" s="83">
        <f t="shared" si="3"/>
        <v>14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140</v>
      </c>
      <c r="AE43" s="119"/>
      <c r="AF43" s="83">
        <f t="shared" si="5"/>
        <v>10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100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0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0</v>
      </c>
      <c r="U44" s="119"/>
      <c r="V44" s="83">
        <f t="shared" si="3"/>
        <v>14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140</v>
      </c>
      <c r="AE44" s="119"/>
      <c r="AF44" s="83">
        <f t="shared" si="5"/>
        <v>10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100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0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0</v>
      </c>
      <c r="U45" s="119"/>
      <c r="V45" s="83">
        <f t="shared" si="3"/>
        <v>14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140</v>
      </c>
      <c r="AE45" s="119"/>
      <c r="AF45" s="83">
        <f t="shared" si="5"/>
        <v>10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100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0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0</v>
      </c>
      <c r="U46" s="119"/>
      <c r="V46" s="83">
        <f t="shared" si="3"/>
        <v>14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140</v>
      </c>
      <c r="AE46" s="119"/>
      <c r="AF46" s="83">
        <f t="shared" si="5"/>
        <v>10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100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0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0</v>
      </c>
      <c r="U47" s="119"/>
      <c r="V47" s="83">
        <f t="shared" si="3"/>
        <v>14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140</v>
      </c>
      <c r="AE47" s="119"/>
      <c r="AF47" s="83">
        <f t="shared" si="5"/>
        <v>10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100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0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0</v>
      </c>
      <c r="U48" s="119"/>
      <c r="V48" s="83">
        <f t="shared" si="3"/>
        <v>14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140</v>
      </c>
      <c r="AE48" s="119"/>
      <c r="AF48" s="83">
        <f t="shared" si="5"/>
        <v>10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100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0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0</v>
      </c>
      <c r="U49" s="119"/>
      <c r="V49" s="83">
        <f t="shared" si="3"/>
        <v>14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140</v>
      </c>
      <c r="AE49" s="119"/>
      <c r="AF49" s="83">
        <f t="shared" si="5"/>
        <v>10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100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0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0</v>
      </c>
      <c r="U50" s="119"/>
      <c r="V50" s="83">
        <f t="shared" si="3"/>
        <v>14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140</v>
      </c>
      <c r="AE50" s="119"/>
      <c r="AF50" s="83">
        <f t="shared" si="5"/>
        <v>10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100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0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0</v>
      </c>
      <c r="U51" s="119"/>
      <c r="V51" s="83">
        <f t="shared" si="3"/>
        <v>14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140</v>
      </c>
      <c r="AE51" s="119"/>
      <c r="AF51" s="83">
        <f t="shared" si="5"/>
        <v>10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100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0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0</v>
      </c>
      <c r="U52" s="119"/>
      <c r="V52" s="83">
        <f t="shared" si="3"/>
        <v>14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140</v>
      </c>
      <c r="AE52" s="119"/>
      <c r="AF52" s="83">
        <f t="shared" si="5"/>
        <v>10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100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0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0</v>
      </c>
      <c r="U53" s="119"/>
      <c r="V53" s="83">
        <f t="shared" si="3"/>
        <v>14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140</v>
      </c>
      <c r="AE53" s="119"/>
      <c r="AF53" s="83">
        <f t="shared" si="5"/>
        <v>10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100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0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0</v>
      </c>
      <c r="U54" s="119"/>
      <c r="V54" s="83">
        <f t="shared" si="3"/>
        <v>14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140</v>
      </c>
      <c r="AE54" s="119"/>
      <c r="AF54" s="83">
        <f t="shared" si="5"/>
        <v>10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100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0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0</v>
      </c>
      <c r="U55" s="119"/>
      <c r="V55" s="12">
        <f t="shared" si="3"/>
        <v>14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140</v>
      </c>
      <c r="AE55" s="119"/>
      <c r="AF55" s="12">
        <f t="shared" si="5"/>
        <v>10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100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0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0</v>
      </c>
      <c r="U56" s="119"/>
      <c r="V56" s="12">
        <f t="shared" si="3"/>
        <v>14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140</v>
      </c>
      <c r="AE56" s="119"/>
      <c r="AF56" s="12">
        <f t="shared" si="5"/>
        <v>10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100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0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0</v>
      </c>
      <c r="U57" s="119"/>
      <c r="V57" s="12">
        <f t="shared" si="3"/>
        <v>14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140</v>
      </c>
      <c r="AE57" s="119"/>
      <c r="AF57" s="12">
        <f t="shared" si="5"/>
        <v>10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100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0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0</v>
      </c>
      <c r="U58" s="119"/>
      <c r="V58" s="12">
        <f t="shared" si="3"/>
        <v>14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140</v>
      </c>
      <c r="AE58" s="119"/>
      <c r="AF58" s="12">
        <f t="shared" si="5"/>
        <v>10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100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0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0</v>
      </c>
      <c r="U59" s="119"/>
      <c r="V59" s="12">
        <f t="shared" si="3"/>
        <v>14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140</v>
      </c>
      <c r="AE59" s="119"/>
      <c r="AF59" s="12">
        <f t="shared" si="5"/>
        <v>10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100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0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0</v>
      </c>
      <c r="U60" s="119"/>
      <c r="V60" s="12">
        <f t="shared" si="3"/>
        <v>14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140</v>
      </c>
      <c r="AE60" s="119"/>
      <c r="AF60" s="12">
        <f t="shared" si="5"/>
        <v>10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100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0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0</v>
      </c>
      <c r="U61" s="119"/>
      <c r="V61" s="12">
        <f t="shared" si="3"/>
        <v>14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140</v>
      </c>
      <c r="AE61" s="119"/>
      <c r="AF61" s="12">
        <f t="shared" si="5"/>
        <v>10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100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0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0</v>
      </c>
      <c r="U62" s="119"/>
      <c r="V62" s="12">
        <f t="shared" si="3"/>
        <v>14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140</v>
      </c>
      <c r="AE62" s="119"/>
      <c r="AF62" s="12">
        <f t="shared" si="5"/>
        <v>10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100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0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0</v>
      </c>
      <c r="U63" s="119"/>
      <c r="V63" s="12">
        <f t="shared" si="3"/>
        <v>14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140</v>
      </c>
      <c r="AE63" s="119"/>
      <c r="AF63" s="12">
        <f t="shared" si="5"/>
        <v>10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100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0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0</v>
      </c>
      <c r="U64" s="119"/>
      <c r="V64" s="12">
        <f t="shared" si="3"/>
        <v>14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140</v>
      </c>
      <c r="AE64" s="119"/>
      <c r="AF64" s="12">
        <f t="shared" si="5"/>
        <v>10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100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0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0</v>
      </c>
      <c r="U65" s="119"/>
      <c r="V65" s="12">
        <f t="shared" si="3"/>
        <v>14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140</v>
      </c>
      <c r="AE65" s="119"/>
      <c r="AF65" s="12">
        <f t="shared" si="5"/>
        <v>10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100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0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0</v>
      </c>
      <c r="U66" s="119"/>
      <c r="V66" s="12">
        <f t="shared" si="3"/>
        <v>14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140</v>
      </c>
      <c r="AE66" s="119"/>
      <c r="AF66" s="12">
        <f t="shared" si="5"/>
        <v>10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100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0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0</v>
      </c>
      <c r="U67" s="119"/>
      <c r="V67" s="12">
        <f t="shared" si="3"/>
        <v>14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140</v>
      </c>
      <c r="AE67" s="119"/>
      <c r="AF67" s="12">
        <f t="shared" si="5"/>
        <v>10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100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0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0</v>
      </c>
      <c r="U68" s="119"/>
      <c r="V68" s="12">
        <f t="shared" si="3"/>
        <v>14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140</v>
      </c>
      <c r="AE68" s="119"/>
      <c r="AF68" s="12">
        <f t="shared" si="5"/>
        <v>10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100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0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0</v>
      </c>
      <c r="U69" s="119"/>
      <c r="V69" s="12">
        <f t="shared" si="3"/>
        <v>14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140</v>
      </c>
      <c r="AE69" s="119"/>
      <c r="AF69" s="12">
        <f t="shared" si="5"/>
        <v>10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100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0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0</v>
      </c>
      <c r="U70" s="119"/>
      <c r="V70" s="12">
        <f t="shared" si="3"/>
        <v>14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140</v>
      </c>
      <c r="AE70" s="119"/>
      <c r="AF70" s="12">
        <f t="shared" si="5"/>
        <v>10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100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0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0</v>
      </c>
      <c r="U71" s="119"/>
      <c r="V71" s="12">
        <f t="shared" si="3"/>
        <v>14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140</v>
      </c>
      <c r="AE71" s="119"/>
      <c r="AF71" s="12">
        <f t="shared" si="5"/>
        <v>10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100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0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0</v>
      </c>
      <c r="U72" s="119"/>
      <c r="V72" s="12">
        <f t="shared" si="3"/>
        <v>14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140</v>
      </c>
      <c r="AE72" s="119"/>
      <c r="AF72" s="12">
        <f t="shared" si="5"/>
        <v>10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100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0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0</v>
      </c>
      <c r="U73" s="119"/>
      <c r="V73" s="12">
        <f t="shared" si="3"/>
        <v>14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140</v>
      </c>
      <c r="AE73" s="119"/>
      <c r="AF73" s="12">
        <f t="shared" si="5"/>
        <v>10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100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0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0</v>
      </c>
      <c r="U74" s="119"/>
      <c r="V74" s="12">
        <f t="shared" ref="V74:V75" si="15">V73-W74</f>
        <v>14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140</v>
      </c>
      <c r="AE74" s="119"/>
      <c r="AF74" s="12">
        <f t="shared" ref="AF74:AF75" si="17">AF73-AG74</f>
        <v>10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100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0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0</v>
      </c>
      <c r="U75" s="119"/>
      <c r="V75" s="12">
        <f t="shared" si="15"/>
        <v>14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140</v>
      </c>
      <c r="AE75" s="119"/>
      <c r="AF75" s="12">
        <f t="shared" si="17"/>
        <v>10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140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20</v>
      </c>
      <c r="AH78" s="6">
        <f>SUM(AH9:AH77)</f>
        <v>200</v>
      </c>
      <c r="AJ78" s="6">
        <f>SUM(AJ9:AJ77)</f>
        <v>200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388" t="s">
        <v>11</v>
      </c>
      <c r="D83" s="1389"/>
      <c r="E83" s="57">
        <f>E5+E6-F78+E7</f>
        <v>0</v>
      </c>
      <c r="F83" s="73"/>
      <c r="M83" s="1388" t="s">
        <v>11</v>
      </c>
      <c r="N83" s="1389"/>
      <c r="O83" s="57">
        <f>O5+O6-P78+O7</f>
        <v>0</v>
      </c>
      <c r="P83" s="73"/>
      <c r="W83" s="1388" t="s">
        <v>11</v>
      </c>
      <c r="X83" s="1389"/>
      <c r="Y83" s="57">
        <f>Y5+Y6-Z78+Y7</f>
        <v>140</v>
      </c>
      <c r="Z83" s="73"/>
      <c r="AG83" s="1388" t="s">
        <v>11</v>
      </c>
      <c r="AH83" s="1389"/>
      <c r="AI83" s="57">
        <f>AI5+AI6-AJ78+AI7</f>
        <v>100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86" t="s">
        <v>287</v>
      </c>
      <c r="B1" s="1386"/>
      <c r="C1" s="1386"/>
      <c r="D1" s="1386"/>
      <c r="E1" s="1386"/>
      <c r="F1" s="1386"/>
      <c r="G1" s="138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395" t="s">
        <v>121</v>
      </c>
      <c r="B5" s="1401" t="s">
        <v>97</v>
      </c>
      <c r="C5" s="195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395"/>
      <c r="B6" s="1401"/>
      <c r="C6" s="195"/>
      <c r="D6" s="146" t="s">
        <v>215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103</v>
      </c>
      <c r="J8" s="728" t="s">
        <v>3</v>
      </c>
    </row>
    <row r="9" spans="1:10" ht="15.75" thickTop="1" x14ac:dyDescent="0.25">
      <c r="A9" s="73"/>
      <c r="B9" s="747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194</v>
      </c>
      <c r="H9" s="71">
        <v>52</v>
      </c>
      <c r="I9" s="748">
        <f>H9*F9</f>
        <v>51994.799999999996</v>
      </c>
      <c r="J9" s="666">
        <f>E4+E5+E6+E7-F9</f>
        <v>17876.75</v>
      </c>
    </row>
    <row r="10" spans="1:10" x14ac:dyDescent="0.25">
      <c r="B10" s="747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195</v>
      </c>
      <c r="H10" s="71">
        <v>50</v>
      </c>
      <c r="I10" s="749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47">
        <f t="shared" ref="B11:B37" si="2">B10-C11</f>
        <v>560</v>
      </c>
      <c r="C11" s="714">
        <v>12</v>
      </c>
      <c r="D11" s="630">
        <v>354.12</v>
      </c>
      <c r="E11" s="743">
        <v>44924</v>
      </c>
      <c r="F11" s="633">
        <f t="shared" si="0"/>
        <v>354.12</v>
      </c>
      <c r="G11" s="631" t="s">
        <v>197</v>
      </c>
      <c r="H11" s="632">
        <v>50</v>
      </c>
      <c r="I11" s="749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47">
        <f t="shared" si="2"/>
        <v>540</v>
      </c>
      <c r="C12" s="714">
        <v>20</v>
      </c>
      <c r="D12" s="630">
        <v>539.1</v>
      </c>
      <c r="E12" s="743">
        <v>44924</v>
      </c>
      <c r="F12" s="633">
        <f t="shared" si="0"/>
        <v>539.1</v>
      </c>
      <c r="G12" s="631" t="s">
        <v>197</v>
      </c>
      <c r="H12" s="632">
        <v>52</v>
      </c>
      <c r="I12" s="749">
        <f t="shared" si="1"/>
        <v>28033.200000000001</v>
      </c>
      <c r="J12" s="666">
        <f t="shared" si="3"/>
        <v>16147.430000000002</v>
      </c>
    </row>
    <row r="13" spans="1:10" x14ac:dyDescent="0.25">
      <c r="B13" s="715">
        <f t="shared" si="2"/>
        <v>510</v>
      </c>
      <c r="C13" s="714">
        <v>30</v>
      </c>
      <c r="D13" s="630">
        <v>886.2</v>
      </c>
      <c r="E13" s="743">
        <v>44929</v>
      </c>
      <c r="F13" s="633">
        <f t="shared" si="0"/>
        <v>886.2</v>
      </c>
      <c r="G13" s="631" t="s">
        <v>205</v>
      </c>
      <c r="H13" s="632">
        <v>52</v>
      </c>
      <c r="I13" s="749">
        <f t="shared" si="1"/>
        <v>46082.400000000001</v>
      </c>
      <c r="J13" s="716">
        <f>J12-F13</f>
        <v>15261.230000000001</v>
      </c>
    </row>
    <row r="14" spans="1:10" x14ac:dyDescent="0.25">
      <c r="A14" s="55" t="s">
        <v>33</v>
      </c>
      <c r="B14" s="747">
        <f t="shared" si="2"/>
        <v>480</v>
      </c>
      <c r="C14" s="714">
        <v>30</v>
      </c>
      <c r="D14" s="816">
        <v>921.9</v>
      </c>
      <c r="E14" s="933">
        <v>44935</v>
      </c>
      <c r="F14" s="912">
        <f t="shared" si="0"/>
        <v>921.9</v>
      </c>
      <c r="G14" s="914" t="s">
        <v>220</v>
      </c>
      <c r="H14" s="663">
        <v>52</v>
      </c>
      <c r="I14" s="749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47">
        <f t="shared" si="2"/>
        <v>450</v>
      </c>
      <c r="C15" s="714">
        <v>30</v>
      </c>
      <c r="D15" s="816">
        <v>884.7</v>
      </c>
      <c r="E15" s="933">
        <v>44938</v>
      </c>
      <c r="F15" s="912">
        <f t="shared" si="0"/>
        <v>884.7</v>
      </c>
      <c r="G15" s="914" t="s">
        <v>225</v>
      </c>
      <c r="H15" s="663">
        <v>52</v>
      </c>
      <c r="I15" s="749">
        <f t="shared" si="1"/>
        <v>46004.4</v>
      </c>
      <c r="J15" s="666">
        <f t="shared" si="4"/>
        <v>13454.630000000001</v>
      </c>
    </row>
    <row r="16" spans="1:10" ht="15.75" x14ac:dyDescent="0.25">
      <c r="A16" s="746"/>
      <c r="B16" s="747">
        <f t="shared" si="2"/>
        <v>438</v>
      </c>
      <c r="C16" s="714">
        <v>12</v>
      </c>
      <c r="D16" s="816">
        <v>349.9</v>
      </c>
      <c r="E16" s="933">
        <v>44943</v>
      </c>
      <c r="F16" s="912">
        <f t="shared" si="0"/>
        <v>349.9</v>
      </c>
      <c r="G16" s="914" t="s">
        <v>233</v>
      </c>
      <c r="H16" s="663">
        <v>52</v>
      </c>
      <c r="I16" s="749">
        <f t="shared" si="1"/>
        <v>18194.8</v>
      </c>
      <c r="J16" s="666">
        <f t="shared" si="4"/>
        <v>13104.730000000001</v>
      </c>
    </row>
    <row r="17" spans="1:10" ht="15.75" x14ac:dyDescent="0.25">
      <c r="A17" s="746"/>
      <c r="B17" s="715">
        <f t="shared" si="2"/>
        <v>420</v>
      </c>
      <c r="C17" s="714">
        <v>18</v>
      </c>
      <c r="D17" s="816">
        <v>549.9</v>
      </c>
      <c r="E17" s="933">
        <v>44944</v>
      </c>
      <c r="F17" s="912">
        <f t="shared" si="0"/>
        <v>549.9</v>
      </c>
      <c r="G17" s="914" t="s">
        <v>235</v>
      </c>
      <c r="H17" s="663">
        <v>52</v>
      </c>
      <c r="I17" s="749">
        <f t="shared" si="1"/>
        <v>28594.799999999999</v>
      </c>
      <c r="J17" s="716">
        <f t="shared" si="4"/>
        <v>12554.830000000002</v>
      </c>
    </row>
    <row r="18" spans="1:10" ht="15.75" x14ac:dyDescent="0.25">
      <c r="A18" s="746"/>
      <c r="B18" s="747">
        <f t="shared" si="2"/>
        <v>402</v>
      </c>
      <c r="C18" s="714">
        <v>18</v>
      </c>
      <c r="D18" s="815">
        <v>527.70000000000005</v>
      </c>
      <c r="E18" s="1186">
        <v>44973</v>
      </c>
      <c r="F18" s="1112">
        <f t="shared" si="0"/>
        <v>527.70000000000005</v>
      </c>
      <c r="G18" s="1113" t="s">
        <v>585</v>
      </c>
      <c r="H18" s="1114">
        <v>52</v>
      </c>
      <c r="I18" s="749">
        <f t="shared" si="1"/>
        <v>27440.400000000001</v>
      </c>
      <c r="J18" s="666">
        <f t="shared" si="4"/>
        <v>12027.130000000001</v>
      </c>
    </row>
    <row r="19" spans="1:10" x14ac:dyDescent="0.25">
      <c r="A19" s="664"/>
      <c r="B19" s="747">
        <f t="shared" si="2"/>
        <v>372</v>
      </c>
      <c r="C19" s="714">
        <v>30</v>
      </c>
      <c r="D19" s="815">
        <v>873.2</v>
      </c>
      <c r="E19" s="1186">
        <v>44975</v>
      </c>
      <c r="F19" s="1112">
        <f t="shared" si="0"/>
        <v>873.2</v>
      </c>
      <c r="G19" s="1113" t="s">
        <v>458</v>
      </c>
      <c r="H19" s="1114">
        <v>52</v>
      </c>
      <c r="I19" s="749">
        <f t="shared" si="1"/>
        <v>45406.400000000001</v>
      </c>
      <c r="J19" s="666">
        <f t="shared" si="4"/>
        <v>11153.93</v>
      </c>
    </row>
    <row r="20" spans="1:10" x14ac:dyDescent="0.25">
      <c r="A20" s="664"/>
      <c r="B20" s="747">
        <f t="shared" si="2"/>
        <v>342</v>
      </c>
      <c r="C20" s="714">
        <v>30</v>
      </c>
      <c r="D20" s="815">
        <v>935.6</v>
      </c>
      <c r="E20" s="1186">
        <v>44980</v>
      </c>
      <c r="F20" s="1112">
        <f t="shared" si="0"/>
        <v>935.6</v>
      </c>
      <c r="G20" s="1113" t="s">
        <v>630</v>
      </c>
      <c r="H20" s="1114">
        <v>52</v>
      </c>
      <c r="I20" s="749">
        <f t="shared" si="1"/>
        <v>48651.200000000004</v>
      </c>
      <c r="J20" s="666">
        <f t="shared" si="4"/>
        <v>10218.33</v>
      </c>
    </row>
    <row r="21" spans="1:10" x14ac:dyDescent="0.25">
      <c r="B21" s="747">
        <f t="shared" si="2"/>
        <v>312</v>
      </c>
      <c r="C21" s="714">
        <v>30</v>
      </c>
      <c r="D21" s="815">
        <v>966.8</v>
      </c>
      <c r="E21" s="1186">
        <v>44985</v>
      </c>
      <c r="F21" s="1112">
        <f t="shared" si="0"/>
        <v>966.8</v>
      </c>
      <c r="G21" s="1113" t="s">
        <v>645</v>
      </c>
      <c r="H21" s="1114">
        <v>52</v>
      </c>
      <c r="I21" s="749">
        <f t="shared" si="1"/>
        <v>50273.599999999999</v>
      </c>
      <c r="J21" s="666">
        <f t="shared" si="4"/>
        <v>9251.5300000000007</v>
      </c>
    </row>
    <row r="22" spans="1:10" x14ac:dyDescent="0.25">
      <c r="B22" s="747">
        <f t="shared" si="2"/>
        <v>282</v>
      </c>
      <c r="C22" s="714">
        <v>30</v>
      </c>
      <c r="D22" s="815">
        <v>887.1</v>
      </c>
      <c r="E22" s="1186">
        <v>44988</v>
      </c>
      <c r="F22" s="1112">
        <f t="shared" si="0"/>
        <v>887.1</v>
      </c>
      <c r="G22" s="1113" t="s">
        <v>705</v>
      </c>
      <c r="H22" s="1114">
        <v>52</v>
      </c>
      <c r="I22" s="749">
        <f t="shared" si="1"/>
        <v>46129.200000000004</v>
      </c>
      <c r="J22" s="666">
        <f t="shared" si="4"/>
        <v>8364.43</v>
      </c>
    </row>
    <row r="23" spans="1:10" x14ac:dyDescent="0.25">
      <c r="B23" s="747">
        <f t="shared" si="2"/>
        <v>282</v>
      </c>
      <c r="C23" s="714"/>
      <c r="D23" s="815"/>
      <c r="E23" s="1186"/>
      <c r="F23" s="1112">
        <f t="shared" si="0"/>
        <v>0</v>
      </c>
      <c r="G23" s="1113"/>
      <c r="H23" s="1114"/>
      <c r="I23" s="749">
        <f t="shared" si="1"/>
        <v>0</v>
      </c>
      <c r="J23" s="666">
        <f t="shared" si="4"/>
        <v>8364.43</v>
      </c>
    </row>
    <row r="24" spans="1:10" x14ac:dyDescent="0.25">
      <c r="B24" s="747">
        <f t="shared" si="2"/>
        <v>282</v>
      </c>
      <c r="C24" s="714"/>
      <c r="D24" s="815"/>
      <c r="E24" s="1186"/>
      <c r="F24" s="1112">
        <f t="shared" si="0"/>
        <v>0</v>
      </c>
      <c r="G24" s="1113"/>
      <c r="H24" s="1114"/>
      <c r="I24" s="749">
        <f t="shared" si="1"/>
        <v>0</v>
      </c>
      <c r="J24" s="666">
        <f t="shared" si="4"/>
        <v>8364.43</v>
      </c>
    </row>
    <row r="25" spans="1:10" x14ac:dyDescent="0.25">
      <c r="B25" s="747">
        <f t="shared" si="2"/>
        <v>282</v>
      </c>
      <c r="C25" s="714"/>
      <c r="D25" s="815"/>
      <c r="E25" s="1186"/>
      <c r="F25" s="1112">
        <f t="shared" si="0"/>
        <v>0</v>
      </c>
      <c r="G25" s="1113"/>
      <c r="H25" s="1114"/>
      <c r="I25" s="749">
        <f t="shared" si="1"/>
        <v>0</v>
      </c>
      <c r="J25" s="666">
        <f t="shared" si="4"/>
        <v>8364.43</v>
      </c>
    </row>
    <row r="26" spans="1:10" x14ac:dyDescent="0.25">
      <c r="B26" s="747">
        <f t="shared" si="2"/>
        <v>282</v>
      </c>
      <c r="C26" s="714"/>
      <c r="D26" s="815"/>
      <c r="E26" s="1186"/>
      <c r="F26" s="1112">
        <f t="shared" si="0"/>
        <v>0</v>
      </c>
      <c r="G26" s="1113"/>
      <c r="H26" s="1114"/>
      <c r="I26" s="749">
        <f t="shared" si="1"/>
        <v>0</v>
      </c>
      <c r="J26" s="666">
        <f t="shared" si="4"/>
        <v>8364.43</v>
      </c>
    </row>
    <row r="27" spans="1:10" x14ac:dyDescent="0.25">
      <c r="B27" s="747">
        <f t="shared" si="2"/>
        <v>282</v>
      </c>
      <c r="C27" s="714"/>
      <c r="D27" s="815"/>
      <c r="E27" s="1186"/>
      <c r="F27" s="1112">
        <f t="shared" si="0"/>
        <v>0</v>
      </c>
      <c r="G27" s="1113"/>
      <c r="H27" s="1114"/>
      <c r="I27" s="749">
        <f t="shared" si="1"/>
        <v>0</v>
      </c>
      <c r="J27" s="666">
        <f t="shared" si="4"/>
        <v>8364.43</v>
      </c>
    </row>
    <row r="28" spans="1:10" x14ac:dyDescent="0.25">
      <c r="B28" s="747">
        <f t="shared" si="2"/>
        <v>282</v>
      </c>
      <c r="C28" s="714"/>
      <c r="D28" s="1112"/>
      <c r="E28" s="1186"/>
      <c r="F28" s="1112">
        <f t="shared" si="0"/>
        <v>0</v>
      </c>
      <c r="G28" s="1113"/>
      <c r="H28" s="1114"/>
      <c r="I28" s="749">
        <f t="shared" si="1"/>
        <v>0</v>
      </c>
      <c r="J28" s="666">
        <f t="shared" si="4"/>
        <v>8364.43</v>
      </c>
    </row>
    <row r="29" spans="1:10" x14ac:dyDescent="0.25">
      <c r="B29" s="747">
        <f t="shared" si="2"/>
        <v>282</v>
      </c>
      <c r="C29" s="714"/>
      <c r="D29" s="1112"/>
      <c r="E29" s="1186"/>
      <c r="F29" s="1112">
        <f t="shared" si="0"/>
        <v>0</v>
      </c>
      <c r="G29" s="1113"/>
      <c r="H29" s="1114"/>
      <c r="I29" s="749">
        <f t="shared" ref="I29:I36" si="5">H29*F29</f>
        <v>0</v>
      </c>
      <c r="J29" s="666">
        <f t="shared" ref="J29:J36" si="6">J28-F29</f>
        <v>8364.43</v>
      </c>
    </row>
    <row r="30" spans="1:10" x14ac:dyDescent="0.25">
      <c r="B30" s="747">
        <f t="shared" si="2"/>
        <v>282</v>
      </c>
      <c r="C30" s="714"/>
      <c r="D30" s="1112"/>
      <c r="E30" s="1186"/>
      <c r="F30" s="1112">
        <f t="shared" si="0"/>
        <v>0</v>
      </c>
      <c r="G30" s="1113"/>
      <c r="H30" s="1114"/>
      <c r="I30" s="749">
        <f t="shared" si="5"/>
        <v>0</v>
      </c>
      <c r="J30" s="666">
        <f t="shared" si="6"/>
        <v>8364.43</v>
      </c>
    </row>
    <row r="31" spans="1:10" x14ac:dyDescent="0.25">
      <c r="B31" s="747">
        <f t="shared" si="2"/>
        <v>282</v>
      </c>
      <c r="C31" s="714"/>
      <c r="D31" s="1112"/>
      <c r="E31" s="1186"/>
      <c r="F31" s="1112">
        <f t="shared" si="0"/>
        <v>0</v>
      </c>
      <c r="G31" s="1113"/>
      <c r="H31" s="1114"/>
      <c r="I31" s="749">
        <f t="shared" si="5"/>
        <v>0</v>
      </c>
      <c r="J31" s="666">
        <f t="shared" si="6"/>
        <v>8364.43</v>
      </c>
    </row>
    <row r="32" spans="1:10" x14ac:dyDescent="0.25">
      <c r="B32" s="747">
        <f t="shared" si="2"/>
        <v>282</v>
      </c>
      <c r="C32" s="714"/>
      <c r="D32" s="912"/>
      <c r="E32" s="933"/>
      <c r="F32" s="912">
        <f t="shared" si="0"/>
        <v>0</v>
      </c>
      <c r="G32" s="914"/>
      <c r="H32" s="663"/>
      <c r="I32" s="749">
        <f t="shared" si="5"/>
        <v>0</v>
      </c>
      <c r="J32" s="666">
        <f t="shared" si="6"/>
        <v>8364.43</v>
      </c>
    </row>
    <row r="33" spans="2:10" x14ac:dyDescent="0.25">
      <c r="B33" s="747">
        <f t="shared" si="2"/>
        <v>282</v>
      </c>
      <c r="C33" s="714"/>
      <c r="D33" s="633"/>
      <c r="E33" s="743"/>
      <c r="F33" s="633">
        <f t="shared" si="0"/>
        <v>0</v>
      </c>
      <c r="G33" s="631"/>
      <c r="H33" s="820"/>
      <c r="I33" s="749">
        <f t="shared" si="5"/>
        <v>0</v>
      </c>
      <c r="J33" s="666">
        <f t="shared" si="6"/>
        <v>8364.43</v>
      </c>
    </row>
    <row r="34" spans="2:10" x14ac:dyDescent="0.25">
      <c r="B34" s="747">
        <f t="shared" si="2"/>
        <v>282</v>
      </c>
      <c r="C34" s="714"/>
      <c r="D34" s="633"/>
      <c r="E34" s="743"/>
      <c r="F34" s="633">
        <f t="shared" si="0"/>
        <v>0</v>
      </c>
      <c r="G34" s="631"/>
      <c r="H34" s="820"/>
      <c r="I34" s="749">
        <f t="shared" si="5"/>
        <v>0</v>
      </c>
      <c r="J34" s="666">
        <f t="shared" si="6"/>
        <v>8364.43</v>
      </c>
    </row>
    <row r="35" spans="2:10" x14ac:dyDescent="0.25">
      <c r="B35" s="747">
        <f t="shared" si="2"/>
        <v>282</v>
      </c>
      <c r="C35" s="714"/>
      <c r="D35" s="633"/>
      <c r="E35" s="743"/>
      <c r="F35" s="633">
        <f t="shared" si="0"/>
        <v>0</v>
      </c>
      <c r="G35" s="631"/>
      <c r="H35" s="820"/>
      <c r="I35" s="749">
        <f t="shared" si="5"/>
        <v>0</v>
      </c>
      <c r="J35" s="666">
        <f t="shared" si="6"/>
        <v>8364.43</v>
      </c>
    </row>
    <row r="36" spans="2:10" x14ac:dyDescent="0.25">
      <c r="B36" s="747">
        <f t="shared" si="2"/>
        <v>282</v>
      </c>
      <c r="C36" s="714"/>
      <c r="D36" s="633"/>
      <c r="E36" s="743"/>
      <c r="F36" s="633">
        <f t="shared" si="0"/>
        <v>0</v>
      </c>
      <c r="G36" s="631"/>
      <c r="H36" s="820"/>
      <c r="I36" s="749">
        <f t="shared" si="5"/>
        <v>0</v>
      </c>
      <c r="J36" s="666">
        <f t="shared" si="6"/>
        <v>8364.43</v>
      </c>
    </row>
    <row r="37" spans="2:10" ht="15.75" thickBot="1" x14ac:dyDescent="0.3">
      <c r="B37" s="747">
        <f t="shared" si="2"/>
        <v>282</v>
      </c>
      <c r="C37" s="750"/>
      <c r="D37" s="852">
        <f t="shared" ref="D37" si="7">C37*B37</f>
        <v>0</v>
      </c>
      <c r="E37" s="853"/>
      <c r="F37" s="852">
        <f t="shared" si="0"/>
        <v>0</v>
      </c>
      <c r="G37" s="854"/>
      <c r="H37" s="823"/>
      <c r="I37" s="751">
        <f t="shared" si="1"/>
        <v>0</v>
      </c>
      <c r="J37" s="666">
        <f t="shared" si="4"/>
        <v>8364.43</v>
      </c>
    </row>
    <row r="38" spans="2:10" ht="16.5" thickTop="1" x14ac:dyDescent="0.25">
      <c r="B38" s="664"/>
      <c r="C38" s="714">
        <f>SUM(C9:C37)</f>
        <v>350</v>
      </c>
      <c r="D38" s="752">
        <f>SUM(D9:D37)</f>
        <v>10512.219999999998</v>
      </c>
      <c r="E38" s="753"/>
      <c r="F38" s="633">
        <f>SUM(F9:F37)</f>
        <v>10512.219999999998</v>
      </c>
      <c r="G38" s="754"/>
      <c r="H38" s="751"/>
      <c r="I38" s="755">
        <f>SUM(I9:I37)</f>
        <v>544255</v>
      </c>
      <c r="J38" s="664"/>
    </row>
    <row r="39" spans="2:10" ht="15.75" thickBot="1" x14ac:dyDescent="0.3">
      <c r="B39" s="664"/>
      <c r="C39" s="714"/>
      <c r="D39" s="756"/>
      <c r="E39" s="753"/>
      <c r="F39" s="756"/>
      <c r="G39" s="754"/>
      <c r="H39" s="751"/>
      <c r="I39" s="664"/>
      <c r="J39" s="664"/>
    </row>
    <row r="40" spans="2:10" x14ac:dyDescent="0.25">
      <c r="B40" s="664"/>
      <c r="C40" s="757" t="s">
        <v>4</v>
      </c>
      <c r="D40" s="758">
        <f>F4+F5+F6+F7-C38</f>
        <v>282</v>
      </c>
      <c r="E40" s="759"/>
      <c r="F40" s="756"/>
      <c r="G40" s="754"/>
      <c r="H40" s="751"/>
      <c r="I40" s="664"/>
      <c r="J40" s="664"/>
    </row>
    <row r="41" spans="2:10" x14ac:dyDescent="0.25">
      <c r="B41" s="664"/>
      <c r="C41" s="1445" t="s">
        <v>19</v>
      </c>
      <c r="D41" s="1446"/>
      <c r="E41" s="760">
        <f>E4+E5+E6+E7-F38</f>
        <v>8364.4300000000039</v>
      </c>
      <c r="F41" s="756"/>
      <c r="G41" s="756"/>
      <c r="H41" s="751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0"/>
      <c r="B1" s="1390"/>
      <c r="C1" s="1390"/>
      <c r="D1" s="1390"/>
      <c r="E1" s="1390"/>
      <c r="F1" s="1390"/>
      <c r="G1" s="1390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449"/>
      <c r="B5" s="1451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450"/>
      <c r="B6" s="1452"/>
      <c r="C6" s="219"/>
      <c r="D6" s="115"/>
      <c r="E6" s="475"/>
      <c r="F6" s="233"/>
      <c r="I6" s="1453" t="s">
        <v>3</v>
      </c>
      <c r="J6" s="144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54"/>
      <c r="J7" s="1448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428" t="s">
        <v>11</v>
      </c>
      <c r="D100" s="1429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383"/>
      <c r="B5" s="1383"/>
      <c r="C5" s="379"/>
      <c r="D5" s="647"/>
      <c r="E5" s="826"/>
      <c r="F5" s="763"/>
      <c r="G5" s="5"/>
    </row>
    <row r="6" spans="1:9" x14ac:dyDescent="0.25">
      <c r="A6" s="1383"/>
      <c r="B6" s="1383"/>
      <c r="C6" s="223"/>
      <c r="D6" s="647"/>
      <c r="E6" s="742"/>
      <c r="F6" s="76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88" t="s">
        <v>11</v>
      </c>
      <c r="D83" s="1389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4"/>
  <sheetViews>
    <sheetView topLeftCell="J1" workbookViewId="0">
      <pane ySplit="7" topLeftCell="A8" activePane="bottomLeft" state="frozen"/>
      <selection pane="bottomLeft" activeCell="N34" sqref="N3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80" t="s">
        <v>391</v>
      </c>
      <c r="B1" s="1380"/>
      <c r="C1" s="1380"/>
      <c r="D1" s="1380"/>
      <c r="E1" s="1380"/>
      <c r="F1" s="1380"/>
      <c r="G1" s="1380"/>
      <c r="H1" s="262">
        <v>1</v>
      </c>
      <c r="I1" s="382"/>
      <c r="L1" s="1390" t="s">
        <v>274</v>
      </c>
      <c r="M1" s="1390"/>
      <c r="N1" s="1390"/>
      <c r="O1" s="1390"/>
      <c r="P1" s="1390"/>
      <c r="Q1" s="1390"/>
      <c r="R1" s="1390"/>
      <c r="S1" s="97">
        <v>1</v>
      </c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21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546"/>
      <c r="C4" s="237"/>
      <c r="D4" s="131"/>
      <c r="E4" s="371"/>
      <c r="F4" s="73"/>
      <c r="G4" s="1202"/>
      <c r="H4" s="145"/>
      <c r="I4" s="387"/>
      <c r="L4" s="75"/>
      <c r="M4" s="141"/>
      <c r="N4" s="219"/>
      <c r="O4" s="115"/>
      <c r="P4" s="232"/>
      <c r="Q4" s="233"/>
    </row>
    <row r="5" spans="1:21" ht="15" customHeight="1" thickBot="1" x14ac:dyDescent="0.3">
      <c r="A5" s="1400" t="s">
        <v>94</v>
      </c>
      <c r="B5" s="1413" t="s">
        <v>93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32.590000000000003</v>
      </c>
      <c r="H5" s="135">
        <f>E5-G5+E4+E6+E7</f>
        <v>0</v>
      </c>
      <c r="I5" s="384"/>
      <c r="L5" s="1424" t="s">
        <v>94</v>
      </c>
      <c r="M5" s="1455" t="s">
        <v>311</v>
      </c>
      <c r="N5" s="219">
        <v>79</v>
      </c>
      <c r="O5" s="115">
        <v>44966</v>
      </c>
      <c r="P5" s="141">
        <v>242.77</v>
      </c>
      <c r="Q5" s="234">
        <v>8</v>
      </c>
      <c r="R5" s="144"/>
      <c r="S5" s="58">
        <f>P4+P5+P6-R5</f>
        <v>242.77</v>
      </c>
    </row>
    <row r="6" spans="1:21" ht="17.25" thickTop="1" thickBot="1" x14ac:dyDescent="0.3">
      <c r="A6" s="1400"/>
      <c r="B6" s="1413"/>
      <c r="C6" s="381"/>
      <c r="D6" s="131"/>
      <c r="E6" s="75"/>
      <c r="F6" s="73"/>
      <c r="G6" s="73"/>
      <c r="H6" s="75"/>
      <c r="I6" s="237"/>
      <c r="L6" s="1425"/>
      <c r="M6" s="1456"/>
      <c r="N6" s="219"/>
      <c r="O6" s="115"/>
      <c r="P6" s="141"/>
      <c r="Q6" s="234"/>
      <c r="T6" s="1453" t="s">
        <v>3</v>
      </c>
      <c r="U6" s="1447" t="s">
        <v>4</v>
      </c>
    </row>
    <row r="7" spans="1:21" ht="16.5" thickTop="1" thickBot="1" x14ac:dyDescent="0.3">
      <c r="A7" s="220"/>
      <c r="B7" s="454"/>
      <c r="C7" s="381"/>
      <c r="D7" s="131"/>
      <c r="E7" s="75"/>
      <c r="F7" s="73"/>
      <c r="G7" s="73"/>
      <c r="H7" s="75"/>
      <c r="I7" s="237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454"/>
      <c r="U7" s="1448"/>
    </row>
    <row r="8" spans="1:21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  <c r="L8" s="80" t="s">
        <v>32</v>
      </c>
      <c r="M8" s="83"/>
      <c r="N8" s="15">
        <v>8</v>
      </c>
      <c r="O8" s="171">
        <v>242.77</v>
      </c>
      <c r="P8" s="239">
        <v>44970</v>
      </c>
      <c r="Q8" s="69">
        <f t="shared" ref="Q8:Q13" si="0">O8</f>
        <v>242.77</v>
      </c>
      <c r="R8" s="70" t="s">
        <v>454</v>
      </c>
      <c r="S8" s="125">
        <v>81</v>
      </c>
      <c r="T8" s="204">
        <f>P5+P4-Q8+P6</f>
        <v>0</v>
      </c>
      <c r="U8" s="124">
        <f>Q4+Q5+Q6-N8</f>
        <v>0</v>
      </c>
    </row>
    <row r="9" spans="1:21" ht="15.75" thickTop="1" x14ac:dyDescent="0.25">
      <c r="A9" s="61"/>
      <c r="B9" s="178">
        <f>F4+F5+F6-C9+F7</f>
        <v>0</v>
      </c>
      <c r="C9" s="15">
        <v>1</v>
      </c>
      <c r="D9" s="171">
        <v>32.590000000000003</v>
      </c>
      <c r="E9" s="239">
        <v>44979</v>
      </c>
      <c r="F9" s="69">
        <f t="shared" ref="F9" si="1">D9</f>
        <v>32.590000000000003</v>
      </c>
      <c r="G9" s="70" t="s">
        <v>633</v>
      </c>
      <c r="H9" s="646">
        <v>76</v>
      </c>
      <c r="I9" s="237">
        <f>E4+E5+E6-F9+E7</f>
        <v>0</v>
      </c>
      <c r="J9" s="60">
        <f>H9*F9</f>
        <v>2476.84</v>
      </c>
      <c r="L9" s="190"/>
      <c r="M9" s="83"/>
      <c r="N9" s="15"/>
      <c r="O9" s="171">
        <v>0</v>
      </c>
      <c r="P9" s="239"/>
      <c r="Q9" s="69">
        <f t="shared" si="0"/>
        <v>0</v>
      </c>
      <c r="R9" s="70"/>
      <c r="S9" s="646"/>
      <c r="T9" s="204">
        <f>T8-Q9</f>
        <v>0</v>
      </c>
      <c r="U9" s="124">
        <f>U8-N9</f>
        <v>0</v>
      </c>
    </row>
    <row r="10" spans="1:21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2">D10</f>
        <v>0</v>
      </c>
      <c r="G10" s="70"/>
      <c r="H10" s="71"/>
      <c r="I10" s="237">
        <f>I9-F10</f>
        <v>0</v>
      </c>
      <c r="J10" s="60">
        <f t="shared" ref="J10:J28" si="3">H10*F10</f>
        <v>0</v>
      </c>
      <c r="L10" s="178"/>
      <c r="M10" s="83"/>
      <c r="N10" s="15"/>
      <c r="O10" s="171">
        <v>0</v>
      </c>
      <c r="P10" s="239"/>
      <c r="Q10" s="69">
        <f t="shared" si="0"/>
        <v>0</v>
      </c>
      <c r="R10" s="1158"/>
      <c r="S10" s="1239"/>
      <c r="T10" s="609">
        <f t="shared" ref="T10:T28" si="4">T9-Q10</f>
        <v>0</v>
      </c>
      <c r="U10" s="1240">
        <f t="shared" ref="U10:U28" si="5">U9-N10</f>
        <v>0</v>
      </c>
    </row>
    <row r="11" spans="1:21" x14ac:dyDescent="0.25">
      <c r="A11" s="75"/>
      <c r="B11" s="178">
        <f t="shared" ref="B11:B29" si="6">B10-C11</f>
        <v>0</v>
      </c>
      <c r="C11" s="15"/>
      <c r="D11" s="69">
        <v>0</v>
      </c>
      <c r="E11" s="246"/>
      <c r="F11" s="1236">
        <f t="shared" si="2"/>
        <v>0</v>
      </c>
      <c r="G11" s="1158"/>
      <c r="H11" s="1159"/>
      <c r="I11" s="1237">
        <f t="shared" ref="I11:I28" si="7">I10-F11</f>
        <v>0</v>
      </c>
      <c r="J11" s="1238">
        <f t="shared" si="3"/>
        <v>0</v>
      </c>
      <c r="L11" s="82" t="s">
        <v>33</v>
      </c>
      <c r="M11" s="83"/>
      <c r="N11" s="15"/>
      <c r="O11" s="171">
        <f t="shared" ref="O11:O28" si="8">N11*M11</f>
        <v>0</v>
      </c>
      <c r="P11" s="239"/>
      <c r="Q11" s="69">
        <f t="shared" si="0"/>
        <v>0</v>
      </c>
      <c r="R11" s="1158"/>
      <c r="S11" s="1239"/>
      <c r="T11" s="609">
        <f t="shared" si="4"/>
        <v>0</v>
      </c>
      <c r="U11" s="1240">
        <f t="shared" si="5"/>
        <v>0</v>
      </c>
    </row>
    <row r="12" spans="1:21" x14ac:dyDescent="0.25">
      <c r="A12" s="61"/>
      <c r="B12" s="178">
        <f t="shared" si="6"/>
        <v>0</v>
      </c>
      <c r="C12" s="15"/>
      <c r="D12" s="69">
        <v>0</v>
      </c>
      <c r="E12" s="246"/>
      <c r="F12" s="1236">
        <f t="shared" si="2"/>
        <v>0</v>
      </c>
      <c r="G12" s="1158"/>
      <c r="H12" s="1159"/>
      <c r="I12" s="1237">
        <f t="shared" si="7"/>
        <v>0</v>
      </c>
      <c r="J12" s="1238">
        <f t="shared" si="3"/>
        <v>0</v>
      </c>
      <c r="L12" s="73"/>
      <c r="M12" s="83"/>
      <c r="N12" s="15"/>
      <c r="O12" s="171">
        <f t="shared" si="8"/>
        <v>0</v>
      </c>
      <c r="P12" s="239"/>
      <c r="Q12" s="69">
        <f t="shared" si="0"/>
        <v>0</v>
      </c>
      <c r="R12" s="1158"/>
      <c r="S12" s="1239"/>
      <c r="T12" s="609">
        <f t="shared" si="4"/>
        <v>0</v>
      </c>
      <c r="U12" s="1240">
        <f t="shared" si="5"/>
        <v>0</v>
      </c>
    </row>
    <row r="13" spans="1:21" x14ac:dyDescent="0.25">
      <c r="A13" s="75"/>
      <c r="B13" s="178">
        <f t="shared" si="6"/>
        <v>0</v>
      </c>
      <c r="C13" s="15"/>
      <c r="D13" s="69">
        <v>0</v>
      </c>
      <c r="E13" s="246"/>
      <c r="F13" s="1236">
        <f t="shared" si="2"/>
        <v>0</v>
      </c>
      <c r="G13" s="1158"/>
      <c r="H13" s="1159"/>
      <c r="I13" s="1237">
        <f t="shared" si="7"/>
        <v>0</v>
      </c>
      <c r="J13" s="1238">
        <f t="shared" si="3"/>
        <v>0</v>
      </c>
      <c r="L13" s="73"/>
      <c r="M13" s="83"/>
      <c r="N13" s="15"/>
      <c r="O13" s="171">
        <f t="shared" si="8"/>
        <v>0</v>
      </c>
      <c r="P13" s="238"/>
      <c r="Q13" s="69">
        <f t="shared" si="0"/>
        <v>0</v>
      </c>
      <c r="R13" s="1158"/>
      <c r="S13" s="1239"/>
      <c r="T13" s="609">
        <f t="shared" si="4"/>
        <v>0</v>
      </c>
      <c r="U13" s="1240">
        <f t="shared" si="5"/>
        <v>0</v>
      </c>
    </row>
    <row r="14" spans="1:21" x14ac:dyDescent="0.25">
      <c r="A14" s="75"/>
      <c r="B14" s="178">
        <f t="shared" si="6"/>
        <v>0</v>
      </c>
      <c r="C14" s="15"/>
      <c r="D14" s="69">
        <v>0</v>
      </c>
      <c r="E14" s="246"/>
      <c r="F14" s="1236">
        <f t="shared" si="2"/>
        <v>0</v>
      </c>
      <c r="G14" s="1158"/>
      <c r="H14" s="1159"/>
      <c r="I14" s="1237">
        <f t="shared" si="7"/>
        <v>0</v>
      </c>
      <c r="J14" s="1238">
        <f t="shared" si="3"/>
        <v>0</v>
      </c>
      <c r="M14" s="83"/>
      <c r="N14" s="15"/>
      <c r="O14" s="171">
        <f t="shared" si="8"/>
        <v>0</v>
      </c>
      <c r="P14" s="238"/>
      <c r="Q14" s="69">
        <f>O14</f>
        <v>0</v>
      </c>
      <c r="R14" s="70"/>
      <c r="S14" s="125"/>
      <c r="T14" s="204">
        <f t="shared" si="4"/>
        <v>0</v>
      </c>
      <c r="U14" s="124">
        <f t="shared" si="5"/>
        <v>0</v>
      </c>
    </row>
    <row r="15" spans="1:21" x14ac:dyDescent="0.25">
      <c r="A15" s="75"/>
      <c r="B15" s="178">
        <f t="shared" si="6"/>
        <v>0</v>
      </c>
      <c r="C15" s="15"/>
      <c r="D15" s="69">
        <v>0</v>
      </c>
      <c r="E15" s="246"/>
      <c r="F15" s="92">
        <f t="shared" si="2"/>
        <v>0</v>
      </c>
      <c r="G15" s="70"/>
      <c r="H15" s="71"/>
      <c r="I15" s="237">
        <f t="shared" si="7"/>
        <v>0</v>
      </c>
      <c r="J15" s="60">
        <f t="shared" si="3"/>
        <v>0</v>
      </c>
      <c r="M15" s="83"/>
      <c r="N15" s="15"/>
      <c r="O15" s="171">
        <f t="shared" si="8"/>
        <v>0</v>
      </c>
      <c r="P15" s="238"/>
      <c r="Q15" s="69">
        <f>O15</f>
        <v>0</v>
      </c>
      <c r="R15" s="70"/>
      <c r="S15" s="125"/>
      <c r="T15" s="204">
        <f t="shared" si="4"/>
        <v>0</v>
      </c>
      <c r="U15" s="124">
        <f t="shared" si="5"/>
        <v>0</v>
      </c>
    </row>
    <row r="16" spans="1:21" x14ac:dyDescent="0.25">
      <c r="A16" s="75"/>
      <c r="B16" s="178">
        <f t="shared" si="6"/>
        <v>0</v>
      </c>
      <c r="C16" s="15"/>
      <c r="D16" s="69">
        <v>0</v>
      </c>
      <c r="E16" s="246"/>
      <c r="F16" s="92">
        <f t="shared" si="2"/>
        <v>0</v>
      </c>
      <c r="G16" s="70"/>
      <c r="H16" s="71"/>
      <c r="I16" s="237">
        <f t="shared" si="7"/>
        <v>0</v>
      </c>
      <c r="J16" s="60">
        <f t="shared" si="3"/>
        <v>0</v>
      </c>
      <c r="L16" s="81"/>
      <c r="M16" s="83"/>
      <c r="N16" s="15"/>
      <c r="O16" s="171">
        <f t="shared" si="8"/>
        <v>0</v>
      </c>
      <c r="P16" s="246"/>
      <c r="Q16" s="69">
        <f>O16</f>
        <v>0</v>
      </c>
      <c r="R16" s="70"/>
      <c r="S16" s="125"/>
      <c r="T16" s="204">
        <f t="shared" si="4"/>
        <v>0</v>
      </c>
      <c r="U16" s="124">
        <f t="shared" si="5"/>
        <v>0</v>
      </c>
    </row>
    <row r="17" spans="1:21" x14ac:dyDescent="0.25">
      <c r="A17" s="75"/>
      <c r="B17" s="178">
        <f t="shared" si="6"/>
        <v>0</v>
      </c>
      <c r="C17" s="15"/>
      <c r="D17" s="69">
        <v>0</v>
      </c>
      <c r="E17" s="246"/>
      <c r="F17" s="92">
        <f t="shared" si="2"/>
        <v>0</v>
      </c>
      <c r="G17" s="70"/>
      <c r="H17" s="71"/>
      <c r="I17" s="237">
        <f t="shared" si="7"/>
        <v>0</v>
      </c>
      <c r="J17" s="60">
        <f t="shared" si="3"/>
        <v>0</v>
      </c>
      <c r="L17" s="83"/>
      <c r="M17" s="83"/>
      <c r="N17" s="15"/>
      <c r="O17" s="171">
        <f t="shared" si="8"/>
        <v>0</v>
      </c>
      <c r="P17" s="246"/>
      <c r="Q17" s="69">
        <f t="shared" ref="Q17:Q29" si="9">O17</f>
        <v>0</v>
      </c>
      <c r="R17" s="394"/>
      <c r="S17" s="125"/>
      <c r="T17" s="204">
        <f t="shared" si="4"/>
        <v>0</v>
      </c>
      <c r="U17" s="124">
        <f t="shared" si="5"/>
        <v>0</v>
      </c>
    </row>
    <row r="18" spans="1:21" x14ac:dyDescent="0.25">
      <c r="A18" s="75"/>
      <c r="B18" s="178">
        <f t="shared" si="6"/>
        <v>0</v>
      </c>
      <c r="C18" s="15"/>
      <c r="D18" s="69">
        <v>0</v>
      </c>
      <c r="E18" s="246"/>
      <c r="F18" s="92">
        <f t="shared" si="2"/>
        <v>0</v>
      </c>
      <c r="G18" s="70"/>
      <c r="H18" s="71"/>
      <c r="I18" s="237">
        <f t="shared" si="7"/>
        <v>0</v>
      </c>
      <c r="J18" s="60">
        <f t="shared" si="3"/>
        <v>0</v>
      </c>
      <c r="L18" s="2"/>
      <c r="M18" s="83"/>
      <c r="N18" s="15"/>
      <c r="O18" s="171">
        <f t="shared" si="8"/>
        <v>0</v>
      </c>
      <c r="P18" s="246"/>
      <c r="Q18" s="69">
        <f t="shared" si="9"/>
        <v>0</v>
      </c>
      <c r="R18" s="70"/>
      <c r="S18" s="125"/>
      <c r="T18" s="204">
        <f t="shared" si="4"/>
        <v>0</v>
      </c>
      <c r="U18" s="124">
        <f t="shared" si="5"/>
        <v>0</v>
      </c>
    </row>
    <row r="19" spans="1:21" x14ac:dyDescent="0.25">
      <c r="A19" s="75"/>
      <c r="B19" s="178">
        <f t="shared" si="6"/>
        <v>0</v>
      </c>
      <c r="C19" s="15"/>
      <c r="D19" s="69">
        <v>0</v>
      </c>
      <c r="E19" s="246"/>
      <c r="F19" s="92">
        <f t="shared" si="2"/>
        <v>0</v>
      </c>
      <c r="G19" s="70"/>
      <c r="H19" s="71"/>
      <c r="I19" s="237">
        <f t="shared" si="7"/>
        <v>0</v>
      </c>
      <c r="J19" s="60">
        <f t="shared" si="3"/>
        <v>0</v>
      </c>
      <c r="L19" s="2"/>
      <c r="M19" s="83"/>
      <c r="N19" s="15"/>
      <c r="O19" s="171">
        <f t="shared" si="8"/>
        <v>0</v>
      </c>
      <c r="P19" s="246"/>
      <c r="Q19" s="69">
        <f t="shared" si="9"/>
        <v>0</v>
      </c>
      <c r="R19" s="70"/>
      <c r="S19" s="125"/>
      <c r="T19" s="204">
        <f t="shared" si="4"/>
        <v>0</v>
      </c>
      <c r="U19" s="124">
        <f t="shared" si="5"/>
        <v>0</v>
      </c>
    </row>
    <row r="20" spans="1:21" x14ac:dyDescent="0.25">
      <c r="A20" s="75"/>
      <c r="B20" s="178">
        <f t="shared" si="6"/>
        <v>0</v>
      </c>
      <c r="C20" s="15"/>
      <c r="D20" s="69">
        <v>0</v>
      </c>
      <c r="E20" s="246"/>
      <c r="F20" s="92">
        <f t="shared" si="2"/>
        <v>0</v>
      </c>
      <c r="G20" s="70"/>
      <c r="H20" s="71"/>
      <c r="I20" s="237">
        <f t="shared" si="7"/>
        <v>0</v>
      </c>
      <c r="J20" s="60">
        <f t="shared" si="3"/>
        <v>0</v>
      </c>
      <c r="L20" s="2"/>
      <c r="M20" s="83"/>
      <c r="N20" s="15"/>
      <c r="O20" s="171">
        <f t="shared" si="8"/>
        <v>0</v>
      </c>
      <c r="P20" s="238"/>
      <c r="Q20" s="69">
        <f t="shared" si="9"/>
        <v>0</v>
      </c>
      <c r="R20" s="70"/>
      <c r="S20" s="125"/>
      <c r="T20" s="204">
        <f t="shared" si="4"/>
        <v>0</v>
      </c>
      <c r="U20" s="124">
        <f t="shared" si="5"/>
        <v>0</v>
      </c>
    </row>
    <row r="21" spans="1:21" x14ac:dyDescent="0.25">
      <c r="A21" s="75"/>
      <c r="B21" s="178">
        <f t="shared" si="6"/>
        <v>0</v>
      </c>
      <c r="C21" s="15"/>
      <c r="D21" s="69">
        <v>0</v>
      </c>
      <c r="E21" s="246"/>
      <c r="F21" s="92">
        <f t="shared" si="2"/>
        <v>0</v>
      </c>
      <c r="G21" s="70"/>
      <c r="H21" s="71"/>
      <c r="I21" s="237">
        <f t="shared" si="7"/>
        <v>0</v>
      </c>
      <c r="J21" s="60">
        <f t="shared" si="3"/>
        <v>0</v>
      </c>
      <c r="L21" s="2"/>
      <c r="M21" s="83"/>
      <c r="N21" s="15"/>
      <c r="O21" s="171">
        <f t="shared" si="8"/>
        <v>0</v>
      </c>
      <c r="P21" s="238"/>
      <c r="Q21" s="69">
        <f t="shared" si="9"/>
        <v>0</v>
      </c>
      <c r="R21" s="70"/>
      <c r="S21" s="125"/>
      <c r="T21" s="204">
        <f t="shared" si="4"/>
        <v>0</v>
      </c>
      <c r="U21" s="124">
        <f t="shared" si="5"/>
        <v>0</v>
      </c>
    </row>
    <row r="22" spans="1:21" x14ac:dyDescent="0.25">
      <c r="A22" s="75"/>
      <c r="B22" s="178">
        <f t="shared" si="6"/>
        <v>0</v>
      </c>
      <c r="C22" s="15"/>
      <c r="D22" s="69">
        <v>0</v>
      </c>
      <c r="E22" s="246"/>
      <c r="F22" s="92">
        <f t="shared" si="2"/>
        <v>0</v>
      </c>
      <c r="G22" s="70"/>
      <c r="H22" s="71"/>
      <c r="I22" s="237">
        <f t="shared" si="7"/>
        <v>0</v>
      </c>
      <c r="J22" s="60">
        <f t="shared" si="3"/>
        <v>0</v>
      </c>
      <c r="L22" s="2"/>
      <c r="M22" s="83"/>
      <c r="N22" s="15"/>
      <c r="O22" s="171">
        <f t="shared" si="8"/>
        <v>0</v>
      </c>
      <c r="P22" s="238"/>
      <c r="Q22" s="69">
        <f t="shared" si="9"/>
        <v>0</v>
      </c>
      <c r="R22" s="70"/>
      <c r="S22" s="125"/>
      <c r="T22" s="204">
        <f t="shared" si="4"/>
        <v>0</v>
      </c>
      <c r="U22" s="124">
        <f t="shared" si="5"/>
        <v>0</v>
      </c>
    </row>
    <row r="23" spans="1:21" x14ac:dyDescent="0.25">
      <c r="A23" s="19"/>
      <c r="B23" s="178">
        <f t="shared" si="6"/>
        <v>0</v>
      </c>
      <c r="C23" s="73"/>
      <c r="D23" s="69">
        <v>0</v>
      </c>
      <c r="E23" s="131"/>
      <c r="F23" s="92">
        <f t="shared" si="2"/>
        <v>0</v>
      </c>
      <c r="G23" s="70"/>
      <c r="H23" s="71"/>
      <c r="I23" s="237">
        <f t="shared" si="7"/>
        <v>0</v>
      </c>
      <c r="J23" s="60">
        <f t="shared" si="3"/>
        <v>0</v>
      </c>
      <c r="L23" s="2"/>
      <c r="M23" s="83"/>
      <c r="N23" s="15"/>
      <c r="O23" s="171">
        <f t="shared" si="8"/>
        <v>0</v>
      </c>
      <c r="P23" s="238"/>
      <c r="Q23" s="69">
        <f t="shared" si="9"/>
        <v>0</v>
      </c>
      <c r="R23" s="70"/>
      <c r="S23" s="125"/>
      <c r="T23" s="204">
        <f t="shared" si="4"/>
        <v>0</v>
      </c>
      <c r="U23" s="124">
        <f t="shared" si="5"/>
        <v>0</v>
      </c>
    </row>
    <row r="24" spans="1:21" x14ac:dyDescent="0.25">
      <c r="A24" s="19"/>
      <c r="B24" s="178">
        <f t="shared" si="6"/>
        <v>0</v>
      </c>
      <c r="C24" s="73"/>
      <c r="D24" s="69">
        <v>0</v>
      </c>
      <c r="E24" s="539"/>
      <c r="F24" s="92">
        <f t="shared" si="2"/>
        <v>0</v>
      </c>
      <c r="G24" s="70"/>
      <c r="H24" s="71"/>
      <c r="I24" s="237">
        <f t="shared" si="7"/>
        <v>0</v>
      </c>
      <c r="J24" s="60">
        <f t="shared" si="3"/>
        <v>0</v>
      </c>
      <c r="L24" s="2"/>
      <c r="M24" s="83"/>
      <c r="N24" s="15"/>
      <c r="O24" s="171">
        <f t="shared" si="8"/>
        <v>0</v>
      </c>
      <c r="P24" s="246"/>
      <c r="Q24" s="69">
        <f t="shared" si="9"/>
        <v>0</v>
      </c>
      <c r="R24" s="70"/>
      <c r="S24" s="125"/>
      <c r="T24" s="204">
        <f t="shared" si="4"/>
        <v>0</v>
      </c>
      <c r="U24" s="124">
        <f t="shared" si="5"/>
        <v>0</v>
      </c>
    </row>
    <row r="25" spans="1:21" x14ac:dyDescent="0.25">
      <c r="A25" s="19"/>
      <c r="B25" s="178">
        <f t="shared" si="6"/>
        <v>0</v>
      </c>
      <c r="C25" s="73"/>
      <c r="D25" s="69">
        <v>0</v>
      </c>
      <c r="E25" s="539"/>
      <c r="F25" s="92">
        <f t="shared" si="2"/>
        <v>0</v>
      </c>
      <c r="G25" s="537"/>
      <c r="H25" s="538"/>
      <c r="I25" s="237">
        <f t="shared" si="7"/>
        <v>0</v>
      </c>
      <c r="J25" s="60">
        <f t="shared" si="3"/>
        <v>0</v>
      </c>
      <c r="L25" s="2"/>
      <c r="M25" s="83"/>
      <c r="N25" s="15"/>
      <c r="O25" s="171">
        <f t="shared" si="8"/>
        <v>0</v>
      </c>
      <c r="P25" s="246"/>
      <c r="Q25" s="69">
        <f t="shared" si="9"/>
        <v>0</v>
      </c>
      <c r="R25" s="70"/>
      <c r="S25" s="125"/>
      <c r="T25" s="204">
        <f t="shared" si="4"/>
        <v>0</v>
      </c>
      <c r="U25" s="124">
        <f t="shared" si="5"/>
        <v>0</v>
      </c>
    </row>
    <row r="26" spans="1:21" x14ac:dyDescent="0.25">
      <c r="A26" s="19"/>
      <c r="B26" s="178">
        <f t="shared" si="6"/>
        <v>0</v>
      </c>
      <c r="C26" s="15"/>
      <c r="D26" s="69">
        <v>0</v>
      </c>
      <c r="E26" s="539"/>
      <c r="F26" s="92">
        <f t="shared" si="2"/>
        <v>0</v>
      </c>
      <c r="G26" s="537"/>
      <c r="H26" s="538"/>
      <c r="I26" s="237">
        <f t="shared" si="7"/>
        <v>0</v>
      </c>
      <c r="J26" s="60">
        <f t="shared" si="3"/>
        <v>0</v>
      </c>
      <c r="L26" s="2"/>
      <c r="M26" s="83"/>
      <c r="N26" s="15"/>
      <c r="O26" s="171">
        <f t="shared" si="8"/>
        <v>0</v>
      </c>
      <c r="P26" s="239"/>
      <c r="Q26" s="69">
        <f t="shared" si="9"/>
        <v>0</v>
      </c>
      <c r="R26" s="70"/>
      <c r="S26" s="71"/>
      <c r="T26" s="204">
        <f t="shared" si="4"/>
        <v>0</v>
      </c>
      <c r="U26" s="124">
        <f t="shared" si="5"/>
        <v>0</v>
      </c>
    </row>
    <row r="27" spans="1:21" x14ac:dyDescent="0.25">
      <c r="A27" s="19"/>
      <c r="B27" s="178">
        <f t="shared" si="6"/>
        <v>0</v>
      </c>
      <c r="C27" s="15"/>
      <c r="D27" s="69">
        <v>0</v>
      </c>
      <c r="E27" s="539"/>
      <c r="F27" s="92">
        <f t="shared" si="2"/>
        <v>0</v>
      </c>
      <c r="G27" s="537"/>
      <c r="H27" s="538"/>
      <c r="I27" s="237">
        <f t="shared" si="7"/>
        <v>0</v>
      </c>
      <c r="J27" s="60">
        <f t="shared" si="3"/>
        <v>0</v>
      </c>
      <c r="L27" s="2"/>
      <c r="M27" s="83"/>
      <c r="N27" s="15"/>
      <c r="O27" s="171">
        <f t="shared" si="8"/>
        <v>0</v>
      </c>
      <c r="P27" s="239"/>
      <c r="Q27" s="69">
        <f t="shared" si="9"/>
        <v>0</v>
      </c>
      <c r="R27" s="70"/>
      <c r="S27" s="71"/>
      <c r="T27" s="204">
        <f t="shared" si="4"/>
        <v>0</v>
      </c>
      <c r="U27" s="124">
        <f t="shared" si="5"/>
        <v>0</v>
      </c>
    </row>
    <row r="28" spans="1:21" x14ac:dyDescent="0.25">
      <c r="B28" s="178">
        <f t="shared" si="6"/>
        <v>0</v>
      </c>
      <c r="C28" s="15"/>
      <c r="D28" s="69">
        <v>0</v>
      </c>
      <c r="E28" s="131"/>
      <c r="F28" s="92">
        <f t="shared" si="2"/>
        <v>0</v>
      </c>
      <c r="G28" s="70"/>
      <c r="H28" s="71"/>
      <c r="I28" s="237">
        <f t="shared" si="7"/>
        <v>0</v>
      </c>
      <c r="J28" s="60">
        <f t="shared" si="3"/>
        <v>0</v>
      </c>
      <c r="L28" s="2"/>
      <c r="M28" s="83"/>
      <c r="N28" s="15"/>
      <c r="O28" s="171">
        <f t="shared" si="8"/>
        <v>0</v>
      </c>
      <c r="P28" s="239"/>
      <c r="Q28" s="69">
        <f t="shared" si="9"/>
        <v>0</v>
      </c>
      <c r="R28" s="70"/>
      <c r="S28" s="71"/>
      <c r="T28" s="204">
        <f t="shared" si="4"/>
        <v>0</v>
      </c>
      <c r="U28" s="124">
        <f t="shared" si="5"/>
        <v>0</v>
      </c>
    </row>
    <row r="29" spans="1:21" ht="15.75" thickBot="1" x14ac:dyDescent="0.3">
      <c r="A29" s="118"/>
      <c r="B29" s="178">
        <f t="shared" si="6"/>
        <v>0</v>
      </c>
      <c r="C29" s="37"/>
      <c r="D29" s="69">
        <v>0</v>
      </c>
      <c r="E29" s="240"/>
      <c r="F29" s="92">
        <f t="shared" si="2"/>
        <v>0</v>
      </c>
      <c r="G29" s="136"/>
      <c r="H29" s="194"/>
      <c r="I29" s="149"/>
      <c r="J29" s="60">
        <f>SUM(J9:J28)</f>
        <v>2476.84</v>
      </c>
      <c r="L29" s="4"/>
      <c r="M29" s="83"/>
      <c r="N29" s="37"/>
      <c r="O29" s="181"/>
      <c r="P29" s="154"/>
      <c r="Q29" s="147">
        <f t="shared" si="9"/>
        <v>0</v>
      </c>
      <c r="R29" s="136"/>
      <c r="S29" s="71"/>
      <c r="U29" s="73"/>
    </row>
    <row r="30" spans="1:21" ht="16.5" thickTop="1" thickBot="1" x14ac:dyDescent="0.3">
      <c r="A30" s="47">
        <f>SUM(A29:A29)</f>
        <v>0</v>
      </c>
      <c r="C30" s="73"/>
      <c r="D30" s="103">
        <f>SUM(D9:D29)</f>
        <v>32.590000000000003</v>
      </c>
      <c r="E30" s="131"/>
      <c r="F30" s="103">
        <f>SUM(F9:F29)</f>
        <v>32.590000000000003</v>
      </c>
      <c r="G30" s="149"/>
      <c r="H30" s="149"/>
      <c r="N30" s="90">
        <f>SUM(N8:N29)</f>
        <v>8</v>
      </c>
      <c r="O30" s="48">
        <f>SUM(O8:O29)</f>
        <v>242.77</v>
      </c>
      <c r="P30" s="38"/>
      <c r="Q30" s="5">
        <f>SUM(Q8:Q29)</f>
        <v>242.77</v>
      </c>
      <c r="U30" s="73"/>
    </row>
    <row r="31" spans="1:21" ht="15.75" thickBot="1" x14ac:dyDescent="0.3">
      <c r="A31" s="47"/>
      <c r="L31" s="51"/>
      <c r="O31" s="111" t="s">
        <v>4</v>
      </c>
      <c r="P31" s="68">
        <f>Q4+Q5+Q6-+N30</f>
        <v>0</v>
      </c>
      <c r="U31" s="73"/>
    </row>
    <row r="32" spans="1:21" ht="15.75" thickBot="1" x14ac:dyDescent="0.3">
      <c r="B32" s="180"/>
      <c r="D32" s="1376" t="s">
        <v>21</v>
      </c>
      <c r="E32" s="1377"/>
      <c r="F32" s="138">
        <f>G5-F30</f>
        <v>0</v>
      </c>
      <c r="L32" s="116"/>
    </row>
    <row r="33" spans="1:16" ht="16.5" thickTop="1" thickBot="1" x14ac:dyDescent="0.3">
      <c r="A33" s="122"/>
      <c r="D33" s="1198" t="s">
        <v>4</v>
      </c>
      <c r="E33" s="1199"/>
      <c r="F33" s="49">
        <v>0</v>
      </c>
      <c r="L33" s="47"/>
      <c r="N33" s="1428" t="s">
        <v>11</v>
      </c>
      <c r="O33" s="1429"/>
      <c r="P33" s="142">
        <f>P5+P4+P6+-Q30</f>
        <v>0</v>
      </c>
    </row>
    <row r="34" spans="1:16" x14ac:dyDescent="0.25">
      <c r="B34" s="180"/>
    </row>
  </sheetData>
  <mergeCells count="10">
    <mergeCell ref="A1:G1"/>
    <mergeCell ref="A5:A6"/>
    <mergeCell ref="B5:B6"/>
    <mergeCell ref="D32:E32"/>
    <mergeCell ref="U6:U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G56" sqref="G5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59" t="s">
        <v>288</v>
      </c>
      <c r="B1" s="1459"/>
      <c r="C1" s="1459"/>
      <c r="D1" s="1459"/>
      <c r="E1" s="1459"/>
      <c r="F1" s="1459"/>
      <c r="G1" s="1459"/>
      <c r="H1" s="1459"/>
      <c r="I1" s="1459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68"/>
      <c r="B4" s="664"/>
      <c r="C4" s="764"/>
      <c r="D4" s="765"/>
      <c r="E4" s="766"/>
      <c r="F4" s="767"/>
      <c r="G4" s="73"/>
    </row>
    <row r="5" spans="1:10" ht="15" customHeight="1" x14ac:dyDescent="0.25">
      <c r="A5" s="1460" t="s">
        <v>121</v>
      </c>
      <c r="B5" s="1461" t="s">
        <v>85</v>
      </c>
      <c r="C5" s="764">
        <v>62.51</v>
      </c>
      <c r="D5" s="765">
        <v>44867</v>
      </c>
      <c r="E5" s="766">
        <v>18564</v>
      </c>
      <c r="F5" s="767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460"/>
      <c r="B6" s="1363"/>
      <c r="C6" s="764"/>
      <c r="D6" s="765"/>
      <c r="E6" s="766"/>
      <c r="F6" s="767"/>
      <c r="G6" s="73"/>
    </row>
    <row r="7" spans="1:10" ht="15.75" customHeight="1" thickBot="1" x14ac:dyDescent="0.35">
      <c r="A7" s="1460"/>
      <c r="B7" s="1364"/>
      <c r="C7" s="764"/>
      <c r="D7" s="765"/>
      <c r="E7" s="766"/>
      <c r="F7" s="767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440" t="s">
        <v>47</v>
      </c>
      <c r="J8" s="145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41"/>
      <c r="J9" s="1458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151</v>
      </c>
      <c r="H10" s="71">
        <v>85</v>
      </c>
      <c r="I10" s="729">
        <f>E4+E5+E6-F10+E7+E8</f>
        <v>18491.900000000001</v>
      </c>
      <c r="J10" s="730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152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153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155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156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157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158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159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160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163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166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167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168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170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171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176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177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177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179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180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181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183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184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185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187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188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189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190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191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202</v>
      </c>
      <c r="H39" s="71">
        <v>85</v>
      </c>
      <c r="I39" s="729">
        <f t="shared" si="0"/>
        <v>3192.7000000000012</v>
      </c>
      <c r="J39" s="730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502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504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513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527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20">
        <v>199.4</v>
      </c>
      <c r="E44" s="618">
        <v>44972</v>
      </c>
      <c r="F44" s="617">
        <f t="shared" si="2"/>
        <v>199.4</v>
      </c>
      <c r="G44" s="619" t="s">
        <v>455</v>
      </c>
      <c r="H44" s="201">
        <v>84</v>
      </c>
      <c r="I44" s="204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20">
        <v>61.1</v>
      </c>
      <c r="E45" s="618">
        <v>44973</v>
      </c>
      <c r="F45" s="617">
        <f t="shared" si="2"/>
        <v>61.1</v>
      </c>
      <c r="G45" s="619" t="s">
        <v>584</v>
      </c>
      <c r="H45" s="201">
        <v>84</v>
      </c>
      <c r="I45" s="204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20">
        <v>210.7</v>
      </c>
      <c r="E46" s="618">
        <v>44975</v>
      </c>
      <c r="F46" s="617">
        <f t="shared" si="2"/>
        <v>210.7</v>
      </c>
      <c r="G46" s="619" t="s">
        <v>458</v>
      </c>
      <c r="H46" s="201">
        <v>84</v>
      </c>
      <c r="I46" s="204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20">
        <v>41.2</v>
      </c>
      <c r="E47" s="618">
        <v>44976</v>
      </c>
      <c r="F47" s="617">
        <f t="shared" si="2"/>
        <v>41.2</v>
      </c>
      <c r="G47" s="619" t="s">
        <v>612</v>
      </c>
      <c r="H47" s="201">
        <v>84</v>
      </c>
      <c r="I47" s="204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20">
        <v>57.4</v>
      </c>
      <c r="E48" s="618">
        <v>44978</v>
      </c>
      <c r="F48" s="617">
        <f t="shared" si="2"/>
        <v>57.4</v>
      </c>
      <c r="G48" s="619" t="s">
        <v>618</v>
      </c>
      <c r="H48" s="201">
        <v>84</v>
      </c>
      <c r="I48" s="204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20">
        <v>61.4</v>
      </c>
      <c r="E49" s="618">
        <v>44978</v>
      </c>
      <c r="F49" s="617">
        <f t="shared" si="2"/>
        <v>61.4</v>
      </c>
      <c r="G49" s="619" t="s">
        <v>621</v>
      </c>
      <c r="H49" s="201">
        <v>84</v>
      </c>
      <c r="I49" s="204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20">
        <v>41.9</v>
      </c>
      <c r="E50" s="618">
        <v>44980</v>
      </c>
      <c r="F50" s="617">
        <f t="shared" si="2"/>
        <v>41.9</v>
      </c>
      <c r="G50" s="619" t="s">
        <v>636</v>
      </c>
      <c r="H50" s="201">
        <v>84</v>
      </c>
      <c r="I50" s="204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20">
        <v>42.8</v>
      </c>
      <c r="E51" s="618">
        <v>44985</v>
      </c>
      <c r="F51" s="617">
        <f t="shared" si="2"/>
        <v>42.8</v>
      </c>
      <c r="G51" s="619" t="s">
        <v>665</v>
      </c>
      <c r="H51" s="201">
        <v>84</v>
      </c>
      <c r="I51" s="204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20">
        <v>19.5</v>
      </c>
      <c r="E52" s="618">
        <v>44985</v>
      </c>
      <c r="F52" s="617">
        <f t="shared" si="2"/>
        <v>19.5</v>
      </c>
      <c r="G52" s="619" t="s">
        <v>665</v>
      </c>
      <c r="H52" s="201">
        <v>84</v>
      </c>
      <c r="I52" s="204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20">
        <v>21.4</v>
      </c>
      <c r="E53" s="618">
        <v>44985</v>
      </c>
      <c r="F53" s="617">
        <f t="shared" si="2"/>
        <v>21.4</v>
      </c>
      <c r="G53" s="619" t="s">
        <v>655</v>
      </c>
      <c r="H53" s="201">
        <v>84</v>
      </c>
      <c r="I53" s="204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20">
        <v>338.2</v>
      </c>
      <c r="E54" s="618">
        <v>44986</v>
      </c>
      <c r="F54" s="617">
        <f t="shared" si="2"/>
        <v>338.2</v>
      </c>
      <c r="G54" s="619" t="s">
        <v>675</v>
      </c>
      <c r="H54" s="201">
        <v>84</v>
      </c>
      <c r="I54" s="204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20">
        <v>510.2</v>
      </c>
      <c r="E55" s="618">
        <v>44988</v>
      </c>
      <c r="F55" s="617">
        <f t="shared" si="2"/>
        <v>510.2</v>
      </c>
      <c r="G55" s="619" t="s">
        <v>712</v>
      </c>
      <c r="H55" s="201">
        <v>84</v>
      </c>
      <c r="I55" s="204">
        <f t="shared" si="0"/>
        <v>1241.6000000000008</v>
      </c>
      <c r="J55" s="124">
        <f t="shared" si="1"/>
        <v>60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428" t="s">
        <v>11</v>
      </c>
      <c r="D105" s="1429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A22" sqref="A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0" t="s">
        <v>274</v>
      </c>
      <c r="B1" s="1390"/>
      <c r="C1" s="1390"/>
      <c r="D1" s="1390"/>
      <c r="E1" s="1390"/>
      <c r="F1" s="1390"/>
      <c r="G1" s="1390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462" t="s">
        <v>681</v>
      </c>
      <c r="B5" s="1455" t="s">
        <v>683</v>
      </c>
      <c r="C5" s="219">
        <v>73.5</v>
      </c>
      <c r="D5" s="115">
        <v>44988</v>
      </c>
      <c r="E5" s="141">
        <v>1866.34</v>
      </c>
      <c r="F5" s="234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463"/>
      <c r="B6" s="1456"/>
      <c r="C6" s="219"/>
      <c r="D6" s="115"/>
      <c r="E6" s="141"/>
      <c r="F6" s="234"/>
      <c r="I6" s="1453" t="s">
        <v>3</v>
      </c>
      <c r="J6" s="144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54"/>
      <c r="J7" s="1448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9">
        <v>44988</v>
      </c>
      <c r="F8" s="69">
        <f t="shared" ref="F8:F13" si="0">D8</f>
        <v>26.21</v>
      </c>
      <c r="G8" s="631" t="s">
        <v>719</v>
      </c>
      <c r="H8" s="646">
        <v>75.5</v>
      </c>
      <c r="I8" s="204">
        <f>E5+E4-F8+E6</f>
        <v>1840.1299999999999</v>
      </c>
      <c r="J8" s="124">
        <f>F4+F5+F6-C8</f>
        <v>69</v>
      </c>
    </row>
    <row r="9" spans="1:10" x14ac:dyDescent="0.25">
      <c r="A9" s="190"/>
      <c r="B9" s="83"/>
      <c r="C9" s="15">
        <v>30</v>
      </c>
      <c r="D9" s="171">
        <v>796.24</v>
      </c>
      <c r="E9" s="239">
        <v>44989</v>
      </c>
      <c r="F9" s="69">
        <f t="shared" si="0"/>
        <v>796.24</v>
      </c>
      <c r="G9" s="631" t="s">
        <v>724</v>
      </c>
      <c r="H9" s="646">
        <v>75.5</v>
      </c>
      <c r="I9" s="204">
        <f>I8-F9</f>
        <v>1043.8899999999999</v>
      </c>
      <c r="J9" s="124">
        <f>J8-C9</f>
        <v>39</v>
      </c>
    </row>
    <row r="10" spans="1:10" x14ac:dyDescent="0.25">
      <c r="A10" s="178"/>
      <c r="B10" s="83"/>
      <c r="C10" s="15">
        <v>5</v>
      </c>
      <c r="D10" s="171">
        <v>133.05000000000001</v>
      </c>
      <c r="E10" s="239">
        <v>44989</v>
      </c>
      <c r="F10" s="69">
        <f t="shared" si="0"/>
        <v>133.05000000000001</v>
      </c>
      <c r="G10" s="70" t="s">
        <v>724</v>
      </c>
      <c r="H10" s="125">
        <v>75.5</v>
      </c>
      <c r="I10" s="204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9">
        <v>44989</v>
      </c>
      <c r="F11" s="69">
        <f t="shared" si="0"/>
        <v>86.26</v>
      </c>
      <c r="G11" s="70" t="s">
        <v>725</v>
      </c>
      <c r="H11" s="125">
        <v>75.5</v>
      </c>
      <c r="I11" s="204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9">
        <v>44989</v>
      </c>
      <c r="F12" s="69">
        <f t="shared" si="0"/>
        <v>107.12</v>
      </c>
      <c r="G12" s="70" t="s">
        <v>468</v>
      </c>
      <c r="H12" s="125">
        <v>75.5</v>
      </c>
      <c r="I12" s="204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8">
        <v>44989</v>
      </c>
      <c r="F13" s="69">
        <f t="shared" si="0"/>
        <v>136.29</v>
      </c>
      <c r="G13" s="70" t="s">
        <v>731</v>
      </c>
      <c r="H13" s="125">
        <v>75.5</v>
      </c>
      <c r="I13" s="204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8">
        <v>44989</v>
      </c>
      <c r="F14" s="69">
        <f>D14</f>
        <v>289.26</v>
      </c>
      <c r="G14" s="70" t="s">
        <v>469</v>
      </c>
      <c r="H14" s="125">
        <v>75.5</v>
      </c>
      <c r="I14" s="204">
        <f t="shared" si="1"/>
        <v>291.90999999999997</v>
      </c>
      <c r="J14" s="124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8"/>
      <c r="F15" s="69">
        <f>D15</f>
        <v>0</v>
      </c>
      <c r="G15" s="70"/>
      <c r="H15" s="125"/>
      <c r="I15" s="204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428" t="s">
        <v>11</v>
      </c>
      <c r="D33" s="1429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E66" sqref="E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59" t="s">
        <v>289</v>
      </c>
      <c r="B1" s="1459"/>
      <c r="C1" s="1459"/>
      <c r="D1" s="1459"/>
      <c r="E1" s="1459"/>
      <c r="F1" s="1459"/>
      <c r="G1" s="1459"/>
      <c r="H1" s="1459"/>
      <c r="I1" s="1459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464" t="s">
        <v>111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114</v>
      </c>
      <c r="B6" s="1465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465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440" t="s">
        <v>47</v>
      </c>
      <c r="J8" s="145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41"/>
      <c r="J9" s="1458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125</v>
      </c>
      <c r="H10" s="71">
        <v>93</v>
      </c>
      <c r="I10" s="729">
        <f>E4+E5+E6-F10+E7+E8</f>
        <v>1950</v>
      </c>
      <c r="J10" s="730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127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5" si="1">B12*C12</f>
        <v>10</v>
      </c>
      <c r="E12" s="238">
        <v>44870</v>
      </c>
      <c r="F12" s="69">
        <f t="shared" si="0"/>
        <v>10</v>
      </c>
      <c r="G12" s="70" t="s">
        <v>128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129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130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131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132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133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135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136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137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138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139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140</v>
      </c>
      <c r="H23" s="71">
        <v>93</v>
      </c>
      <c r="I23" s="729">
        <f t="shared" si="2"/>
        <v>1550</v>
      </c>
      <c r="J23" s="730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145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146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147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148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149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150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154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162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165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172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173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174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175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178</v>
      </c>
      <c r="H37" s="324">
        <v>93</v>
      </c>
      <c r="I37" s="204">
        <f t="shared" ref="I37:I69" si="4">I36-F37</f>
        <v>1030</v>
      </c>
      <c r="J37" s="124">
        <f t="shared" ref="J37:J69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186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195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203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204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209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210</v>
      </c>
      <c r="H43" s="324">
        <v>93</v>
      </c>
      <c r="I43" s="729">
        <f t="shared" si="4"/>
        <v>790</v>
      </c>
      <c r="J43" s="730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222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224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227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228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229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231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246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253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256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259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269</v>
      </c>
      <c r="H54" s="201">
        <v>93</v>
      </c>
      <c r="I54" s="729">
        <f t="shared" si="4"/>
        <v>430</v>
      </c>
      <c r="J54" s="730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23">
        <f t="shared" si="1"/>
        <v>100</v>
      </c>
      <c r="E55" s="1124">
        <v>44956</v>
      </c>
      <c r="F55" s="1110">
        <f t="shared" si="0"/>
        <v>100</v>
      </c>
      <c r="G55" s="580" t="s">
        <v>444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23">
        <f t="shared" si="1"/>
        <v>20</v>
      </c>
      <c r="E56" s="1124">
        <v>44956</v>
      </c>
      <c r="F56" s="1110">
        <f t="shared" si="0"/>
        <v>20</v>
      </c>
      <c r="G56" s="580" t="s">
        <v>485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23">
        <f t="shared" si="1"/>
        <v>10</v>
      </c>
      <c r="E57" s="1124">
        <v>44958</v>
      </c>
      <c r="F57" s="1110">
        <f t="shared" si="0"/>
        <v>10</v>
      </c>
      <c r="G57" s="580" t="s">
        <v>494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23">
        <f t="shared" si="1"/>
        <v>20</v>
      </c>
      <c r="E58" s="1124">
        <v>44960</v>
      </c>
      <c r="F58" s="1110">
        <f t="shared" si="0"/>
        <v>20</v>
      </c>
      <c r="G58" s="580" t="s">
        <v>514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23">
        <f t="shared" si="1"/>
        <v>100</v>
      </c>
      <c r="E59" s="1124">
        <v>44961</v>
      </c>
      <c r="F59" s="1110">
        <f t="shared" si="0"/>
        <v>100</v>
      </c>
      <c r="G59" s="580" t="s">
        <v>522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23">
        <f t="shared" si="1"/>
        <v>100</v>
      </c>
      <c r="E60" s="1124">
        <v>44963</v>
      </c>
      <c r="F60" s="1110">
        <f t="shared" si="0"/>
        <v>100</v>
      </c>
      <c r="G60" s="580" t="s">
        <v>527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23">
        <f t="shared" si="1"/>
        <v>10</v>
      </c>
      <c r="E61" s="1124">
        <v>44965</v>
      </c>
      <c r="F61" s="1110">
        <f t="shared" si="0"/>
        <v>10</v>
      </c>
      <c r="G61" s="580" t="s">
        <v>536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23">
        <f t="shared" si="1"/>
        <v>10</v>
      </c>
      <c r="E62" s="1124">
        <v>44965</v>
      </c>
      <c r="F62" s="1110">
        <f t="shared" si="0"/>
        <v>10</v>
      </c>
      <c r="G62" s="580" t="s">
        <v>546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>
        <v>2</v>
      </c>
      <c r="D63" s="1123">
        <f t="shared" si="1"/>
        <v>20</v>
      </c>
      <c r="E63" s="1124">
        <v>44968</v>
      </c>
      <c r="F63" s="1110">
        <f t="shared" si="0"/>
        <v>20</v>
      </c>
      <c r="G63" s="580" t="s">
        <v>453</v>
      </c>
      <c r="H63" s="372">
        <v>93</v>
      </c>
      <c r="I63" s="204">
        <f t="shared" si="4"/>
        <v>40</v>
      </c>
      <c r="J63" s="124">
        <f t="shared" si="5"/>
        <v>4</v>
      </c>
    </row>
    <row r="64" spans="1:10" x14ac:dyDescent="0.25">
      <c r="A64" s="2"/>
      <c r="B64" s="83">
        <v>10</v>
      </c>
      <c r="C64" s="15">
        <v>1</v>
      </c>
      <c r="D64" s="1123">
        <f t="shared" si="1"/>
        <v>10</v>
      </c>
      <c r="E64" s="1124">
        <v>44970</v>
      </c>
      <c r="F64" s="1110">
        <f t="shared" si="0"/>
        <v>10</v>
      </c>
      <c r="G64" s="580" t="s">
        <v>563</v>
      </c>
      <c r="H64" s="372">
        <v>93</v>
      </c>
      <c r="I64" s="204">
        <f t="shared" si="4"/>
        <v>30</v>
      </c>
      <c r="J64" s="124">
        <f t="shared" si="5"/>
        <v>3</v>
      </c>
    </row>
    <row r="65" spans="1:10" x14ac:dyDescent="0.25">
      <c r="A65" s="2"/>
      <c r="B65" s="83">
        <v>10</v>
      </c>
      <c r="C65" s="15">
        <v>3</v>
      </c>
      <c r="D65" s="1123">
        <f t="shared" si="1"/>
        <v>30</v>
      </c>
      <c r="E65" s="1124">
        <v>44972</v>
      </c>
      <c r="F65" s="1110">
        <f t="shared" si="0"/>
        <v>30</v>
      </c>
      <c r="G65" s="580" t="s">
        <v>455</v>
      </c>
      <c r="H65" s="372">
        <v>93</v>
      </c>
      <c r="I65" s="204">
        <f t="shared" si="4"/>
        <v>0</v>
      </c>
      <c r="J65" s="124">
        <f t="shared" si="5"/>
        <v>0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0</v>
      </c>
      <c r="J66" s="124">
        <f t="shared" si="5"/>
        <v>0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1135"/>
      <c r="H67" s="1136"/>
      <c r="I67" s="609">
        <f t="shared" si="4"/>
        <v>0</v>
      </c>
      <c r="J67" s="1240">
        <f t="shared" si="5"/>
        <v>0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1135"/>
      <c r="H68" s="1136"/>
      <c r="I68" s="609">
        <f t="shared" si="4"/>
        <v>0</v>
      </c>
      <c r="J68" s="1240">
        <f t="shared" si="5"/>
        <v>0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1135"/>
      <c r="H69" s="1136"/>
      <c r="I69" s="609">
        <f t="shared" si="4"/>
        <v>0</v>
      </c>
      <c r="J69" s="1240">
        <f t="shared" si="5"/>
        <v>0</v>
      </c>
    </row>
    <row r="70" spans="1:10" ht="15.75" thickBot="1" x14ac:dyDescent="0.3">
      <c r="A70" s="4"/>
      <c r="B70" s="83">
        <v>10</v>
      </c>
      <c r="C70" s="37"/>
      <c r="D70" s="934">
        <v>0</v>
      </c>
      <c r="E70" s="935"/>
      <c r="F70" s="617">
        <f t="shared" si="0"/>
        <v>0</v>
      </c>
      <c r="G70" s="926"/>
      <c r="H70" s="201"/>
    </row>
    <row r="71" spans="1:10" ht="16.5" thickTop="1" thickBot="1" x14ac:dyDescent="0.3">
      <c r="B71" s="83"/>
      <c r="C71" s="90">
        <f>SUM(C10:C70)</f>
        <v>200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428" t="s">
        <v>11</v>
      </c>
      <c r="D74" s="1429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0"/>
      <c r="B1" s="1380"/>
      <c r="C1" s="1380"/>
      <c r="D1" s="1380"/>
      <c r="E1" s="1380"/>
      <c r="F1" s="1380"/>
      <c r="G1" s="1380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3"/>
      <c r="H4" s="145"/>
      <c r="I4" s="387"/>
    </row>
    <row r="5" spans="1:10" ht="15" customHeight="1" x14ac:dyDescent="0.25">
      <c r="A5" s="1400" t="s">
        <v>124</v>
      </c>
      <c r="B5" s="1404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400"/>
      <c r="B6" s="1466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69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3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4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4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4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38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4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376" t="s">
        <v>21</v>
      </c>
      <c r="E75" s="1377"/>
      <c r="F75" s="138">
        <f>G5-F73</f>
        <v>0</v>
      </c>
    </row>
    <row r="76" spans="1:10" ht="15.75" thickBot="1" x14ac:dyDescent="0.3">
      <c r="A76" s="122"/>
      <c r="D76" s="839" t="s">
        <v>4</v>
      </c>
      <c r="E76" s="840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395"/>
      <c r="B5" s="1467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95"/>
      <c r="B6" s="1467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388" t="s">
        <v>11</v>
      </c>
      <c r="D60" s="138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0"/>
      <c r="B1" s="1380"/>
      <c r="C1" s="1380"/>
      <c r="D1" s="1380"/>
      <c r="E1" s="1380"/>
      <c r="F1" s="1380"/>
      <c r="G1" s="1380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395"/>
      <c r="B5" s="1404" t="s">
        <v>193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395"/>
      <c r="B6" s="1404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404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69">
        <f t="shared" si="2"/>
        <v>0</v>
      </c>
      <c r="C14" s="714"/>
      <c r="D14" s="633">
        <v>0</v>
      </c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69">
        <f t="shared" si="2"/>
        <v>0</v>
      </c>
      <c r="C15" s="714"/>
      <c r="D15" s="633">
        <v>0</v>
      </c>
      <c r="E15" s="744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69">
        <f t="shared" si="2"/>
        <v>0</v>
      </c>
      <c r="C16" s="714"/>
      <c r="D16" s="633">
        <v>0</v>
      </c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69">
        <f t="shared" si="2"/>
        <v>0</v>
      </c>
      <c r="C17" s="714"/>
      <c r="D17" s="633">
        <v>0</v>
      </c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69">
        <f t="shared" si="2"/>
        <v>0</v>
      </c>
      <c r="C18" s="714"/>
      <c r="D18" s="633">
        <v>0</v>
      </c>
      <c r="E18" s="744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69">
        <f t="shared" si="2"/>
        <v>0</v>
      </c>
      <c r="C19" s="714"/>
      <c r="D19" s="633">
        <v>0</v>
      </c>
      <c r="E19" s="974"/>
      <c r="F19" s="816">
        <f t="shared" si="0"/>
        <v>0</v>
      </c>
      <c r="G19" s="914"/>
      <c r="H19" s="663"/>
      <c r="I19" s="937">
        <f t="shared" si="3"/>
        <v>0</v>
      </c>
      <c r="J19" s="665">
        <f t="shared" si="1"/>
        <v>0</v>
      </c>
    </row>
    <row r="20" spans="1:10" x14ac:dyDescent="0.25">
      <c r="A20" s="75"/>
      <c r="B20" s="769">
        <f t="shared" si="2"/>
        <v>0</v>
      </c>
      <c r="C20" s="714"/>
      <c r="D20" s="633">
        <v>0</v>
      </c>
      <c r="E20" s="974"/>
      <c r="F20" s="816">
        <f t="shared" si="0"/>
        <v>0</v>
      </c>
      <c r="G20" s="914"/>
      <c r="H20" s="663"/>
      <c r="I20" s="937">
        <f t="shared" si="3"/>
        <v>0</v>
      </c>
      <c r="J20" s="665">
        <f t="shared" si="1"/>
        <v>0</v>
      </c>
    </row>
    <row r="21" spans="1:10" x14ac:dyDescent="0.25">
      <c r="A21" s="75"/>
      <c r="B21" s="769">
        <f t="shared" si="2"/>
        <v>0</v>
      </c>
      <c r="C21" s="714"/>
      <c r="D21" s="633">
        <v>0</v>
      </c>
      <c r="E21" s="974"/>
      <c r="F21" s="816">
        <f t="shared" si="0"/>
        <v>0</v>
      </c>
      <c r="G21" s="914"/>
      <c r="H21" s="663"/>
      <c r="I21" s="937">
        <f t="shared" si="3"/>
        <v>0</v>
      </c>
      <c r="J21" s="665">
        <f t="shared" si="1"/>
        <v>0</v>
      </c>
    </row>
    <row r="22" spans="1:10" x14ac:dyDescent="0.25">
      <c r="A22" s="75"/>
      <c r="B22" s="769">
        <f t="shared" si="2"/>
        <v>0</v>
      </c>
      <c r="C22" s="714"/>
      <c r="D22" s="633">
        <v>0</v>
      </c>
      <c r="E22" s="974"/>
      <c r="F22" s="816">
        <f t="shared" si="0"/>
        <v>0</v>
      </c>
      <c r="G22" s="914"/>
      <c r="H22" s="663"/>
      <c r="I22" s="937">
        <f t="shared" si="3"/>
        <v>0</v>
      </c>
      <c r="J22" s="665">
        <f t="shared" si="1"/>
        <v>0</v>
      </c>
    </row>
    <row r="23" spans="1:10" x14ac:dyDescent="0.25">
      <c r="A23" s="19"/>
      <c r="B23" s="769">
        <f t="shared" si="2"/>
        <v>0</v>
      </c>
      <c r="C23" s="645"/>
      <c r="D23" s="633">
        <v>0</v>
      </c>
      <c r="E23" s="975"/>
      <c r="F23" s="816">
        <f t="shared" si="0"/>
        <v>0</v>
      </c>
      <c r="G23" s="914"/>
      <c r="H23" s="663"/>
      <c r="I23" s="937">
        <f t="shared" si="3"/>
        <v>0</v>
      </c>
      <c r="J23" s="665">
        <f t="shared" si="1"/>
        <v>0</v>
      </c>
    </row>
    <row r="24" spans="1:10" x14ac:dyDescent="0.25">
      <c r="A24" s="19"/>
      <c r="B24" s="769">
        <f t="shared" si="2"/>
        <v>0</v>
      </c>
      <c r="C24" s="645"/>
      <c r="D24" s="633">
        <v>0</v>
      </c>
      <c r="E24" s="975"/>
      <c r="F24" s="816">
        <f t="shared" si="0"/>
        <v>0</v>
      </c>
      <c r="G24" s="914"/>
      <c r="H24" s="663"/>
      <c r="I24" s="937">
        <f t="shared" si="3"/>
        <v>0</v>
      </c>
      <c r="J24" s="665">
        <f t="shared" si="1"/>
        <v>0</v>
      </c>
    </row>
    <row r="25" spans="1:10" x14ac:dyDescent="0.25">
      <c r="A25" s="19"/>
      <c r="B25" s="769">
        <f t="shared" si="2"/>
        <v>0</v>
      </c>
      <c r="C25" s="645"/>
      <c r="D25" s="633">
        <v>0</v>
      </c>
      <c r="E25" s="975"/>
      <c r="F25" s="816">
        <f t="shared" si="0"/>
        <v>0</v>
      </c>
      <c r="G25" s="914"/>
      <c r="H25" s="663"/>
      <c r="I25" s="937">
        <f t="shared" si="3"/>
        <v>0</v>
      </c>
      <c r="J25" s="665">
        <f t="shared" si="1"/>
        <v>0</v>
      </c>
    </row>
    <row r="26" spans="1:10" x14ac:dyDescent="0.25">
      <c r="A26" s="19"/>
      <c r="B26" s="769">
        <f t="shared" si="2"/>
        <v>0</v>
      </c>
      <c r="C26" s="714"/>
      <c r="D26" s="633">
        <v>0</v>
      </c>
      <c r="E26" s="975"/>
      <c r="F26" s="816">
        <f t="shared" si="0"/>
        <v>0</v>
      </c>
      <c r="G26" s="914"/>
      <c r="H26" s="663"/>
      <c r="I26" s="937">
        <f t="shared" si="3"/>
        <v>0</v>
      </c>
      <c r="J26" s="665">
        <f t="shared" si="1"/>
        <v>0</v>
      </c>
    </row>
    <row r="27" spans="1:10" x14ac:dyDescent="0.25">
      <c r="A27" s="19"/>
      <c r="B27" s="769">
        <f t="shared" si="2"/>
        <v>0</v>
      </c>
      <c r="C27" s="714"/>
      <c r="D27" s="633">
        <v>0</v>
      </c>
      <c r="E27" s="975"/>
      <c r="F27" s="816">
        <f t="shared" si="0"/>
        <v>0</v>
      </c>
      <c r="G27" s="914"/>
      <c r="H27" s="663"/>
      <c r="I27" s="937">
        <f t="shared" si="3"/>
        <v>0</v>
      </c>
      <c r="J27" s="665">
        <f t="shared" si="1"/>
        <v>0</v>
      </c>
    </row>
    <row r="28" spans="1:10" x14ac:dyDescent="0.25">
      <c r="A28" s="19"/>
      <c r="B28" s="769">
        <f t="shared" si="2"/>
        <v>0</v>
      </c>
      <c r="C28" s="714"/>
      <c r="D28" s="633">
        <v>0</v>
      </c>
      <c r="E28" s="975"/>
      <c r="F28" s="816">
        <f t="shared" si="0"/>
        <v>0</v>
      </c>
      <c r="G28" s="914"/>
      <c r="H28" s="663"/>
      <c r="I28" s="937">
        <f t="shared" si="3"/>
        <v>0</v>
      </c>
      <c r="J28" s="665">
        <f t="shared" si="1"/>
        <v>0</v>
      </c>
    </row>
    <row r="29" spans="1:10" x14ac:dyDescent="0.25">
      <c r="A29" s="19"/>
      <c r="B29" s="769">
        <f t="shared" si="2"/>
        <v>0</v>
      </c>
      <c r="C29" s="714"/>
      <c r="D29" s="633">
        <v>0</v>
      </c>
      <c r="E29" s="975"/>
      <c r="F29" s="816">
        <f t="shared" si="0"/>
        <v>0</v>
      </c>
      <c r="G29" s="914"/>
      <c r="H29" s="663"/>
      <c r="I29" s="937">
        <f t="shared" si="3"/>
        <v>0</v>
      </c>
      <c r="J29" s="665">
        <f t="shared" si="1"/>
        <v>0</v>
      </c>
    </row>
    <row r="30" spans="1:10" x14ac:dyDescent="0.25">
      <c r="A30" s="19"/>
      <c r="B30" s="769">
        <f t="shared" si="2"/>
        <v>0</v>
      </c>
      <c r="C30" s="714"/>
      <c r="D30" s="633">
        <v>0</v>
      </c>
      <c r="E30" s="975"/>
      <c r="F30" s="816">
        <f t="shared" si="0"/>
        <v>0</v>
      </c>
      <c r="G30" s="914"/>
      <c r="H30" s="663"/>
      <c r="I30" s="937">
        <f t="shared" si="3"/>
        <v>0</v>
      </c>
      <c r="J30" s="665">
        <f t="shared" si="1"/>
        <v>0</v>
      </c>
    </row>
    <row r="31" spans="1:10" x14ac:dyDescent="0.25">
      <c r="A31" s="19"/>
      <c r="B31" s="769">
        <f t="shared" si="2"/>
        <v>0</v>
      </c>
      <c r="C31" s="714"/>
      <c r="D31" s="633">
        <v>0</v>
      </c>
      <c r="E31" s="975"/>
      <c r="F31" s="816">
        <f t="shared" si="0"/>
        <v>0</v>
      </c>
      <c r="G31" s="914"/>
      <c r="H31" s="663"/>
      <c r="I31" s="937">
        <f t="shared" si="3"/>
        <v>0</v>
      </c>
      <c r="J31" s="665">
        <f t="shared" si="1"/>
        <v>0</v>
      </c>
    </row>
    <row r="32" spans="1:10" x14ac:dyDescent="0.25">
      <c r="A32" s="19"/>
      <c r="B32" s="769">
        <f t="shared" si="2"/>
        <v>0</v>
      </c>
      <c r="C32" s="714"/>
      <c r="D32" s="633">
        <v>0</v>
      </c>
      <c r="E32" s="975"/>
      <c r="F32" s="816">
        <f t="shared" si="0"/>
        <v>0</v>
      </c>
      <c r="G32" s="914"/>
      <c r="H32" s="663"/>
      <c r="I32" s="937">
        <f t="shared" si="3"/>
        <v>0</v>
      </c>
      <c r="J32" s="665">
        <f t="shared" si="1"/>
        <v>0</v>
      </c>
    </row>
    <row r="33" spans="1:10" x14ac:dyDescent="0.25">
      <c r="A33" s="19"/>
      <c r="B33" s="769">
        <f t="shared" si="2"/>
        <v>0</v>
      </c>
      <c r="C33" s="714"/>
      <c r="D33" s="633">
        <v>0</v>
      </c>
      <c r="E33" s="975"/>
      <c r="F33" s="816">
        <f t="shared" si="0"/>
        <v>0</v>
      </c>
      <c r="G33" s="914"/>
      <c r="H33" s="663"/>
      <c r="I33" s="937">
        <f t="shared" si="3"/>
        <v>0</v>
      </c>
      <c r="J33" s="665">
        <f t="shared" si="1"/>
        <v>0</v>
      </c>
    </row>
    <row r="34" spans="1:10" x14ac:dyDescent="0.25">
      <c r="A34" s="19"/>
      <c r="B34" s="769">
        <f t="shared" si="2"/>
        <v>0</v>
      </c>
      <c r="C34" s="714"/>
      <c r="D34" s="633">
        <v>0</v>
      </c>
      <c r="E34" s="975"/>
      <c r="F34" s="816">
        <f t="shared" si="0"/>
        <v>0</v>
      </c>
      <c r="G34" s="914"/>
      <c r="H34" s="663"/>
      <c r="I34" s="937">
        <f t="shared" si="3"/>
        <v>0</v>
      </c>
      <c r="J34" s="665">
        <f t="shared" si="1"/>
        <v>0</v>
      </c>
    </row>
    <row r="35" spans="1:10" x14ac:dyDescent="0.25">
      <c r="A35" s="19"/>
      <c r="B35" s="769">
        <f t="shared" si="2"/>
        <v>0</v>
      </c>
      <c r="C35" s="714"/>
      <c r="D35" s="633">
        <v>0</v>
      </c>
      <c r="E35" s="975"/>
      <c r="F35" s="816">
        <f t="shared" si="0"/>
        <v>0</v>
      </c>
      <c r="G35" s="914"/>
      <c r="H35" s="663"/>
      <c r="I35" s="937">
        <f t="shared" si="3"/>
        <v>0</v>
      </c>
      <c r="J35" s="665">
        <f t="shared" si="1"/>
        <v>0</v>
      </c>
    </row>
    <row r="36" spans="1:10" x14ac:dyDescent="0.25">
      <c r="A36" s="19"/>
      <c r="B36" s="769">
        <f t="shared" si="2"/>
        <v>0</v>
      </c>
      <c r="C36" s="714"/>
      <c r="D36" s="633">
        <v>0</v>
      </c>
      <c r="E36" s="975"/>
      <c r="F36" s="816">
        <f t="shared" si="0"/>
        <v>0</v>
      </c>
      <c r="G36" s="914"/>
      <c r="H36" s="663"/>
      <c r="I36" s="937">
        <f t="shared" si="3"/>
        <v>0</v>
      </c>
      <c r="J36" s="665">
        <f t="shared" si="1"/>
        <v>0</v>
      </c>
    </row>
    <row r="37" spans="1:10" x14ac:dyDescent="0.25">
      <c r="B37" s="769">
        <f>B27-C37</f>
        <v>0</v>
      </c>
      <c r="C37" s="714"/>
      <c r="D37" s="633">
        <v>0</v>
      </c>
      <c r="E37" s="975"/>
      <c r="F37" s="816">
        <f t="shared" si="0"/>
        <v>0</v>
      </c>
      <c r="G37" s="914"/>
      <c r="H37" s="663"/>
      <c r="I37" s="937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69">
        <f t="shared" ref="B38" si="4">B37-C38</f>
        <v>0</v>
      </c>
      <c r="C38" s="750"/>
      <c r="D38" s="633">
        <v>0</v>
      </c>
      <c r="E38" s="976"/>
      <c r="F38" s="630">
        <f t="shared" si="0"/>
        <v>0</v>
      </c>
      <c r="G38" s="854"/>
      <c r="H38" s="977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376" t="s">
        <v>21</v>
      </c>
      <c r="E41" s="1377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J1" zoomScaleNormal="100" workbookViewId="0">
      <pane ySplit="9" topLeftCell="A10" activePane="bottomLeft" state="frozen"/>
      <selection pane="bottomLeft" activeCell="V22" sqref="V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386" t="s">
        <v>290</v>
      </c>
      <c r="B1" s="1386"/>
      <c r="C1" s="1386"/>
      <c r="D1" s="1386"/>
      <c r="E1" s="1386"/>
      <c r="F1" s="1386"/>
      <c r="G1" s="1386"/>
      <c r="H1" s="11">
        <v>1</v>
      </c>
      <c r="K1" s="1386" t="str">
        <f>A1</f>
        <v>INVENTARIO  DEL MES DE   ENERO  2023</v>
      </c>
      <c r="L1" s="1386"/>
      <c r="M1" s="1386"/>
      <c r="N1" s="1386"/>
      <c r="O1" s="1386"/>
      <c r="P1" s="1386"/>
      <c r="Q1" s="1386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468" t="s">
        <v>52</v>
      </c>
      <c r="B4" s="469"/>
      <c r="C4" s="125"/>
      <c r="D4" s="132"/>
      <c r="E4" s="86"/>
      <c r="F4" s="73"/>
      <c r="G4" s="789"/>
      <c r="K4" s="1468" t="s">
        <v>52</v>
      </c>
      <c r="L4" s="469"/>
      <c r="M4" s="125"/>
      <c r="N4" s="132"/>
      <c r="O4" s="86"/>
      <c r="P4" s="73"/>
      <c r="Q4" s="849"/>
    </row>
    <row r="5" spans="1:20" ht="15" customHeight="1" x14ac:dyDescent="0.25">
      <c r="A5" s="1469"/>
      <c r="B5" s="1471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2915.6099999999997</v>
      </c>
      <c r="H5" s="135">
        <f>E5-G5+E4+E6+E7+E8</f>
        <v>4.4053649617126212E-13</v>
      </c>
      <c r="K5" s="1469"/>
      <c r="L5" s="1471" t="s">
        <v>70</v>
      </c>
      <c r="M5" s="125"/>
      <c r="N5" s="132"/>
      <c r="O5" s="86">
        <v>337.34</v>
      </c>
      <c r="P5" s="73">
        <v>9</v>
      </c>
      <c r="Q5" s="48">
        <f>P62</f>
        <v>1754.85</v>
      </c>
      <c r="R5" s="135">
        <f>O5-Q5+O4+O6+O7+O8</f>
        <v>4505.26</v>
      </c>
    </row>
    <row r="6" spans="1:20" ht="16.5" thickBot="1" x14ac:dyDescent="0.3">
      <c r="A6" s="1470"/>
      <c r="B6" s="1472"/>
      <c r="C6" s="526"/>
      <c r="D6" s="132"/>
      <c r="E6" s="86">
        <v>104.98</v>
      </c>
      <c r="F6" s="73">
        <v>2</v>
      </c>
      <c r="G6" s="73"/>
      <c r="K6" s="1470"/>
      <c r="L6" s="1472"/>
      <c r="M6" s="526">
        <v>28</v>
      </c>
      <c r="N6" s="132">
        <v>44925</v>
      </c>
      <c r="O6" s="938">
        <v>5922.77</v>
      </c>
      <c r="P6" s="726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3"/>
      <c r="B10" s="737">
        <f>F4+F5+F6+F7+F8-C10</f>
        <v>89</v>
      </c>
      <c r="C10" s="964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237</v>
      </c>
      <c r="H10" s="622">
        <v>30</v>
      </c>
      <c r="I10" s="721">
        <f>E6+E5+E4-F10+E7+E8</f>
        <v>2714.11</v>
      </c>
      <c r="K10" s="713"/>
      <c r="L10" s="737">
        <f>P4+P5+P6+P7+P8-M10</f>
        <v>204</v>
      </c>
      <c r="M10" s="790">
        <v>10</v>
      </c>
      <c r="N10" s="669">
        <v>287.56</v>
      </c>
      <c r="O10" s="791">
        <v>44968</v>
      </c>
      <c r="P10" s="669">
        <f t="shared" ref="P10:P57" si="1">N10</f>
        <v>287.56</v>
      </c>
      <c r="Q10" s="792" t="s">
        <v>561</v>
      </c>
      <c r="R10" s="793">
        <v>30</v>
      </c>
      <c r="S10" s="721">
        <f>O6+O5+O4-P10+O7+O8</f>
        <v>5972.55</v>
      </c>
      <c r="T10" s="664"/>
    </row>
    <row r="11" spans="1:20" x14ac:dyDescent="0.25">
      <c r="A11" s="75"/>
      <c r="B11" s="794">
        <f>B10-C11</f>
        <v>87</v>
      </c>
      <c r="C11" s="964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252</v>
      </c>
      <c r="H11" s="622">
        <v>30</v>
      </c>
      <c r="I11" s="628">
        <f>I10-F11</f>
        <v>2651.8</v>
      </c>
      <c r="K11" s="75"/>
      <c r="L11" s="794">
        <f>L10-M11</f>
        <v>196</v>
      </c>
      <c r="M11" s="790">
        <v>8</v>
      </c>
      <c r="N11" s="669">
        <v>236.39</v>
      </c>
      <c r="O11" s="791">
        <v>44974</v>
      </c>
      <c r="P11" s="669">
        <f t="shared" si="1"/>
        <v>236.39</v>
      </c>
      <c r="Q11" s="792" t="s">
        <v>591</v>
      </c>
      <c r="R11" s="793">
        <v>30</v>
      </c>
      <c r="S11" s="628">
        <f>S10-P11</f>
        <v>5736.16</v>
      </c>
    </row>
    <row r="12" spans="1:20" x14ac:dyDescent="0.25">
      <c r="A12" s="75"/>
      <c r="B12" s="794">
        <f t="shared" ref="B12:B58" si="2">B11-C12</f>
        <v>86</v>
      </c>
      <c r="C12" s="790">
        <v>1</v>
      </c>
      <c r="D12" s="669">
        <v>29.91</v>
      </c>
      <c r="E12" s="791">
        <v>44950</v>
      </c>
      <c r="F12" s="669">
        <f t="shared" ref="F12:F57" si="3">D12</f>
        <v>29.91</v>
      </c>
      <c r="G12" s="792" t="s">
        <v>260</v>
      </c>
      <c r="H12" s="793">
        <v>30</v>
      </c>
      <c r="I12" s="628">
        <f t="shared" ref="I12:I13" si="4">I11-F12</f>
        <v>2621.8900000000003</v>
      </c>
      <c r="K12" s="75"/>
      <c r="L12" s="794">
        <f t="shared" ref="L12:L58" si="5">L11-M12</f>
        <v>194</v>
      </c>
      <c r="M12" s="790">
        <v>2</v>
      </c>
      <c r="N12" s="669">
        <v>59.2</v>
      </c>
      <c r="O12" s="791">
        <v>44974</v>
      </c>
      <c r="P12" s="669">
        <f t="shared" si="1"/>
        <v>59.2</v>
      </c>
      <c r="Q12" s="792" t="s">
        <v>597</v>
      </c>
      <c r="R12" s="793">
        <v>30</v>
      </c>
      <c r="S12" s="628">
        <f t="shared" ref="S12:S13" si="6">S11-P12</f>
        <v>5676.96</v>
      </c>
    </row>
    <row r="13" spans="1:20" x14ac:dyDescent="0.25">
      <c r="A13" s="55"/>
      <c r="B13" s="794">
        <f t="shared" si="2"/>
        <v>76</v>
      </c>
      <c r="C13" s="790">
        <v>10</v>
      </c>
      <c r="D13" s="669">
        <v>307.33999999999997</v>
      </c>
      <c r="E13" s="791">
        <v>44950</v>
      </c>
      <c r="F13" s="669">
        <f t="shared" si="3"/>
        <v>307.33999999999997</v>
      </c>
      <c r="G13" s="792" t="s">
        <v>262</v>
      </c>
      <c r="H13" s="793">
        <v>30</v>
      </c>
      <c r="I13" s="628">
        <f t="shared" si="4"/>
        <v>2314.5500000000002</v>
      </c>
      <c r="K13" s="55"/>
      <c r="L13" s="794">
        <f t="shared" si="5"/>
        <v>187</v>
      </c>
      <c r="M13" s="790">
        <v>7</v>
      </c>
      <c r="N13" s="669">
        <v>206.06</v>
      </c>
      <c r="O13" s="791">
        <v>44975</v>
      </c>
      <c r="P13" s="669">
        <f t="shared" si="1"/>
        <v>206.06</v>
      </c>
      <c r="Q13" s="792" t="s">
        <v>458</v>
      </c>
      <c r="R13" s="793">
        <v>30</v>
      </c>
      <c r="S13" s="628">
        <f t="shared" si="6"/>
        <v>5470.9</v>
      </c>
    </row>
    <row r="14" spans="1:20" x14ac:dyDescent="0.25">
      <c r="A14" s="75"/>
      <c r="B14" s="794">
        <f t="shared" si="2"/>
        <v>66</v>
      </c>
      <c r="C14" s="790">
        <v>10</v>
      </c>
      <c r="D14" s="669">
        <v>304.64</v>
      </c>
      <c r="E14" s="791">
        <v>44951</v>
      </c>
      <c r="F14" s="669">
        <f t="shared" si="3"/>
        <v>304.64</v>
      </c>
      <c r="G14" s="792" t="s">
        <v>241</v>
      </c>
      <c r="H14" s="793">
        <v>30</v>
      </c>
      <c r="I14" s="628">
        <f>I13-F14</f>
        <v>2009.9100000000003</v>
      </c>
      <c r="K14" s="75"/>
      <c r="L14" s="794">
        <f t="shared" si="5"/>
        <v>186</v>
      </c>
      <c r="M14" s="790">
        <v>1</v>
      </c>
      <c r="N14" s="669">
        <v>30.5</v>
      </c>
      <c r="O14" s="791">
        <v>44975</v>
      </c>
      <c r="P14" s="669">
        <f t="shared" si="1"/>
        <v>30.5</v>
      </c>
      <c r="Q14" s="792" t="s">
        <v>607</v>
      </c>
      <c r="R14" s="793">
        <v>30</v>
      </c>
      <c r="S14" s="628">
        <f>S13-P14</f>
        <v>5440.4</v>
      </c>
    </row>
    <row r="15" spans="1:20" x14ac:dyDescent="0.25">
      <c r="A15" s="75"/>
      <c r="B15" s="727">
        <f t="shared" si="2"/>
        <v>65</v>
      </c>
      <c r="C15" s="790">
        <v>1</v>
      </c>
      <c r="D15" s="669">
        <v>31.52</v>
      </c>
      <c r="E15" s="791">
        <v>44953</v>
      </c>
      <c r="F15" s="669">
        <f t="shared" si="3"/>
        <v>31.52</v>
      </c>
      <c r="G15" s="792" t="s">
        <v>268</v>
      </c>
      <c r="H15" s="793">
        <v>30</v>
      </c>
      <c r="I15" s="721">
        <f t="shared" ref="I15:I58" si="7">I14-F15</f>
        <v>1978.3900000000003</v>
      </c>
      <c r="K15" s="75"/>
      <c r="L15" s="794">
        <f t="shared" si="5"/>
        <v>185</v>
      </c>
      <c r="M15" s="790">
        <v>1</v>
      </c>
      <c r="N15" s="669">
        <v>28.54</v>
      </c>
      <c r="O15" s="791">
        <v>44980</v>
      </c>
      <c r="P15" s="669">
        <f t="shared" si="1"/>
        <v>28.54</v>
      </c>
      <c r="Q15" s="792" t="s">
        <v>634</v>
      </c>
      <c r="R15" s="793">
        <v>30</v>
      </c>
      <c r="S15" s="628">
        <f t="shared" ref="S15:S58" si="8">S14-P15</f>
        <v>5411.86</v>
      </c>
    </row>
    <row r="16" spans="1:20" x14ac:dyDescent="0.25">
      <c r="B16" s="794">
        <f t="shared" si="2"/>
        <v>58</v>
      </c>
      <c r="C16" s="790">
        <v>7</v>
      </c>
      <c r="D16" s="1177">
        <v>212.18</v>
      </c>
      <c r="E16" s="1116">
        <v>44956</v>
      </c>
      <c r="F16" s="1115">
        <f t="shared" si="3"/>
        <v>212.18</v>
      </c>
      <c r="G16" s="1117" t="s">
        <v>444</v>
      </c>
      <c r="H16" s="1118">
        <v>30</v>
      </c>
      <c r="I16" s="628">
        <f t="shared" si="7"/>
        <v>1766.2100000000003</v>
      </c>
      <c r="L16" s="794">
        <f t="shared" si="5"/>
        <v>184</v>
      </c>
      <c r="M16" s="790">
        <v>1</v>
      </c>
      <c r="N16" s="669">
        <v>31.69</v>
      </c>
      <c r="O16" s="791">
        <v>44982</v>
      </c>
      <c r="P16" s="669">
        <f t="shared" si="1"/>
        <v>31.69</v>
      </c>
      <c r="Q16" s="792" t="s">
        <v>659</v>
      </c>
      <c r="R16" s="793">
        <v>30</v>
      </c>
      <c r="S16" s="628">
        <f t="shared" si="8"/>
        <v>5380.17</v>
      </c>
    </row>
    <row r="17" spans="2:19" x14ac:dyDescent="0.25">
      <c r="B17" s="794">
        <f t="shared" si="2"/>
        <v>56</v>
      </c>
      <c r="C17" s="790">
        <v>2</v>
      </c>
      <c r="D17" s="1177">
        <f>30.47+29.62</f>
        <v>60.09</v>
      </c>
      <c r="E17" s="1116">
        <v>44956</v>
      </c>
      <c r="F17" s="1115">
        <f t="shared" si="3"/>
        <v>60.09</v>
      </c>
      <c r="G17" s="1117" t="s">
        <v>484</v>
      </c>
      <c r="H17" s="1118">
        <v>30</v>
      </c>
      <c r="I17" s="628">
        <f t="shared" si="7"/>
        <v>1706.1200000000003</v>
      </c>
      <c r="L17" s="794">
        <f t="shared" si="5"/>
        <v>177</v>
      </c>
      <c r="M17" s="790">
        <v>7</v>
      </c>
      <c r="N17" s="669">
        <v>201.89</v>
      </c>
      <c r="O17" s="791">
        <v>44982</v>
      </c>
      <c r="P17" s="669">
        <f t="shared" si="1"/>
        <v>201.89</v>
      </c>
      <c r="Q17" s="792" t="s">
        <v>663</v>
      </c>
      <c r="R17" s="793">
        <v>30</v>
      </c>
      <c r="S17" s="628">
        <f t="shared" si="8"/>
        <v>5178.28</v>
      </c>
    </row>
    <row r="18" spans="2:19" x14ac:dyDescent="0.25">
      <c r="B18" s="794">
        <f t="shared" si="2"/>
        <v>49</v>
      </c>
      <c r="C18" s="790">
        <v>7</v>
      </c>
      <c r="D18" s="1177">
        <v>210.84</v>
      </c>
      <c r="E18" s="1116">
        <v>44958</v>
      </c>
      <c r="F18" s="1115">
        <f t="shared" si="3"/>
        <v>210.84</v>
      </c>
      <c r="G18" s="1117" t="s">
        <v>498</v>
      </c>
      <c r="H18" s="1118">
        <v>30</v>
      </c>
      <c r="I18" s="628">
        <f t="shared" si="7"/>
        <v>1495.2800000000004</v>
      </c>
      <c r="L18" s="794">
        <f t="shared" si="5"/>
        <v>170</v>
      </c>
      <c r="M18" s="790">
        <v>7</v>
      </c>
      <c r="N18" s="669">
        <v>207.82</v>
      </c>
      <c r="O18" s="791">
        <v>44984</v>
      </c>
      <c r="P18" s="669">
        <f t="shared" si="1"/>
        <v>207.82</v>
      </c>
      <c r="Q18" s="792" t="s">
        <v>462</v>
      </c>
      <c r="R18" s="793">
        <v>30</v>
      </c>
      <c r="S18" s="628">
        <f t="shared" si="8"/>
        <v>4970.46</v>
      </c>
    </row>
    <row r="19" spans="2:19" x14ac:dyDescent="0.25">
      <c r="B19" s="794">
        <f t="shared" si="2"/>
        <v>39</v>
      </c>
      <c r="C19" s="790">
        <v>10</v>
      </c>
      <c r="D19" s="1177">
        <v>302.83999999999997</v>
      </c>
      <c r="E19" s="1116">
        <v>44961</v>
      </c>
      <c r="F19" s="1115">
        <f t="shared" si="3"/>
        <v>302.83999999999997</v>
      </c>
      <c r="G19" s="1117" t="s">
        <v>522</v>
      </c>
      <c r="H19" s="1118">
        <v>30</v>
      </c>
      <c r="I19" s="628">
        <f t="shared" si="7"/>
        <v>1192.4400000000005</v>
      </c>
      <c r="L19" s="794">
        <f t="shared" si="5"/>
        <v>163</v>
      </c>
      <c r="M19" s="790">
        <v>7</v>
      </c>
      <c r="N19" s="669">
        <v>205.62</v>
      </c>
      <c r="O19" s="791">
        <v>44986</v>
      </c>
      <c r="P19" s="669">
        <f t="shared" si="1"/>
        <v>205.62</v>
      </c>
      <c r="Q19" s="792" t="s">
        <v>672</v>
      </c>
      <c r="R19" s="793">
        <v>30</v>
      </c>
      <c r="S19" s="628">
        <f t="shared" si="8"/>
        <v>4764.84</v>
      </c>
    </row>
    <row r="20" spans="2:19" x14ac:dyDescent="0.25">
      <c r="B20" s="794">
        <f t="shared" si="2"/>
        <v>28</v>
      </c>
      <c r="C20" s="790">
        <v>11</v>
      </c>
      <c r="D20" s="1177">
        <v>304.33999999999997</v>
      </c>
      <c r="E20" s="1116">
        <v>44963</v>
      </c>
      <c r="F20" s="1115">
        <f t="shared" si="3"/>
        <v>304.33999999999997</v>
      </c>
      <c r="G20" s="1117" t="s">
        <v>527</v>
      </c>
      <c r="H20" s="1118">
        <v>30</v>
      </c>
      <c r="I20" s="628">
        <f t="shared" si="7"/>
        <v>888.10000000000059</v>
      </c>
      <c r="L20" s="794">
        <f t="shared" si="5"/>
        <v>161</v>
      </c>
      <c r="M20" s="790">
        <v>2</v>
      </c>
      <c r="N20" s="669">
        <v>57.27</v>
      </c>
      <c r="O20" s="791">
        <v>44988</v>
      </c>
      <c r="P20" s="669">
        <f t="shared" si="1"/>
        <v>57.27</v>
      </c>
      <c r="Q20" s="792" t="s">
        <v>716</v>
      </c>
      <c r="R20" s="793">
        <v>30</v>
      </c>
      <c r="S20" s="628">
        <f t="shared" si="8"/>
        <v>4707.57</v>
      </c>
    </row>
    <row r="21" spans="2:19" x14ac:dyDescent="0.25">
      <c r="B21" s="794">
        <f t="shared" si="2"/>
        <v>21</v>
      </c>
      <c r="C21" s="790">
        <v>7</v>
      </c>
      <c r="D21" s="1177">
        <v>197.74</v>
      </c>
      <c r="E21" s="1119">
        <v>44964</v>
      </c>
      <c r="F21" s="1115">
        <f t="shared" si="3"/>
        <v>197.74</v>
      </c>
      <c r="G21" s="1117" t="s">
        <v>534</v>
      </c>
      <c r="H21" s="1118">
        <v>30</v>
      </c>
      <c r="I21" s="628">
        <f t="shared" si="7"/>
        <v>690.36000000000058</v>
      </c>
      <c r="L21" s="794">
        <f t="shared" si="5"/>
        <v>154</v>
      </c>
      <c r="M21" s="790">
        <v>7</v>
      </c>
      <c r="N21" s="669">
        <v>202.31</v>
      </c>
      <c r="O21" s="795">
        <v>44989</v>
      </c>
      <c r="P21" s="669">
        <f t="shared" si="1"/>
        <v>202.31</v>
      </c>
      <c r="Q21" s="792" t="s">
        <v>732</v>
      </c>
      <c r="R21" s="793">
        <v>30</v>
      </c>
      <c r="S21" s="628">
        <f t="shared" si="8"/>
        <v>4505.2599999999993</v>
      </c>
    </row>
    <row r="22" spans="2:19" x14ac:dyDescent="0.25">
      <c r="B22" s="794">
        <f t="shared" si="2"/>
        <v>19</v>
      </c>
      <c r="C22" s="790">
        <v>2</v>
      </c>
      <c r="D22" s="1177">
        <v>59</v>
      </c>
      <c r="E22" s="1119">
        <v>44965</v>
      </c>
      <c r="F22" s="1115">
        <f t="shared" si="3"/>
        <v>59</v>
      </c>
      <c r="G22" s="1117" t="s">
        <v>449</v>
      </c>
      <c r="H22" s="1118">
        <v>30</v>
      </c>
      <c r="I22" s="628">
        <f t="shared" si="7"/>
        <v>631.36000000000058</v>
      </c>
      <c r="L22" s="794">
        <f t="shared" si="5"/>
        <v>154</v>
      </c>
      <c r="M22" s="790"/>
      <c r="N22" s="669"/>
      <c r="O22" s="795"/>
      <c r="P22" s="669">
        <f t="shared" si="1"/>
        <v>0</v>
      </c>
      <c r="Q22" s="792"/>
      <c r="R22" s="793"/>
      <c r="S22" s="628">
        <f t="shared" si="8"/>
        <v>4505.2599999999993</v>
      </c>
    </row>
    <row r="23" spans="2:19" x14ac:dyDescent="0.25">
      <c r="B23" s="794">
        <f t="shared" si="2"/>
        <v>16</v>
      </c>
      <c r="C23" s="790">
        <v>3</v>
      </c>
      <c r="D23" s="1177">
        <v>90.53</v>
      </c>
      <c r="E23" s="1119">
        <v>44966</v>
      </c>
      <c r="F23" s="1115">
        <f t="shared" si="3"/>
        <v>90.53</v>
      </c>
      <c r="G23" s="1117" t="s">
        <v>548</v>
      </c>
      <c r="H23" s="1118">
        <v>30</v>
      </c>
      <c r="I23" s="628">
        <f t="shared" si="7"/>
        <v>540.83000000000061</v>
      </c>
      <c r="L23" s="794">
        <f t="shared" si="5"/>
        <v>154</v>
      </c>
      <c r="M23" s="790"/>
      <c r="N23" s="669"/>
      <c r="O23" s="795"/>
      <c r="P23" s="669">
        <f t="shared" si="1"/>
        <v>0</v>
      </c>
      <c r="Q23" s="792"/>
      <c r="R23" s="793"/>
      <c r="S23" s="628">
        <f t="shared" si="8"/>
        <v>4505.2599999999993</v>
      </c>
    </row>
    <row r="24" spans="2:19" x14ac:dyDescent="0.25">
      <c r="B24" s="794">
        <f t="shared" si="2"/>
        <v>9</v>
      </c>
      <c r="C24" s="790">
        <v>7</v>
      </c>
      <c r="D24" s="1177">
        <v>203.49</v>
      </c>
      <c r="E24" s="1119">
        <v>44967</v>
      </c>
      <c r="F24" s="1115">
        <f t="shared" si="3"/>
        <v>203.49</v>
      </c>
      <c r="G24" s="1117" t="s">
        <v>450</v>
      </c>
      <c r="H24" s="1118">
        <v>30</v>
      </c>
      <c r="I24" s="628">
        <f t="shared" si="7"/>
        <v>337.3400000000006</v>
      </c>
      <c r="L24" s="794">
        <f t="shared" si="5"/>
        <v>154</v>
      </c>
      <c r="M24" s="790"/>
      <c r="N24" s="669"/>
      <c r="O24" s="795"/>
      <c r="P24" s="669">
        <f t="shared" si="1"/>
        <v>0</v>
      </c>
      <c r="Q24" s="792"/>
      <c r="R24" s="793"/>
      <c r="S24" s="628">
        <f t="shared" si="8"/>
        <v>4505.2599999999993</v>
      </c>
    </row>
    <row r="25" spans="2:19" x14ac:dyDescent="0.25">
      <c r="B25" s="794">
        <f t="shared" si="2"/>
        <v>9</v>
      </c>
      <c r="C25" s="790"/>
      <c r="D25" s="1115"/>
      <c r="E25" s="1119"/>
      <c r="F25" s="1115">
        <f t="shared" si="3"/>
        <v>0</v>
      </c>
      <c r="G25" s="1117"/>
      <c r="H25" s="1118"/>
      <c r="I25" s="628">
        <f t="shared" si="7"/>
        <v>337.3400000000006</v>
      </c>
      <c r="L25" s="794">
        <f t="shared" si="5"/>
        <v>154</v>
      </c>
      <c r="M25" s="790"/>
      <c r="N25" s="669"/>
      <c r="O25" s="795"/>
      <c r="P25" s="669">
        <f t="shared" si="1"/>
        <v>0</v>
      </c>
      <c r="Q25" s="792"/>
      <c r="R25" s="793"/>
      <c r="S25" s="628">
        <f t="shared" si="8"/>
        <v>4505.2599999999993</v>
      </c>
    </row>
    <row r="26" spans="2:19" x14ac:dyDescent="0.25">
      <c r="B26" s="794">
        <f t="shared" si="2"/>
        <v>9</v>
      </c>
      <c r="C26" s="790"/>
      <c r="D26" s="1115"/>
      <c r="E26" s="1119"/>
      <c r="F26" s="1115">
        <f t="shared" si="3"/>
        <v>0</v>
      </c>
      <c r="G26" s="1117"/>
      <c r="H26" s="1118"/>
      <c r="I26" s="628">
        <f t="shared" si="7"/>
        <v>337.3400000000006</v>
      </c>
      <c r="L26" s="794">
        <f t="shared" si="5"/>
        <v>154</v>
      </c>
      <c r="M26" s="790"/>
      <c r="N26" s="669"/>
      <c r="O26" s="795"/>
      <c r="P26" s="669">
        <f t="shared" si="1"/>
        <v>0</v>
      </c>
      <c r="Q26" s="792"/>
      <c r="R26" s="793"/>
      <c r="S26" s="628">
        <f t="shared" si="8"/>
        <v>4505.2599999999993</v>
      </c>
    </row>
    <row r="27" spans="2:19" x14ac:dyDescent="0.25">
      <c r="B27" s="794">
        <f t="shared" si="2"/>
        <v>9</v>
      </c>
      <c r="C27" s="790"/>
      <c r="D27" s="1115"/>
      <c r="E27" s="1119"/>
      <c r="F27" s="1178">
        <f t="shared" si="3"/>
        <v>0</v>
      </c>
      <c r="G27" s="1179"/>
      <c r="H27" s="1180"/>
      <c r="I27" s="1161">
        <f t="shared" si="7"/>
        <v>337.3400000000006</v>
      </c>
      <c r="L27" s="794">
        <f t="shared" si="5"/>
        <v>154</v>
      </c>
      <c r="M27" s="790"/>
      <c r="N27" s="669"/>
      <c r="O27" s="795"/>
      <c r="P27" s="669">
        <f t="shared" si="1"/>
        <v>0</v>
      </c>
      <c r="Q27" s="792"/>
      <c r="R27" s="793"/>
      <c r="S27" s="628">
        <f t="shared" si="8"/>
        <v>4505.2599999999993</v>
      </c>
    </row>
    <row r="28" spans="2:19" x14ac:dyDescent="0.25">
      <c r="B28" s="341">
        <f t="shared" si="2"/>
        <v>0</v>
      </c>
      <c r="C28" s="330">
        <v>9</v>
      </c>
      <c r="D28" s="1120"/>
      <c r="E28" s="1121"/>
      <c r="F28" s="1178">
        <v>337.34</v>
      </c>
      <c r="G28" s="1179"/>
      <c r="H28" s="1180"/>
      <c r="I28" s="1161">
        <f t="shared" si="7"/>
        <v>6.2527760746888816E-13</v>
      </c>
      <c r="L28" s="341">
        <f t="shared" si="5"/>
        <v>154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4505.2599999999993</v>
      </c>
    </row>
    <row r="29" spans="2:19" x14ac:dyDescent="0.25">
      <c r="B29" s="341">
        <f t="shared" si="2"/>
        <v>0</v>
      </c>
      <c r="C29" s="330"/>
      <c r="D29" s="1120"/>
      <c r="E29" s="1121"/>
      <c r="F29" s="1178">
        <f t="shared" si="3"/>
        <v>0</v>
      </c>
      <c r="G29" s="1179"/>
      <c r="H29" s="1180"/>
      <c r="I29" s="1161">
        <f t="shared" si="7"/>
        <v>6.2527760746888816E-13</v>
      </c>
      <c r="L29" s="341">
        <f t="shared" si="5"/>
        <v>154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4505.2599999999993</v>
      </c>
    </row>
    <row r="30" spans="2:19" x14ac:dyDescent="0.25">
      <c r="B30" s="341">
        <f t="shared" si="2"/>
        <v>0</v>
      </c>
      <c r="C30" s="330"/>
      <c r="D30" s="331"/>
      <c r="E30" s="343"/>
      <c r="F30" s="1181">
        <f t="shared" si="3"/>
        <v>0</v>
      </c>
      <c r="G30" s="1182"/>
      <c r="H30" s="1183"/>
      <c r="I30" s="1161">
        <f t="shared" si="7"/>
        <v>6.2527760746888816E-13</v>
      </c>
      <c r="L30" s="341">
        <f t="shared" si="5"/>
        <v>154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4505.2599999999993</v>
      </c>
    </row>
    <row r="31" spans="2:19" x14ac:dyDescent="0.25">
      <c r="B31" s="341">
        <f t="shared" si="2"/>
        <v>0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6.2527760746888816E-13</v>
      </c>
      <c r="L31" s="341">
        <f t="shared" si="5"/>
        <v>154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4505.2599999999993</v>
      </c>
    </row>
    <row r="32" spans="2:19" x14ac:dyDescent="0.25">
      <c r="B32" s="341">
        <f t="shared" si="2"/>
        <v>0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6.2527760746888816E-13</v>
      </c>
      <c r="L32" s="341">
        <f t="shared" si="5"/>
        <v>154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4505.2599999999993</v>
      </c>
    </row>
    <row r="33" spans="1:19" x14ac:dyDescent="0.25">
      <c r="B33" s="341">
        <f t="shared" si="2"/>
        <v>0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6.2527760746888816E-13</v>
      </c>
      <c r="L33" s="341">
        <f t="shared" si="5"/>
        <v>154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4505.2599999999993</v>
      </c>
    </row>
    <row r="34" spans="1:19" x14ac:dyDescent="0.25">
      <c r="B34" s="341">
        <f t="shared" si="2"/>
        <v>0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6.2527760746888816E-13</v>
      </c>
      <c r="L34" s="341">
        <f t="shared" si="5"/>
        <v>154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4505.2599999999993</v>
      </c>
    </row>
    <row r="35" spans="1:19" x14ac:dyDescent="0.25">
      <c r="B35" s="341">
        <f t="shared" si="2"/>
        <v>0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6.2527760746888816E-13</v>
      </c>
      <c r="L35" s="341">
        <f t="shared" si="5"/>
        <v>154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4505.2599999999993</v>
      </c>
    </row>
    <row r="36" spans="1:19" x14ac:dyDescent="0.25">
      <c r="B36" s="341">
        <f t="shared" si="2"/>
        <v>0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6.2527760746888816E-13</v>
      </c>
      <c r="L36" s="341">
        <f t="shared" si="5"/>
        <v>154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4505.2599999999993</v>
      </c>
    </row>
    <row r="37" spans="1:19" x14ac:dyDescent="0.25">
      <c r="B37" s="341">
        <f t="shared" si="2"/>
        <v>0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6.2527760746888816E-13</v>
      </c>
      <c r="L37" s="341">
        <f t="shared" si="5"/>
        <v>154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4505.2599999999993</v>
      </c>
    </row>
    <row r="38" spans="1:19" x14ac:dyDescent="0.25">
      <c r="B38" s="341">
        <f t="shared" si="2"/>
        <v>0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6.2527760746888816E-13</v>
      </c>
      <c r="L38" s="341">
        <f t="shared" si="5"/>
        <v>154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4505.2599999999993</v>
      </c>
    </row>
    <row r="39" spans="1:19" x14ac:dyDescent="0.25">
      <c r="B39" s="341">
        <f t="shared" si="2"/>
        <v>0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6.2527760746888816E-13</v>
      </c>
      <c r="L39" s="341">
        <f t="shared" si="5"/>
        <v>154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4505.2599999999993</v>
      </c>
    </row>
    <row r="40" spans="1:19" x14ac:dyDescent="0.25">
      <c r="A40" s="75"/>
      <c r="B40" s="341">
        <f t="shared" si="2"/>
        <v>0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6.2527760746888816E-13</v>
      </c>
      <c r="K40" s="75"/>
      <c r="L40" s="341">
        <f t="shared" si="5"/>
        <v>154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4505.2599999999993</v>
      </c>
    </row>
    <row r="41" spans="1:19" x14ac:dyDescent="0.25">
      <c r="B41" s="341">
        <f t="shared" si="2"/>
        <v>0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6.2527760746888816E-13</v>
      </c>
      <c r="L41" s="341">
        <f t="shared" si="5"/>
        <v>154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4505.2599999999993</v>
      </c>
    </row>
    <row r="42" spans="1:19" x14ac:dyDescent="0.25">
      <c r="B42" s="341">
        <f t="shared" si="2"/>
        <v>0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6.2527760746888816E-13</v>
      </c>
      <c r="L42" s="341">
        <f t="shared" si="5"/>
        <v>154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4505.2599999999993</v>
      </c>
    </row>
    <row r="43" spans="1:19" x14ac:dyDescent="0.25">
      <c r="B43" s="341">
        <f t="shared" si="2"/>
        <v>0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6.2527760746888816E-13</v>
      </c>
      <c r="L43" s="341">
        <f t="shared" si="5"/>
        <v>154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4505.2599999999993</v>
      </c>
    </row>
    <row r="44" spans="1:19" x14ac:dyDescent="0.25">
      <c r="B44" s="341">
        <f t="shared" si="2"/>
        <v>0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6.2527760746888816E-13</v>
      </c>
      <c r="L44" s="341">
        <f t="shared" si="5"/>
        <v>154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4505.2599999999993</v>
      </c>
    </row>
    <row r="45" spans="1:19" x14ac:dyDescent="0.25">
      <c r="B45" s="341">
        <f t="shared" si="2"/>
        <v>0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6.2527760746888816E-13</v>
      </c>
      <c r="L45" s="341">
        <f t="shared" si="5"/>
        <v>154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4505.2599999999993</v>
      </c>
    </row>
    <row r="46" spans="1:19" x14ac:dyDescent="0.25">
      <c r="B46" s="341">
        <f t="shared" si="2"/>
        <v>0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6.2527760746888816E-13</v>
      </c>
      <c r="L46" s="341">
        <f t="shared" si="5"/>
        <v>154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4505.2599999999993</v>
      </c>
    </row>
    <row r="47" spans="1:19" x14ac:dyDescent="0.25">
      <c r="B47" s="341">
        <f t="shared" si="2"/>
        <v>0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6.2527760746888816E-13</v>
      </c>
      <c r="L47" s="341">
        <f t="shared" si="5"/>
        <v>154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4505.2599999999993</v>
      </c>
    </row>
    <row r="48" spans="1:19" x14ac:dyDescent="0.25">
      <c r="B48" s="341">
        <f t="shared" si="2"/>
        <v>0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6.2527760746888816E-13</v>
      </c>
      <c r="L48" s="341">
        <f t="shared" si="5"/>
        <v>154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4505.2599999999993</v>
      </c>
    </row>
    <row r="49" spans="1:19" x14ac:dyDescent="0.25">
      <c r="B49" s="341">
        <f t="shared" si="2"/>
        <v>0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6.2527760746888816E-13</v>
      </c>
      <c r="L49" s="341">
        <f t="shared" si="5"/>
        <v>154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4505.2599999999993</v>
      </c>
    </row>
    <row r="50" spans="1:19" x14ac:dyDescent="0.25">
      <c r="B50" s="341">
        <f t="shared" si="2"/>
        <v>0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6.2527760746888816E-13</v>
      </c>
      <c r="L50" s="341">
        <f t="shared" si="5"/>
        <v>154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4505.2599999999993</v>
      </c>
    </row>
    <row r="51" spans="1:19" x14ac:dyDescent="0.25">
      <c r="B51" s="341">
        <f t="shared" si="2"/>
        <v>0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6.2527760746888816E-13</v>
      </c>
      <c r="L51" s="341">
        <f t="shared" si="5"/>
        <v>154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4505.2599999999993</v>
      </c>
    </row>
    <row r="52" spans="1:19" x14ac:dyDescent="0.25">
      <c r="B52" s="341">
        <f t="shared" si="2"/>
        <v>0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6.2527760746888816E-13</v>
      </c>
      <c r="L52" s="341">
        <f t="shared" si="5"/>
        <v>154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4505.2599999999993</v>
      </c>
    </row>
    <row r="53" spans="1:19" x14ac:dyDescent="0.25">
      <c r="B53" s="341">
        <f t="shared" si="2"/>
        <v>0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6.2527760746888816E-13</v>
      </c>
      <c r="L53" s="341">
        <f t="shared" si="5"/>
        <v>154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4505.2599999999993</v>
      </c>
    </row>
    <row r="54" spans="1:19" x14ac:dyDescent="0.25">
      <c r="B54" s="341">
        <f t="shared" si="2"/>
        <v>0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6.2527760746888816E-13</v>
      </c>
      <c r="L54" s="341">
        <f t="shared" si="5"/>
        <v>154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4505.2599999999993</v>
      </c>
    </row>
    <row r="55" spans="1:19" x14ac:dyDescent="0.25">
      <c r="B55" s="341">
        <f t="shared" si="2"/>
        <v>0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6.2527760746888816E-13</v>
      </c>
      <c r="L55" s="341">
        <f t="shared" si="5"/>
        <v>154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4505.2599999999993</v>
      </c>
    </row>
    <row r="56" spans="1:19" x14ac:dyDescent="0.25">
      <c r="B56" s="341">
        <f t="shared" si="2"/>
        <v>0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6.2527760746888816E-13</v>
      </c>
      <c r="L56" s="341">
        <f t="shared" si="5"/>
        <v>154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4505.2599999999993</v>
      </c>
    </row>
    <row r="57" spans="1:19" x14ac:dyDescent="0.25">
      <c r="B57" s="341">
        <f t="shared" si="2"/>
        <v>0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6.2527760746888816E-13</v>
      </c>
      <c r="L57" s="341">
        <f t="shared" si="5"/>
        <v>154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4505.2599999999993</v>
      </c>
    </row>
    <row r="58" spans="1:19" x14ac:dyDescent="0.25">
      <c r="B58" s="341">
        <f t="shared" si="2"/>
        <v>0</v>
      </c>
      <c r="C58" s="330"/>
      <c r="D58" s="331"/>
      <c r="E58" s="471"/>
      <c r="F58" s="331"/>
      <c r="G58" s="616"/>
      <c r="H58" s="622"/>
      <c r="I58" s="129">
        <f t="shared" si="7"/>
        <v>6.2527760746888816E-13</v>
      </c>
      <c r="L58" s="341">
        <f t="shared" si="5"/>
        <v>154</v>
      </c>
      <c r="M58" s="330"/>
      <c r="N58" s="331"/>
      <c r="O58" s="471"/>
      <c r="P58" s="331"/>
      <c r="Q58" s="616"/>
      <c r="R58" s="622"/>
      <c r="S58" s="129">
        <f t="shared" si="8"/>
        <v>4505.2599999999993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96</v>
      </c>
      <c r="D62" s="103">
        <f>SUM(D10:D61)</f>
        <v>2578.2699999999995</v>
      </c>
      <c r="E62" s="75"/>
      <c r="F62" s="103">
        <f>SUM(F10:F61)</f>
        <v>2915.6099999999997</v>
      </c>
      <c r="G62" s="75"/>
      <c r="H62" s="75"/>
      <c r="K62" s="75"/>
      <c r="L62" s="75"/>
      <c r="M62" s="75">
        <f>SUM(M10:M61)</f>
        <v>60</v>
      </c>
      <c r="N62" s="103">
        <f>SUM(N10:N61)</f>
        <v>1754.85</v>
      </c>
      <c r="O62" s="75"/>
      <c r="P62" s="103">
        <f>SUM(P10:P61)</f>
        <v>1754.85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0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4505.26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0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154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4" sqref="G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386" t="s">
        <v>288</v>
      </c>
      <c r="B1" s="1386"/>
      <c r="C1" s="1386"/>
      <c r="D1" s="1386"/>
      <c r="E1" s="1386"/>
      <c r="F1" s="1386"/>
      <c r="G1" s="13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3" t="s">
        <v>105</v>
      </c>
      <c r="C4" s="100"/>
      <c r="D4" s="132"/>
      <c r="E4" s="86">
        <v>363.31</v>
      </c>
      <c r="F4" s="73">
        <v>5</v>
      </c>
      <c r="G4" s="843"/>
    </row>
    <row r="5" spans="1:9" x14ac:dyDescent="0.25">
      <c r="A5" s="75" t="s">
        <v>52</v>
      </c>
      <c r="B5" s="1474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0">
        <f>F4+F5+F6-C8</f>
        <v>117</v>
      </c>
      <c r="C8" s="960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251</v>
      </c>
      <c r="H8" s="237">
        <v>78</v>
      </c>
      <c r="I8" s="721">
        <f>E4+E5+E6-F8</f>
        <v>3005.66</v>
      </c>
    </row>
    <row r="9" spans="1:9" x14ac:dyDescent="0.25">
      <c r="A9" s="75"/>
      <c r="B9" s="740">
        <f>B8-C9</f>
        <v>74</v>
      </c>
      <c r="C9" s="960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265</v>
      </c>
      <c r="H9" s="237">
        <v>72</v>
      </c>
      <c r="I9" s="721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20">
        <v>165.83</v>
      </c>
      <c r="E10" s="1132">
        <v>44959</v>
      </c>
      <c r="F10" s="582">
        <f t="shared" ref="F10:F28" si="3">D10</f>
        <v>165.83</v>
      </c>
      <c r="G10" s="1144" t="s">
        <v>505</v>
      </c>
      <c r="H10" s="1145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60</v>
      </c>
      <c r="C11" s="575">
        <v>7</v>
      </c>
      <c r="D11" s="1120">
        <v>163.38999999999999</v>
      </c>
      <c r="E11" s="1132">
        <v>44973</v>
      </c>
      <c r="F11" s="582">
        <f t="shared" si="3"/>
        <v>163.38999999999999</v>
      </c>
      <c r="G11" s="1144" t="s">
        <v>584</v>
      </c>
      <c r="H11" s="1145">
        <v>78</v>
      </c>
      <c r="I11" s="129">
        <f t="shared" si="4"/>
        <v>1667.1</v>
      </c>
    </row>
    <row r="12" spans="1:9" x14ac:dyDescent="0.25">
      <c r="A12" s="75"/>
      <c r="B12" s="404">
        <f t="shared" si="2"/>
        <v>58</v>
      </c>
      <c r="C12" s="575">
        <v>2</v>
      </c>
      <c r="D12" s="1120">
        <v>47.26</v>
      </c>
      <c r="E12" s="1132">
        <v>44985</v>
      </c>
      <c r="F12" s="582">
        <f t="shared" si="3"/>
        <v>47.26</v>
      </c>
      <c r="G12" s="1144" t="s">
        <v>669</v>
      </c>
      <c r="H12" s="1145">
        <v>78</v>
      </c>
      <c r="I12" s="129">
        <f t="shared" si="4"/>
        <v>1619.84</v>
      </c>
    </row>
    <row r="13" spans="1:9" x14ac:dyDescent="0.25">
      <c r="A13" s="75"/>
      <c r="B13" s="404">
        <f t="shared" si="2"/>
        <v>51</v>
      </c>
      <c r="C13" s="575">
        <v>7</v>
      </c>
      <c r="D13" s="1120">
        <v>162.03</v>
      </c>
      <c r="E13" s="1132">
        <v>44988</v>
      </c>
      <c r="F13" s="582">
        <f t="shared" si="3"/>
        <v>162.03</v>
      </c>
      <c r="G13" s="1144" t="s">
        <v>705</v>
      </c>
      <c r="H13" s="1145">
        <v>72</v>
      </c>
      <c r="I13" s="129">
        <f t="shared" si="4"/>
        <v>1457.81</v>
      </c>
    </row>
    <row r="14" spans="1:9" x14ac:dyDescent="0.25">
      <c r="B14" s="404">
        <f t="shared" si="2"/>
        <v>51</v>
      </c>
      <c r="C14" s="575"/>
      <c r="D14" s="1120"/>
      <c r="E14" s="1132"/>
      <c r="F14" s="582">
        <f t="shared" si="3"/>
        <v>0</v>
      </c>
      <c r="G14" s="1144"/>
      <c r="H14" s="1145"/>
      <c r="I14" s="129">
        <f t="shared" si="4"/>
        <v>1457.81</v>
      </c>
    </row>
    <row r="15" spans="1:9" x14ac:dyDescent="0.25">
      <c r="B15" s="404">
        <f t="shared" si="2"/>
        <v>51</v>
      </c>
      <c r="C15" s="575"/>
      <c r="D15" s="1120"/>
      <c r="E15" s="1132"/>
      <c r="F15" s="582">
        <f t="shared" si="3"/>
        <v>0</v>
      </c>
      <c r="G15" s="1144"/>
      <c r="H15" s="1145"/>
      <c r="I15" s="129">
        <f t="shared" si="4"/>
        <v>1457.81</v>
      </c>
    </row>
    <row r="16" spans="1:9" x14ac:dyDescent="0.25">
      <c r="B16" s="404">
        <f t="shared" si="2"/>
        <v>51</v>
      </c>
      <c r="C16" s="575"/>
      <c r="D16" s="1120"/>
      <c r="E16" s="1132"/>
      <c r="F16" s="582">
        <f t="shared" si="3"/>
        <v>0</v>
      </c>
      <c r="G16" s="1144"/>
      <c r="H16" s="1146"/>
      <c r="I16" s="129">
        <f t="shared" si="4"/>
        <v>1457.81</v>
      </c>
    </row>
    <row r="17" spans="1:9" x14ac:dyDescent="0.25">
      <c r="B17" s="404">
        <f t="shared" si="2"/>
        <v>51</v>
      </c>
      <c r="C17" s="575"/>
      <c r="D17" s="1120"/>
      <c r="E17" s="1132"/>
      <c r="F17" s="582">
        <f t="shared" si="3"/>
        <v>0</v>
      </c>
      <c r="G17" s="1144"/>
      <c r="H17" s="1146"/>
      <c r="I17" s="129">
        <f t="shared" si="4"/>
        <v>1457.81</v>
      </c>
    </row>
    <row r="18" spans="1:9" x14ac:dyDescent="0.25">
      <c r="B18" s="404">
        <f t="shared" si="2"/>
        <v>51</v>
      </c>
      <c r="C18" s="575"/>
      <c r="D18" s="1120"/>
      <c r="E18" s="1132"/>
      <c r="F18" s="582">
        <f t="shared" si="3"/>
        <v>0</v>
      </c>
      <c r="G18" s="1144"/>
      <c r="H18" s="1146"/>
      <c r="I18" s="129">
        <f t="shared" si="4"/>
        <v>1457.81</v>
      </c>
    </row>
    <row r="19" spans="1:9" x14ac:dyDescent="0.25">
      <c r="B19" s="404">
        <f t="shared" si="2"/>
        <v>51</v>
      </c>
      <c r="C19" s="575"/>
      <c r="D19" s="1120"/>
      <c r="E19" s="1132"/>
      <c r="F19" s="582">
        <f t="shared" si="3"/>
        <v>0</v>
      </c>
      <c r="G19" s="1144"/>
      <c r="H19" s="1146"/>
      <c r="I19" s="129">
        <f t="shared" si="4"/>
        <v>1457.81</v>
      </c>
    </row>
    <row r="20" spans="1:9" x14ac:dyDescent="0.25">
      <c r="B20" s="404">
        <f t="shared" si="2"/>
        <v>51</v>
      </c>
      <c r="C20" s="575"/>
      <c r="D20" s="1120"/>
      <c r="E20" s="1132"/>
      <c r="F20" s="582">
        <f t="shared" si="3"/>
        <v>0</v>
      </c>
      <c r="G20" s="1144"/>
      <c r="H20" s="1146"/>
      <c r="I20" s="129">
        <f t="shared" si="4"/>
        <v>1457.81</v>
      </c>
    </row>
    <row r="21" spans="1:9" x14ac:dyDescent="0.25">
      <c r="B21" s="404">
        <f t="shared" si="2"/>
        <v>51</v>
      </c>
      <c r="C21" s="575"/>
      <c r="D21" s="1120"/>
      <c r="E21" s="1132"/>
      <c r="F21" s="582">
        <f t="shared" si="3"/>
        <v>0</v>
      </c>
      <c r="G21" s="1144"/>
      <c r="H21" s="1147"/>
      <c r="I21" s="129">
        <f t="shared" si="4"/>
        <v>1457.81</v>
      </c>
    </row>
    <row r="22" spans="1:9" x14ac:dyDescent="0.25">
      <c r="B22" s="404">
        <f t="shared" si="2"/>
        <v>51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1457.81</v>
      </c>
    </row>
    <row r="23" spans="1:9" x14ac:dyDescent="0.25">
      <c r="B23" s="404">
        <f t="shared" si="2"/>
        <v>51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1457.81</v>
      </c>
    </row>
    <row r="24" spans="1:9" x14ac:dyDescent="0.25">
      <c r="B24" s="404">
        <f t="shared" si="2"/>
        <v>51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1457.81</v>
      </c>
    </row>
    <row r="25" spans="1:9" x14ac:dyDescent="0.25">
      <c r="B25" s="404">
        <f t="shared" si="2"/>
        <v>51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1457.81</v>
      </c>
    </row>
    <row r="26" spans="1:9" x14ac:dyDescent="0.25">
      <c r="B26" s="404">
        <f t="shared" si="2"/>
        <v>51</v>
      </c>
      <c r="C26" s="575"/>
      <c r="D26" s="331"/>
      <c r="E26" s="131"/>
      <c r="F26" s="92">
        <f t="shared" si="3"/>
        <v>0</v>
      </c>
      <c r="G26" s="961"/>
      <c r="H26" s="149"/>
      <c r="I26" s="129">
        <f t="shared" si="4"/>
        <v>1457.81</v>
      </c>
    </row>
    <row r="27" spans="1:9" x14ac:dyDescent="0.25">
      <c r="B27" s="404">
        <f t="shared" si="2"/>
        <v>51</v>
      </c>
      <c r="C27" s="575"/>
      <c r="D27" s="962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4">
        <f t="shared" si="2"/>
        <v>51</v>
      </c>
      <c r="C28" s="575"/>
      <c r="D28" s="962"/>
      <c r="E28" s="963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6" t="s">
        <v>291</v>
      </c>
      <c r="B1" s="1386"/>
      <c r="C1" s="1386"/>
      <c r="D1" s="1386"/>
      <c r="E1" s="1386"/>
      <c r="F1" s="1386"/>
      <c r="G1" s="13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3" t="s">
        <v>110</v>
      </c>
      <c r="C4" s="100"/>
      <c r="D4" s="132"/>
      <c r="E4" s="86"/>
      <c r="F4" s="73"/>
      <c r="G4" s="231"/>
    </row>
    <row r="5" spans="1:9" x14ac:dyDescent="0.25">
      <c r="A5" s="1400" t="s">
        <v>94</v>
      </c>
      <c r="B5" s="1474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40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112</v>
      </c>
      <c r="H8" s="71">
        <v>57</v>
      </c>
      <c r="I8" s="721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115</v>
      </c>
      <c r="H9" s="324">
        <v>57</v>
      </c>
      <c r="I9" s="129">
        <f>I8-D9</f>
        <v>1946.2300000000002</v>
      </c>
    </row>
    <row r="10" spans="1:9" x14ac:dyDescent="0.25">
      <c r="A10" s="75"/>
      <c r="B10" s="745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116</v>
      </c>
      <c r="H10" s="679">
        <v>57</v>
      </c>
      <c r="I10" s="721">
        <f t="shared" ref="I10:I28" si="2">I9-D10</f>
        <v>1919.0100000000002</v>
      </c>
    </row>
    <row r="11" spans="1:9" x14ac:dyDescent="0.25">
      <c r="A11" s="55"/>
      <c r="B11" s="745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4" t="s">
        <v>164</v>
      </c>
      <c r="H11" s="372">
        <v>57</v>
      </c>
      <c r="I11" s="721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36">
        <v>762.16</v>
      </c>
      <c r="E12" s="940">
        <v>44940</v>
      </c>
      <c r="F12" s="936">
        <f t="shared" si="0"/>
        <v>762.16</v>
      </c>
      <c r="G12" s="915" t="s">
        <v>229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36">
        <v>13.61</v>
      </c>
      <c r="E13" s="940">
        <v>44943</v>
      </c>
      <c r="F13" s="936">
        <f t="shared" si="0"/>
        <v>13.61</v>
      </c>
      <c r="G13" s="915" t="s">
        <v>232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36">
        <v>13.61</v>
      </c>
      <c r="E14" s="940">
        <v>44944</v>
      </c>
      <c r="F14" s="936">
        <f t="shared" si="0"/>
        <v>13.61</v>
      </c>
      <c r="G14" s="915" t="s">
        <v>234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36">
        <v>13.61</v>
      </c>
      <c r="E15" s="940">
        <v>44947</v>
      </c>
      <c r="F15" s="936">
        <f t="shared" si="0"/>
        <v>13.61</v>
      </c>
      <c r="G15" s="915" t="s">
        <v>253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36">
        <v>81.66</v>
      </c>
      <c r="E16" s="940">
        <v>44947</v>
      </c>
      <c r="F16" s="936">
        <f t="shared" si="0"/>
        <v>81.66</v>
      </c>
      <c r="G16" s="915" t="s">
        <v>254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40">
        <v>44949</v>
      </c>
      <c r="F17" s="936">
        <f t="shared" si="0"/>
        <v>68.05</v>
      </c>
      <c r="G17" s="915" t="s">
        <v>252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36">
        <v>666.89</v>
      </c>
      <c r="E18" s="940">
        <v>44949</v>
      </c>
      <c r="F18" s="936">
        <f t="shared" si="0"/>
        <v>666.89</v>
      </c>
      <c r="G18" s="915" t="s">
        <v>259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36">
        <v>68.05</v>
      </c>
      <c r="E19" s="940">
        <v>44951</v>
      </c>
      <c r="F19" s="936">
        <f t="shared" si="0"/>
        <v>68.05</v>
      </c>
      <c r="G19" s="915" t="s">
        <v>264</v>
      </c>
      <c r="H19" s="201">
        <v>57</v>
      </c>
      <c r="I19" s="129">
        <f t="shared" si="2"/>
        <v>204.15000000000049</v>
      </c>
    </row>
    <row r="20" spans="1:9" x14ac:dyDescent="0.25">
      <c r="B20" s="745">
        <f t="shared" si="1"/>
        <v>9</v>
      </c>
      <c r="C20" s="15">
        <v>6</v>
      </c>
      <c r="D20" s="936">
        <v>81.66</v>
      </c>
      <c r="E20" s="940">
        <v>44954</v>
      </c>
      <c r="F20" s="936">
        <f t="shared" si="0"/>
        <v>81.66</v>
      </c>
      <c r="G20" s="915" t="s">
        <v>273</v>
      </c>
      <c r="H20" s="201">
        <v>57</v>
      </c>
      <c r="I20" s="721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138">
        <v>68.05</v>
      </c>
      <c r="E21" s="1139">
        <v>44959</v>
      </c>
      <c r="F21" s="1138">
        <f t="shared" si="0"/>
        <v>68.05</v>
      </c>
      <c r="G21" s="1140" t="s">
        <v>503</v>
      </c>
      <c r="H21" s="1141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138"/>
      <c r="E22" s="1139"/>
      <c r="F22" s="1138">
        <f t="shared" si="0"/>
        <v>0</v>
      </c>
      <c r="G22" s="1140"/>
      <c r="H22" s="1141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138"/>
      <c r="E23" s="1139"/>
      <c r="F23" s="1138">
        <f t="shared" si="0"/>
        <v>0</v>
      </c>
      <c r="G23" s="1140"/>
      <c r="H23" s="1141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138"/>
      <c r="E24" s="1139"/>
      <c r="F24" s="1138">
        <f t="shared" si="0"/>
        <v>0</v>
      </c>
      <c r="G24" s="1142"/>
      <c r="H24" s="1141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138"/>
      <c r="E25" s="1139"/>
      <c r="F25" s="1138">
        <f t="shared" si="0"/>
        <v>0</v>
      </c>
      <c r="G25" s="1142"/>
      <c r="H25" s="1141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138"/>
      <c r="E26" s="1139"/>
      <c r="F26" s="1138">
        <f t="shared" si="0"/>
        <v>0</v>
      </c>
      <c r="G26" s="1142"/>
      <c r="H26" s="1141"/>
      <c r="I26" s="129">
        <f t="shared" si="2"/>
        <v>54.440000000000495</v>
      </c>
    </row>
    <row r="27" spans="1:9" x14ac:dyDescent="0.25">
      <c r="B27" s="104"/>
      <c r="C27" s="15"/>
      <c r="D27" s="1138"/>
      <c r="E27" s="1139"/>
      <c r="F27" s="1138">
        <f t="shared" si="0"/>
        <v>0</v>
      </c>
      <c r="G27" s="1142"/>
      <c r="H27" s="1143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1"/>
      <c r="F30" s="6"/>
    </row>
    <row r="31" spans="1:9" ht="15.75" thickBot="1" x14ac:dyDescent="0.3">
      <c r="B31" s="74"/>
      <c r="C31" s="87"/>
      <c r="D31" s="76"/>
      <c r="E31" s="712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20" sqref="C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90" t="s">
        <v>275</v>
      </c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ht="22.5" customHeight="1" x14ac:dyDescent="0.25">
      <c r="A5" s="220"/>
      <c r="B5" s="1391" t="s">
        <v>689</v>
      </c>
      <c r="C5" s="379">
        <v>56</v>
      </c>
      <c r="D5" s="131">
        <v>44989</v>
      </c>
      <c r="E5" s="204">
        <v>2036.85</v>
      </c>
      <c r="F5" s="62">
        <v>69</v>
      </c>
      <c r="G5" s="5"/>
    </row>
    <row r="6" spans="1:9" ht="20.25" x14ac:dyDescent="0.3">
      <c r="A6" s="855" t="s">
        <v>52</v>
      </c>
      <c r="B6" s="1391"/>
      <c r="C6" s="223"/>
      <c r="D6" s="131"/>
      <c r="E6" s="742"/>
      <c r="F6" s="763"/>
      <c r="G6" s="47">
        <f>F78</f>
        <v>2036.85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69</v>
      </c>
      <c r="D9" s="69">
        <v>2036.85</v>
      </c>
      <c r="E9" s="198">
        <v>44989</v>
      </c>
      <c r="F9" s="69">
        <f t="shared" ref="F9:F10" si="0">D9</f>
        <v>2036.85</v>
      </c>
      <c r="G9" s="70" t="s">
        <v>469</v>
      </c>
      <c r="H9" s="71">
        <v>58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662"/>
      <c r="F10" s="633">
        <f t="shared" si="0"/>
        <v>0</v>
      </c>
      <c r="G10" s="631"/>
      <c r="H10" s="632"/>
      <c r="I10" s="666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1157">
        <f>D11</f>
        <v>0</v>
      </c>
      <c r="G11" s="1158"/>
      <c r="H11" s="1159"/>
      <c r="I11" s="1150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1157">
        <f>D12</f>
        <v>0</v>
      </c>
      <c r="G12" s="1158"/>
      <c r="H12" s="1159"/>
      <c r="I12" s="115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1157">
        <f t="shared" ref="F13:F73" si="3">D13</f>
        <v>0</v>
      </c>
      <c r="G13" s="1158"/>
      <c r="H13" s="1159"/>
      <c r="I13" s="115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69</v>
      </c>
      <c r="D78" s="6">
        <f>SUM(D9:D77)</f>
        <v>2036.85</v>
      </c>
      <c r="F78" s="6">
        <f>SUM(F9:F77)</f>
        <v>2036.85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88" t="s">
        <v>11</v>
      </c>
      <c r="D83" s="138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5" t="s">
        <v>81</v>
      </c>
      <c r="C4" s="100"/>
      <c r="D4" s="132"/>
      <c r="E4" s="86"/>
      <c r="F4" s="73"/>
      <c r="G4" s="231"/>
    </row>
    <row r="5" spans="1:9" x14ac:dyDescent="0.25">
      <c r="A5" s="75"/>
      <c r="B5" s="1476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0"/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3" t="s">
        <v>98</v>
      </c>
      <c r="C4" s="100"/>
      <c r="D4" s="132"/>
      <c r="E4" s="86"/>
      <c r="F4" s="73"/>
      <c r="G4" s="231"/>
    </row>
    <row r="5" spans="1:9" x14ac:dyDescent="0.25">
      <c r="A5" s="1395"/>
      <c r="B5" s="1474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395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6" t="s">
        <v>292</v>
      </c>
      <c r="B1" s="1386"/>
      <c r="C1" s="1386"/>
      <c r="D1" s="1386"/>
      <c r="E1" s="1386"/>
      <c r="F1" s="1386"/>
      <c r="G1" s="13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7" t="s">
        <v>99</v>
      </c>
      <c r="C4" s="100"/>
      <c r="D4" s="132"/>
      <c r="E4" s="86"/>
      <c r="F4" s="73"/>
      <c r="G4" s="231"/>
    </row>
    <row r="5" spans="1:9" x14ac:dyDescent="0.25">
      <c r="A5" s="1395" t="s">
        <v>143</v>
      </c>
      <c r="B5" s="1478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395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39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229</v>
      </c>
      <c r="H8" s="71">
        <v>42</v>
      </c>
      <c r="I8" s="721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230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237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78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242</v>
      </c>
      <c r="H11" s="71">
        <v>42</v>
      </c>
      <c r="I11" s="721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27">
        <v>44957</v>
      </c>
      <c r="F12" s="582">
        <f t="shared" si="0"/>
        <v>207.4</v>
      </c>
      <c r="G12" s="1128" t="s">
        <v>488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27">
        <v>44957</v>
      </c>
      <c r="F13" s="582">
        <f t="shared" si="0"/>
        <v>238</v>
      </c>
      <c r="G13" s="1128" t="s">
        <v>489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27">
        <v>44959</v>
      </c>
      <c r="F14" s="582">
        <f t="shared" si="0"/>
        <v>24</v>
      </c>
      <c r="G14" s="1128" t="s">
        <v>499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27">
        <v>44959</v>
      </c>
      <c r="F15" s="582">
        <f t="shared" si="0"/>
        <v>60.39</v>
      </c>
      <c r="G15" s="1128" t="s">
        <v>502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27"/>
      <c r="F16" s="582">
        <f t="shared" si="0"/>
        <v>0</v>
      </c>
      <c r="G16" s="1128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10"/>
      <c r="E17" s="1127"/>
      <c r="F17" s="1245">
        <f t="shared" si="0"/>
        <v>0</v>
      </c>
      <c r="G17" s="1246"/>
      <c r="H17" s="1154"/>
      <c r="I17" s="1161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27"/>
      <c r="F18" s="1245">
        <f t="shared" si="0"/>
        <v>0</v>
      </c>
      <c r="G18" s="1246"/>
      <c r="H18" s="1154"/>
      <c r="I18" s="1161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27"/>
      <c r="F19" s="1245">
        <f t="shared" si="0"/>
        <v>0</v>
      </c>
      <c r="G19" s="1246"/>
      <c r="H19" s="1154"/>
      <c r="I19" s="1161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27"/>
      <c r="F20" s="1245">
        <f t="shared" si="0"/>
        <v>0</v>
      </c>
      <c r="G20" s="1246"/>
      <c r="H20" s="1154"/>
      <c r="I20" s="1161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27"/>
      <c r="F21" s="582">
        <f t="shared" si="0"/>
        <v>0</v>
      </c>
      <c r="G21" s="1128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29"/>
      <c r="E22" s="1130"/>
      <c r="F22" s="582">
        <f t="shared" si="0"/>
        <v>0</v>
      </c>
      <c r="G22" s="1128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86" t="s">
        <v>275</v>
      </c>
      <c r="B1" s="1386"/>
      <c r="C1" s="1386"/>
      <c r="D1" s="1386"/>
      <c r="E1" s="1386"/>
      <c r="F1" s="1386"/>
      <c r="G1" s="13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392" t="s">
        <v>144</v>
      </c>
      <c r="C5" s="379"/>
      <c r="D5" s="131"/>
      <c r="E5" s="204"/>
      <c r="F5" s="62"/>
      <c r="G5" s="5"/>
    </row>
    <row r="6" spans="1:9" ht="20.25" x14ac:dyDescent="0.3">
      <c r="A6" s="855" t="s">
        <v>52</v>
      </c>
      <c r="B6" s="1392"/>
      <c r="C6" s="223">
        <v>72</v>
      </c>
      <c r="D6" s="131">
        <v>44925</v>
      </c>
      <c r="E6" s="722">
        <v>713.92</v>
      </c>
      <c r="F6" s="941">
        <v>27</v>
      </c>
      <c r="G6" s="47">
        <f>F78</f>
        <v>713.92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27</v>
      </c>
      <c r="D9" s="69">
        <v>713.92</v>
      </c>
      <c r="E9" s="198">
        <v>44985</v>
      </c>
      <c r="F9" s="69">
        <f t="shared" ref="F9:F10" si="0">D9</f>
        <v>713.92</v>
      </c>
      <c r="G9" s="70" t="s">
        <v>645</v>
      </c>
      <c r="H9" s="71">
        <v>74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198"/>
      <c r="F11" s="1157">
        <f>D11</f>
        <v>0</v>
      </c>
      <c r="G11" s="1158"/>
      <c r="H11" s="1159"/>
      <c r="I11" s="1150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198"/>
      <c r="F12" s="1157">
        <f>D12</f>
        <v>0</v>
      </c>
      <c r="G12" s="1158"/>
      <c r="H12" s="1159"/>
      <c r="I12" s="115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198"/>
      <c r="F13" s="1157">
        <f t="shared" ref="F13:F73" si="3">D13</f>
        <v>0</v>
      </c>
      <c r="G13" s="1158"/>
      <c r="H13" s="1159"/>
      <c r="I13" s="115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198"/>
      <c r="F14" s="1157">
        <f t="shared" si="3"/>
        <v>0</v>
      </c>
      <c r="G14" s="1158"/>
      <c r="H14" s="1159"/>
      <c r="I14" s="115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27</v>
      </c>
      <c r="D78" s="6">
        <f>SUM(D9:D77)</f>
        <v>713.92</v>
      </c>
      <c r="F78" s="6">
        <f>SUM(F9:F77)</f>
        <v>713.92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88" t="s">
        <v>11</v>
      </c>
      <c r="D83" s="138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P15" sqref="P15:S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20"/>
  </cols>
  <sheetData>
    <row r="1" spans="1:19" ht="40.5" x14ac:dyDescent="0.55000000000000004">
      <c r="A1" s="1386" t="s">
        <v>276</v>
      </c>
      <c r="B1" s="1386"/>
      <c r="C1" s="1386"/>
      <c r="D1" s="1386"/>
      <c r="E1" s="1386"/>
      <c r="F1" s="1386"/>
      <c r="G1" s="1386"/>
      <c r="H1" s="11">
        <v>1</v>
      </c>
      <c r="K1" s="1390" t="s">
        <v>391</v>
      </c>
      <c r="L1" s="1390"/>
      <c r="M1" s="1390"/>
      <c r="N1" s="1390"/>
      <c r="O1" s="1390"/>
      <c r="P1" s="1390"/>
      <c r="Q1" s="13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393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393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393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1127.0400000000002</v>
      </c>
      <c r="H6" s="7">
        <f>E6-G6+E7+E5-G5</f>
        <v>-107.07000000000016</v>
      </c>
      <c r="K6" s="392"/>
      <c r="L6" s="1393"/>
      <c r="M6" s="468"/>
      <c r="N6" s="131"/>
      <c r="O6" s="69"/>
      <c r="P6" s="73"/>
      <c r="Q6" s="47">
        <f>P48</f>
        <v>596.09</v>
      </c>
      <c r="R6" s="7">
        <f>O6-Q6+O7+O5-Q5</f>
        <v>0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6">
        <f>F6-C9+F5+F7+F4</f>
        <v>78</v>
      </c>
      <c r="C9" s="942">
        <v>15</v>
      </c>
      <c r="D9" s="633">
        <v>180.93</v>
      </c>
      <c r="E9" s="662">
        <v>44925</v>
      </c>
      <c r="F9" s="633">
        <f>D9</f>
        <v>180.93</v>
      </c>
      <c r="G9" s="631" t="s">
        <v>198</v>
      </c>
      <c r="H9" s="632">
        <v>98</v>
      </c>
      <c r="I9" s="716">
        <f>E6-F9+E5+E7+E4</f>
        <v>946.1099999999999</v>
      </c>
      <c r="K9" s="80" t="s">
        <v>32</v>
      </c>
      <c r="L9" s="776">
        <f>P6-M9+P5+P7+P4</f>
        <v>35</v>
      </c>
      <c r="M9" s="714">
        <v>15</v>
      </c>
      <c r="N9" s="633">
        <v>187.75</v>
      </c>
      <c r="O9" s="662">
        <v>44984</v>
      </c>
      <c r="P9" s="633">
        <f>N9</f>
        <v>187.75</v>
      </c>
      <c r="Q9" s="631" t="s">
        <v>462</v>
      </c>
      <c r="R9" s="632">
        <v>98</v>
      </c>
      <c r="S9" s="666">
        <f>O6-P9+O5+O7+O4</f>
        <v>408.34000000000003</v>
      </c>
    </row>
    <row r="10" spans="1:19" x14ac:dyDescent="0.25">
      <c r="A10" s="190"/>
      <c r="B10" s="83">
        <f>B9-C10</f>
        <v>77</v>
      </c>
      <c r="C10" s="714">
        <v>1</v>
      </c>
      <c r="D10" s="617">
        <v>12.24</v>
      </c>
      <c r="E10" s="911">
        <v>44935</v>
      </c>
      <c r="F10" s="617">
        <f>D10</f>
        <v>12.24</v>
      </c>
      <c r="G10" s="619" t="s">
        <v>221</v>
      </c>
      <c r="H10" s="201">
        <v>98</v>
      </c>
      <c r="I10" s="103">
        <f>I9-F10</f>
        <v>933.86999999999989</v>
      </c>
      <c r="K10" s="190"/>
      <c r="L10" s="83">
        <f>L9-M10</f>
        <v>34</v>
      </c>
      <c r="M10" s="714">
        <v>1</v>
      </c>
      <c r="N10" s="633">
        <v>11.77</v>
      </c>
      <c r="O10" s="662">
        <v>44984</v>
      </c>
      <c r="P10" s="69">
        <f>N10</f>
        <v>11.77</v>
      </c>
      <c r="Q10" s="70" t="s">
        <v>463</v>
      </c>
      <c r="R10" s="71">
        <v>98</v>
      </c>
      <c r="S10" s="666">
        <f>S9-P10</f>
        <v>396.57000000000005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11">
        <v>44937</v>
      </c>
      <c r="F11" s="617">
        <f>D11</f>
        <v>121.66</v>
      </c>
      <c r="G11" s="619" t="s">
        <v>223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22</v>
      </c>
      <c r="M11" s="714">
        <v>12</v>
      </c>
      <c r="N11" s="633">
        <v>142.97</v>
      </c>
      <c r="O11" s="662">
        <v>44984</v>
      </c>
      <c r="P11" s="69">
        <f>N11</f>
        <v>142.97</v>
      </c>
      <c r="Q11" s="70" t="s">
        <v>465</v>
      </c>
      <c r="R11" s="71">
        <v>98</v>
      </c>
      <c r="S11" s="666">
        <f t="shared" ref="S11:S45" si="3">S10-P11</f>
        <v>253.60000000000005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11">
        <v>44947</v>
      </c>
      <c r="F12" s="617">
        <f>D12</f>
        <v>12.57</v>
      </c>
      <c r="G12" s="619" t="s">
        <v>254</v>
      </c>
      <c r="H12" s="201">
        <v>98</v>
      </c>
      <c r="I12" s="103">
        <f t="shared" si="1"/>
        <v>799.63999999999987</v>
      </c>
      <c r="K12" s="178"/>
      <c r="L12" s="83">
        <f t="shared" si="2"/>
        <v>2</v>
      </c>
      <c r="M12" s="714">
        <v>20</v>
      </c>
      <c r="N12" s="633">
        <v>230.19</v>
      </c>
      <c r="O12" s="662">
        <v>44988</v>
      </c>
      <c r="P12" s="69">
        <f>N12</f>
        <v>230.19</v>
      </c>
      <c r="Q12" s="70" t="s">
        <v>711</v>
      </c>
      <c r="R12" s="71">
        <v>98</v>
      </c>
      <c r="S12" s="666">
        <f t="shared" si="3"/>
        <v>23.410000000000053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11">
        <v>44952</v>
      </c>
      <c r="F13" s="617">
        <f t="shared" ref="F13:F45" si="4">D13</f>
        <v>123.17</v>
      </c>
      <c r="G13" s="619" t="s">
        <v>270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1</v>
      </c>
      <c r="M13" s="714">
        <v>1</v>
      </c>
      <c r="N13" s="633">
        <v>11.43</v>
      </c>
      <c r="O13" s="662">
        <v>44989</v>
      </c>
      <c r="P13" s="69">
        <f t="shared" ref="P13:P45" si="5">N13</f>
        <v>11.43</v>
      </c>
      <c r="Q13" s="70" t="s">
        <v>725</v>
      </c>
      <c r="R13" s="71">
        <v>98</v>
      </c>
      <c r="S13" s="666">
        <f t="shared" si="3"/>
        <v>11.980000000000054</v>
      </c>
    </row>
    <row r="14" spans="1:19" x14ac:dyDescent="0.25">
      <c r="A14" s="73"/>
      <c r="B14" s="83">
        <f t="shared" si="0"/>
        <v>51</v>
      </c>
      <c r="C14" s="942">
        <v>5</v>
      </c>
      <c r="D14" s="617">
        <v>60.81</v>
      </c>
      <c r="E14" s="911">
        <v>44953</v>
      </c>
      <c r="F14" s="617">
        <f t="shared" si="4"/>
        <v>60.81</v>
      </c>
      <c r="G14" s="619" t="s">
        <v>267</v>
      </c>
      <c r="H14" s="201">
        <v>98</v>
      </c>
      <c r="I14" s="716">
        <f t="shared" si="1"/>
        <v>615.65999999999985</v>
      </c>
      <c r="K14" s="73"/>
      <c r="L14" s="83">
        <f t="shared" si="2"/>
        <v>0</v>
      </c>
      <c r="M14" s="714">
        <v>1</v>
      </c>
      <c r="N14" s="633">
        <v>11.98</v>
      </c>
      <c r="O14" s="662">
        <v>44989</v>
      </c>
      <c r="P14" s="69">
        <f t="shared" si="5"/>
        <v>11.98</v>
      </c>
      <c r="Q14" s="70" t="s">
        <v>468</v>
      </c>
      <c r="R14" s="71">
        <v>98</v>
      </c>
      <c r="S14" s="666">
        <f t="shared" si="3"/>
        <v>5.3290705182007514E-14</v>
      </c>
    </row>
    <row r="15" spans="1:19" x14ac:dyDescent="0.25">
      <c r="A15" s="73"/>
      <c r="B15" s="83">
        <f t="shared" si="0"/>
        <v>50</v>
      </c>
      <c r="C15" s="15">
        <v>1</v>
      </c>
      <c r="D15" s="1110">
        <v>12.2</v>
      </c>
      <c r="E15" s="1126">
        <v>44956</v>
      </c>
      <c r="F15" s="1110">
        <f t="shared" si="4"/>
        <v>12.2</v>
      </c>
      <c r="G15" s="580" t="s">
        <v>485</v>
      </c>
      <c r="H15" s="372">
        <v>98</v>
      </c>
      <c r="I15" s="103">
        <f t="shared" si="1"/>
        <v>603.45999999999981</v>
      </c>
      <c r="K15" s="73"/>
      <c r="L15" s="83">
        <f t="shared" si="2"/>
        <v>0</v>
      </c>
      <c r="M15" s="714"/>
      <c r="N15" s="633"/>
      <c r="O15" s="662"/>
      <c r="P15" s="1157">
        <f t="shared" si="5"/>
        <v>0</v>
      </c>
      <c r="Q15" s="1158"/>
      <c r="R15" s="1159"/>
      <c r="S15" s="1150">
        <f t="shared" si="3"/>
        <v>5.3290705182007514E-14</v>
      </c>
    </row>
    <row r="16" spans="1:19" x14ac:dyDescent="0.25">
      <c r="B16" s="83">
        <f t="shared" si="0"/>
        <v>40</v>
      </c>
      <c r="C16" s="15">
        <v>10</v>
      </c>
      <c r="D16" s="1110">
        <v>120.95</v>
      </c>
      <c r="E16" s="1126">
        <v>44960</v>
      </c>
      <c r="F16" s="1110">
        <f t="shared" si="4"/>
        <v>120.95</v>
      </c>
      <c r="G16" s="580" t="s">
        <v>512</v>
      </c>
      <c r="H16" s="372">
        <v>98</v>
      </c>
      <c r="I16" s="103">
        <f t="shared" si="1"/>
        <v>482.50999999999982</v>
      </c>
      <c r="L16" s="83">
        <f t="shared" si="2"/>
        <v>0</v>
      </c>
      <c r="M16" s="15"/>
      <c r="N16" s="69"/>
      <c r="O16" s="198"/>
      <c r="P16" s="1157">
        <f t="shared" si="5"/>
        <v>0</v>
      </c>
      <c r="Q16" s="1158"/>
      <c r="R16" s="1159"/>
      <c r="S16" s="1150">
        <f t="shared" si="3"/>
        <v>5.3290705182007514E-14</v>
      </c>
    </row>
    <row r="17" spans="1:19" x14ac:dyDescent="0.25">
      <c r="B17" s="83">
        <f t="shared" si="0"/>
        <v>35</v>
      </c>
      <c r="C17" s="15">
        <v>5</v>
      </c>
      <c r="D17" s="1110">
        <v>61.16</v>
      </c>
      <c r="E17" s="1126">
        <v>44961</v>
      </c>
      <c r="F17" s="1110">
        <f t="shared" si="4"/>
        <v>61.16</v>
      </c>
      <c r="G17" s="580" t="s">
        <v>517</v>
      </c>
      <c r="H17" s="372">
        <v>98</v>
      </c>
      <c r="I17" s="103">
        <f t="shared" si="1"/>
        <v>421.3499999999998</v>
      </c>
      <c r="L17" s="83">
        <f t="shared" si="2"/>
        <v>0</v>
      </c>
      <c r="M17" s="15"/>
      <c r="N17" s="69"/>
      <c r="O17" s="198"/>
      <c r="P17" s="1157">
        <f t="shared" si="5"/>
        <v>0</v>
      </c>
      <c r="Q17" s="1158"/>
      <c r="R17" s="1159"/>
      <c r="S17" s="1150">
        <f t="shared" si="3"/>
        <v>5.3290705182007514E-14</v>
      </c>
    </row>
    <row r="18" spans="1:19" x14ac:dyDescent="0.25">
      <c r="A18" s="119"/>
      <c r="B18" s="83">
        <f t="shared" si="0"/>
        <v>25</v>
      </c>
      <c r="C18" s="15">
        <v>10</v>
      </c>
      <c r="D18" s="1110">
        <v>123.44</v>
      </c>
      <c r="E18" s="1126">
        <v>44965</v>
      </c>
      <c r="F18" s="1110">
        <f t="shared" si="4"/>
        <v>123.44</v>
      </c>
      <c r="G18" s="580" t="s">
        <v>547</v>
      </c>
      <c r="H18" s="372">
        <v>98</v>
      </c>
      <c r="I18" s="103">
        <f t="shared" si="1"/>
        <v>297.9099999999998</v>
      </c>
      <c r="K18" s="119"/>
      <c r="L18" s="83">
        <f t="shared" si="2"/>
        <v>0</v>
      </c>
      <c r="M18" s="15"/>
      <c r="N18" s="69"/>
      <c r="O18" s="198"/>
      <c r="P18" s="1157">
        <f t="shared" si="5"/>
        <v>0</v>
      </c>
      <c r="Q18" s="1158"/>
      <c r="R18" s="1159"/>
      <c r="S18" s="1150">
        <f t="shared" si="3"/>
        <v>5.3290705182007514E-14</v>
      </c>
    </row>
    <row r="19" spans="1:19" x14ac:dyDescent="0.25">
      <c r="A19" s="119"/>
      <c r="B19" s="83">
        <f t="shared" si="0"/>
        <v>15</v>
      </c>
      <c r="C19" s="15">
        <v>10</v>
      </c>
      <c r="D19" s="1110">
        <v>123.36</v>
      </c>
      <c r="E19" s="1126">
        <v>44967</v>
      </c>
      <c r="F19" s="1110">
        <f t="shared" si="4"/>
        <v>123.36</v>
      </c>
      <c r="G19" s="580" t="s">
        <v>450</v>
      </c>
      <c r="H19" s="372">
        <v>98</v>
      </c>
      <c r="I19" s="103">
        <f t="shared" si="1"/>
        <v>174.54999999999978</v>
      </c>
      <c r="K19" s="119"/>
      <c r="L19" s="83">
        <f t="shared" si="2"/>
        <v>0</v>
      </c>
      <c r="M19" s="15"/>
      <c r="N19" s="69"/>
      <c r="O19" s="198"/>
      <c r="P19" s="69">
        <f t="shared" si="5"/>
        <v>0</v>
      </c>
      <c r="Q19" s="70"/>
      <c r="R19" s="71"/>
      <c r="S19" s="666">
        <f t="shared" si="3"/>
        <v>5.3290705182007514E-14</v>
      </c>
    </row>
    <row r="20" spans="1:19" x14ac:dyDescent="0.25">
      <c r="A20" s="119"/>
      <c r="B20" s="83">
        <f t="shared" si="0"/>
        <v>14</v>
      </c>
      <c r="C20" s="15">
        <v>1</v>
      </c>
      <c r="D20" s="1110">
        <v>11.77</v>
      </c>
      <c r="E20" s="1126">
        <v>44968</v>
      </c>
      <c r="F20" s="1110">
        <f t="shared" si="4"/>
        <v>11.77</v>
      </c>
      <c r="G20" s="580" t="s">
        <v>452</v>
      </c>
      <c r="H20" s="372">
        <v>98</v>
      </c>
      <c r="I20" s="103">
        <f t="shared" si="1"/>
        <v>162.77999999999977</v>
      </c>
      <c r="K20" s="119"/>
      <c r="L20" s="83">
        <f t="shared" si="2"/>
        <v>0</v>
      </c>
      <c r="M20" s="15"/>
      <c r="N20" s="69"/>
      <c r="O20" s="198"/>
      <c r="P20" s="69">
        <f t="shared" si="5"/>
        <v>0</v>
      </c>
      <c r="Q20" s="70"/>
      <c r="R20" s="71"/>
      <c r="S20" s="666">
        <f t="shared" si="3"/>
        <v>5.3290705182007514E-14</v>
      </c>
    </row>
    <row r="21" spans="1:19" x14ac:dyDescent="0.25">
      <c r="A21" s="119"/>
      <c r="B21" s="83">
        <f t="shared" si="0"/>
        <v>9</v>
      </c>
      <c r="C21" s="15">
        <v>5</v>
      </c>
      <c r="D21" s="1110">
        <v>58.52</v>
      </c>
      <c r="E21" s="1126">
        <v>44975</v>
      </c>
      <c r="F21" s="1110">
        <f t="shared" si="4"/>
        <v>58.52</v>
      </c>
      <c r="G21" s="580" t="s">
        <v>459</v>
      </c>
      <c r="H21" s="372">
        <v>98</v>
      </c>
      <c r="I21" s="103">
        <f t="shared" si="1"/>
        <v>104.25999999999976</v>
      </c>
      <c r="K21" s="119"/>
      <c r="L21" s="83">
        <f t="shared" si="2"/>
        <v>0</v>
      </c>
      <c r="M21" s="15"/>
      <c r="N21" s="69"/>
      <c r="O21" s="198"/>
      <c r="P21" s="69">
        <f t="shared" si="5"/>
        <v>0</v>
      </c>
      <c r="Q21" s="70"/>
      <c r="R21" s="71"/>
      <c r="S21" s="666">
        <f t="shared" si="3"/>
        <v>5.3290705182007514E-14</v>
      </c>
    </row>
    <row r="22" spans="1:19" x14ac:dyDescent="0.25">
      <c r="A22" s="119"/>
      <c r="B22" s="226">
        <f t="shared" si="0"/>
        <v>0</v>
      </c>
      <c r="C22" s="15">
        <v>9</v>
      </c>
      <c r="D22" s="1110">
        <v>104.26</v>
      </c>
      <c r="E22" s="1126">
        <v>44977</v>
      </c>
      <c r="F22" s="1110">
        <f t="shared" si="4"/>
        <v>104.26</v>
      </c>
      <c r="G22" s="580" t="s">
        <v>615</v>
      </c>
      <c r="H22" s="372">
        <v>98</v>
      </c>
      <c r="I22" s="103">
        <f t="shared" si="1"/>
        <v>-2.4158453015843406E-13</v>
      </c>
      <c r="K22" s="119"/>
      <c r="L22" s="226">
        <f t="shared" si="2"/>
        <v>0</v>
      </c>
      <c r="M22" s="15"/>
      <c r="N22" s="69"/>
      <c r="O22" s="198"/>
      <c r="P22" s="69">
        <f t="shared" si="5"/>
        <v>0</v>
      </c>
      <c r="Q22" s="70"/>
      <c r="R22" s="71"/>
      <c r="S22" s="666">
        <f t="shared" si="3"/>
        <v>5.3290705182007514E-14</v>
      </c>
    </row>
    <row r="23" spans="1:19" x14ac:dyDescent="0.25">
      <c r="A23" s="120"/>
      <c r="B23" s="226">
        <f t="shared" si="0"/>
        <v>0</v>
      </c>
      <c r="C23" s="15"/>
      <c r="D23" s="1110"/>
      <c r="E23" s="1126"/>
      <c r="F23" s="1152">
        <f t="shared" si="4"/>
        <v>0</v>
      </c>
      <c r="G23" s="1153"/>
      <c r="H23" s="1154"/>
      <c r="I23" s="1150">
        <f t="shared" si="1"/>
        <v>-2.4158453015843406E-13</v>
      </c>
      <c r="K23" s="120"/>
      <c r="L23" s="226">
        <f t="shared" si="2"/>
        <v>0</v>
      </c>
      <c r="M23" s="15"/>
      <c r="N23" s="69"/>
      <c r="O23" s="198"/>
      <c r="P23" s="69">
        <f t="shared" si="5"/>
        <v>0</v>
      </c>
      <c r="Q23" s="70"/>
      <c r="R23" s="71"/>
      <c r="S23" s="666">
        <f t="shared" si="3"/>
        <v>5.3290705182007514E-14</v>
      </c>
    </row>
    <row r="24" spans="1:19" x14ac:dyDescent="0.25">
      <c r="A24" s="119"/>
      <c r="B24" s="226">
        <f t="shared" si="0"/>
        <v>0</v>
      </c>
      <c r="C24" s="15"/>
      <c r="D24" s="1110"/>
      <c r="E24" s="1126"/>
      <c r="F24" s="1152">
        <f t="shared" si="4"/>
        <v>0</v>
      </c>
      <c r="G24" s="1153"/>
      <c r="H24" s="1154"/>
      <c r="I24" s="1150">
        <f t="shared" si="1"/>
        <v>-2.4158453015843406E-13</v>
      </c>
      <c r="K24" s="119"/>
      <c r="L24" s="226">
        <f t="shared" si="2"/>
        <v>0</v>
      </c>
      <c r="M24" s="15"/>
      <c r="N24" s="69"/>
      <c r="O24" s="198"/>
      <c r="P24" s="69">
        <f t="shared" si="5"/>
        <v>0</v>
      </c>
      <c r="Q24" s="70"/>
      <c r="R24" s="71"/>
      <c r="S24" s="666">
        <f t="shared" si="3"/>
        <v>5.3290705182007514E-14</v>
      </c>
    </row>
    <row r="25" spans="1:19" x14ac:dyDescent="0.25">
      <c r="A25" s="119"/>
      <c r="B25" s="226">
        <f t="shared" si="0"/>
        <v>0</v>
      </c>
      <c r="C25" s="15"/>
      <c r="D25" s="1110"/>
      <c r="E25" s="1126"/>
      <c r="F25" s="1152">
        <f t="shared" si="4"/>
        <v>0</v>
      </c>
      <c r="G25" s="1153"/>
      <c r="H25" s="1154"/>
      <c r="I25" s="1150">
        <f t="shared" si="1"/>
        <v>-2.4158453015843406E-13</v>
      </c>
      <c r="K25" s="119"/>
      <c r="L25" s="226">
        <f t="shared" si="2"/>
        <v>0</v>
      </c>
      <c r="M25" s="15"/>
      <c r="N25" s="69"/>
      <c r="O25" s="198"/>
      <c r="P25" s="69">
        <f t="shared" si="5"/>
        <v>0</v>
      </c>
      <c r="Q25" s="70"/>
      <c r="R25" s="71"/>
      <c r="S25" s="666">
        <f t="shared" si="3"/>
        <v>5.3290705182007514E-14</v>
      </c>
    </row>
    <row r="26" spans="1:19" x14ac:dyDescent="0.25">
      <c r="A26" s="119"/>
      <c r="B26" s="178">
        <f t="shared" si="0"/>
        <v>0</v>
      </c>
      <c r="C26" s="15"/>
      <c r="D26" s="1110"/>
      <c r="E26" s="1126"/>
      <c r="F26" s="1152">
        <f t="shared" si="4"/>
        <v>0</v>
      </c>
      <c r="G26" s="1153"/>
      <c r="H26" s="1154"/>
      <c r="I26" s="1150">
        <f t="shared" si="1"/>
        <v>-2.4158453015843406E-13</v>
      </c>
      <c r="K26" s="119"/>
      <c r="L26" s="178">
        <f t="shared" si="2"/>
        <v>0</v>
      </c>
      <c r="M26" s="15"/>
      <c r="N26" s="69"/>
      <c r="O26" s="198"/>
      <c r="P26" s="69">
        <f t="shared" si="5"/>
        <v>0</v>
      </c>
      <c r="Q26" s="70"/>
      <c r="R26" s="71"/>
      <c r="S26" s="666">
        <f t="shared" si="3"/>
        <v>5.3290705182007514E-14</v>
      </c>
    </row>
    <row r="27" spans="1:19" x14ac:dyDescent="0.25">
      <c r="A27" s="119"/>
      <c r="B27" s="226">
        <f t="shared" si="0"/>
        <v>0</v>
      </c>
      <c r="C27" s="15"/>
      <c r="D27" s="1110"/>
      <c r="E27" s="1126"/>
      <c r="F27" s="1110">
        <f t="shared" si="4"/>
        <v>0</v>
      </c>
      <c r="G27" s="580"/>
      <c r="H27" s="372"/>
      <c r="I27" s="103">
        <f t="shared" si="1"/>
        <v>-2.4158453015843406E-13</v>
      </c>
      <c r="K27" s="119"/>
      <c r="L27" s="226">
        <f t="shared" si="2"/>
        <v>0</v>
      </c>
      <c r="M27" s="15"/>
      <c r="N27" s="69"/>
      <c r="O27" s="198"/>
      <c r="P27" s="69">
        <f t="shared" si="5"/>
        <v>0</v>
      </c>
      <c r="Q27" s="70"/>
      <c r="R27" s="71"/>
      <c r="S27" s="666">
        <f t="shared" si="3"/>
        <v>5.3290705182007514E-14</v>
      </c>
    </row>
    <row r="28" spans="1:19" x14ac:dyDescent="0.25">
      <c r="A28" s="119"/>
      <c r="B28" s="178">
        <f t="shared" si="0"/>
        <v>0</v>
      </c>
      <c r="C28" s="15"/>
      <c r="D28" s="1110"/>
      <c r="E28" s="1126"/>
      <c r="F28" s="1110">
        <f t="shared" si="4"/>
        <v>0</v>
      </c>
      <c r="G28" s="580"/>
      <c r="H28" s="372"/>
      <c r="I28" s="103">
        <f t="shared" si="1"/>
        <v>-2.4158453015843406E-13</v>
      </c>
      <c r="K28" s="119"/>
      <c r="L28" s="178">
        <f t="shared" si="2"/>
        <v>0</v>
      </c>
      <c r="M28" s="15"/>
      <c r="N28" s="69"/>
      <c r="O28" s="198"/>
      <c r="P28" s="69">
        <f t="shared" si="5"/>
        <v>0</v>
      </c>
      <c r="Q28" s="70"/>
      <c r="R28" s="71"/>
      <c r="S28" s="666">
        <f t="shared" si="3"/>
        <v>5.3290705182007514E-14</v>
      </c>
    </row>
    <row r="29" spans="1:19" x14ac:dyDescent="0.25">
      <c r="A29" s="119"/>
      <c r="B29" s="226">
        <f t="shared" si="0"/>
        <v>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-2.4158453015843406E-13</v>
      </c>
      <c r="K29" s="119"/>
      <c r="L29" s="226">
        <f t="shared" si="2"/>
        <v>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5.3290705182007514E-14</v>
      </c>
    </row>
    <row r="30" spans="1:19" x14ac:dyDescent="0.25">
      <c r="A30" s="119"/>
      <c r="B30" s="226">
        <f t="shared" si="0"/>
        <v>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-2.4158453015843406E-13</v>
      </c>
      <c r="K30" s="119"/>
      <c r="L30" s="226">
        <f t="shared" si="2"/>
        <v>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5.3290705182007514E-14</v>
      </c>
    </row>
    <row r="31" spans="1:19" x14ac:dyDescent="0.25">
      <c r="A31" s="119"/>
      <c r="B31" s="226">
        <f t="shared" si="0"/>
        <v>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-2.4158453015843406E-13</v>
      </c>
      <c r="K31" s="119"/>
      <c r="L31" s="226">
        <f t="shared" si="2"/>
        <v>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5.3290705182007514E-14</v>
      </c>
    </row>
    <row r="32" spans="1:19" x14ac:dyDescent="0.25">
      <c r="A32" s="119"/>
      <c r="B32" s="226">
        <f t="shared" si="0"/>
        <v>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-2.4158453015843406E-13</v>
      </c>
      <c r="K32" s="119"/>
      <c r="L32" s="226">
        <f t="shared" si="2"/>
        <v>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5.3290705182007514E-14</v>
      </c>
    </row>
    <row r="33" spans="1:19" x14ac:dyDescent="0.25">
      <c r="A33" s="119"/>
      <c r="B33" s="226">
        <f t="shared" si="0"/>
        <v>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-2.4158453015843406E-13</v>
      </c>
      <c r="K33" s="119"/>
      <c r="L33" s="226">
        <f t="shared" si="2"/>
        <v>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5.3290705182007514E-14</v>
      </c>
    </row>
    <row r="34" spans="1:19" x14ac:dyDescent="0.25">
      <c r="A34" s="119"/>
      <c r="B34" s="226">
        <f t="shared" si="0"/>
        <v>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-2.4158453015843406E-13</v>
      </c>
      <c r="K34" s="119"/>
      <c r="L34" s="226">
        <f t="shared" si="2"/>
        <v>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5.3290705182007514E-14</v>
      </c>
    </row>
    <row r="35" spans="1:19" x14ac:dyDescent="0.25">
      <c r="A35" s="119"/>
      <c r="B35" s="226">
        <f t="shared" si="0"/>
        <v>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-2.4158453015843406E-13</v>
      </c>
      <c r="K35" s="119"/>
      <c r="L35" s="226">
        <f t="shared" si="2"/>
        <v>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5.3290705182007514E-14</v>
      </c>
    </row>
    <row r="36" spans="1:1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-2.4158453015843406E-13</v>
      </c>
      <c r="K36" s="119" t="s">
        <v>22</v>
      </c>
      <c r="L36" s="226">
        <f t="shared" si="2"/>
        <v>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5.3290705182007514E-14</v>
      </c>
    </row>
    <row r="37" spans="1:19" x14ac:dyDescent="0.25">
      <c r="A37" s="120"/>
      <c r="B37" s="226">
        <f t="shared" si="0"/>
        <v>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-2.4158453015843406E-13</v>
      </c>
      <c r="K37" s="120"/>
      <c r="L37" s="226">
        <f t="shared" si="2"/>
        <v>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5.3290705182007514E-14</v>
      </c>
    </row>
    <row r="38" spans="1:19" x14ac:dyDescent="0.25">
      <c r="A38" s="119"/>
      <c r="B38" s="226">
        <f t="shared" si="0"/>
        <v>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-2.4158453015843406E-13</v>
      </c>
      <c r="K38" s="119"/>
      <c r="L38" s="226">
        <f t="shared" si="2"/>
        <v>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5.3290705182007514E-14</v>
      </c>
    </row>
    <row r="39" spans="1:19" x14ac:dyDescent="0.25">
      <c r="A39" s="119"/>
      <c r="B39" s="83">
        <f t="shared" si="0"/>
        <v>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-2.4158453015843406E-13</v>
      </c>
      <c r="K39" s="119"/>
      <c r="L39" s="83">
        <f t="shared" si="2"/>
        <v>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5.3290705182007514E-14</v>
      </c>
    </row>
    <row r="40" spans="1:19" x14ac:dyDescent="0.25">
      <c r="A40" s="119"/>
      <c r="B40" s="83">
        <f t="shared" si="0"/>
        <v>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-2.4158453015843406E-13</v>
      </c>
      <c r="K40" s="119"/>
      <c r="L40" s="83">
        <f t="shared" si="2"/>
        <v>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5.3290705182007514E-14</v>
      </c>
    </row>
    <row r="41" spans="1:19" x14ac:dyDescent="0.25">
      <c r="A41" s="119"/>
      <c r="B41" s="83">
        <f t="shared" si="0"/>
        <v>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-2.4158453015843406E-13</v>
      </c>
      <c r="K41" s="119"/>
      <c r="L41" s="83">
        <f t="shared" si="2"/>
        <v>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5.3290705182007514E-14</v>
      </c>
    </row>
    <row r="42" spans="1:19" x14ac:dyDescent="0.25">
      <c r="A42" s="119"/>
      <c r="B42" s="83">
        <f t="shared" si="0"/>
        <v>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-2.4158453015843406E-13</v>
      </c>
      <c r="K42" s="119"/>
      <c r="L42" s="83">
        <f t="shared" si="2"/>
        <v>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5.3290705182007514E-14</v>
      </c>
    </row>
    <row r="43" spans="1:19" x14ac:dyDescent="0.25">
      <c r="A43" s="119"/>
      <c r="B43" s="83">
        <f t="shared" si="0"/>
        <v>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-2.4158453015843406E-13</v>
      </c>
      <c r="K43" s="119"/>
      <c r="L43" s="83">
        <f t="shared" si="2"/>
        <v>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5.3290705182007514E-14</v>
      </c>
    </row>
    <row r="44" spans="1:19" x14ac:dyDescent="0.25">
      <c r="A44" s="119"/>
      <c r="B44" s="83">
        <f t="shared" si="0"/>
        <v>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-2.4158453015843406E-13</v>
      </c>
      <c r="K44" s="119"/>
      <c r="L44" s="83">
        <f t="shared" si="2"/>
        <v>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5.3290705182007514E-14</v>
      </c>
    </row>
    <row r="45" spans="1:19" ht="14.25" customHeight="1" x14ac:dyDescent="0.25">
      <c r="A45" s="119"/>
      <c r="B45" s="83">
        <f t="shared" si="0"/>
        <v>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-2.4158453015843406E-13</v>
      </c>
      <c r="K45" s="119"/>
      <c r="L45" s="83">
        <f t="shared" si="2"/>
        <v>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5.3290705182007514E-14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93</v>
      </c>
      <c r="D48" s="6">
        <f>SUM(D9:D47)</f>
        <v>1127.0400000000002</v>
      </c>
      <c r="F48" s="6">
        <f>SUM(F9:F47)</f>
        <v>1127.0400000000002</v>
      </c>
      <c r="M48" s="53">
        <f>SUM(M9:M47)</f>
        <v>50</v>
      </c>
      <c r="N48" s="6">
        <f>SUM(N9:N47)</f>
        <v>596.09</v>
      </c>
      <c r="P48" s="6">
        <f>SUM(P9:P47)</f>
        <v>596.09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-9</v>
      </c>
      <c r="N51" s="45" t="s">
        <v>4</v>
      </c>
      <c r="O51" s="56">
        <f>P5+P6-M48+P7</f>
        <v>0</v>
      </c>
    </row>
    <row r="52" spans="3:16" ht="15.75" thickBot="1" x14ac:dyDescent="0.3"/>
    <row r="53" spans="3:16" ht="15.75" thickBot="1" x14ac:dyDescent="0.3">
      <c r="C53" s="1388" t="s">
        <v>11</v>
      </c>
      <c r="D53" s="1389"/>
      <c r="E53" s="57">
        <f>E5+E6-F48+E7</f>
        <v>-107.07000000000016</v>
      </c>
      <c r="F53" s="73"/>
      <c r="M53" s="1388" t="s">
        <v>11</v>
      </c>
      <c r="N53" s="1389"/>
      <c r="O53" s="57">
        <f>O5+O6-P48+O7</f>
        <v>0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J1" workbookViewId="0">
      <selection activeCell="V13" sqref="V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86" t="s">
        <v>277</v>
      </c>
      <c r="B1" s="1386"/>
      <c r="C1" s="1386"/>
      <c r="D1" s="1386"/>
      <c r="E1" s="1386"/>
      <c r="F1" s="1386"/>
      <c r="G1" s="1386"/>
      <c r="H1" s="11">
        <v>1</v>
      </c>
      <c r="K1" s="1390" t="s">
        <v>478</v>
      </c>
      <c r="L1" s="1390"/>
      <c r="M1" s="1390"/>
      <c r="N1" s="1390"/>
      <c r="O1" s="1390"/>
      <c r="P1" s="1390"/>
      <c r="Q1" s="139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27"/>
      <c r="F4" s="763"/>
      <c r="G4" s="152"/>
      <c r="H4" s="152"/>
      <c r="K4" s="12"/>
      <c r="L4" s="12"/>
      <c r="M4" s="379"/>
      <c r="N4" s="647"/>
      <c r="O4" s="827"/>
      <c r="P4" s="763"/>
      <c r="Q4" s="152"/>
      <c r="R4" s="152"/>
    </row>
    <row r="5" spans="1:19" ht="15.75" customHeight="1" x14ac:dyDescent="0.25">
      <c r="A5" s="220" t="s">
        <v>62</v>
      </c>
      <c r="B5" s="1394" t="s">
        <v>71</v>
      </c>
      <c r="C5" s="554">
        <v>95</v>
      </c>
      <c r="D5" s="825">
        <v>44948</v>
      </c>
      <c r="E5" s="742">
        <v>496.79</v>
      </c>
      <c r="F5" s="763">
        <v>42</v>
      </c>
      <c r="G5" s="5"/>
      <c r="K5" s="220" t="s">
        <v>62</v>
      </c>
      <c r="L5" s="1394" t="s">
        <v>71</v>
      </c>
      <c r="M5" s="554">
        <v>90</v>
      </c>
      <c r="N5" s="825">
        <v>44984</v>
      </c>
      <c r="O5" s="742">
        <v>524.38</v>
      </c>
      <c r="P5" s="763">
        <v>43</v>
      </c>
      <c r="Q5" s="5"/>
    </row>
    <row r="6" spans="1:19" x14ac:dyDescent="0.25">
      <c r="A6" s="220"/>
      <c r="B6" s="1394"/>
      <c r="C6" s="379"/>
      <c r="D6" s="647"/>
      <c r="E6" s="826"/>
      <c r="F6" s="763"/>
      <c r="G6" s="47">
        <f>F42</f>
        <v>484.98999999999995</v>
      </c>
      <c r="H6" s="7">
        <f>E6-G6+E7+E5-G5+E4</f>
        <v>11.800000000000068</v>
      </c>
      <c r="K6" s="220"/>
      <c r="L6" s="1394"/>
      <c r="M6" s="379"/>
      <c r="N6" s="647"/>
      <c r="O6" s="826"/>
      <c r="P6" s="763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27"/>
      <c r="F7" s="763"/>
      <c r="L7" s="19"/>
      <c r="M7" s="379"/>
      <c r="N7" s="647"/>
      <c r="O7" s="827"/>
      <c r="P7" s="76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17">
        <f>F6-C9+F5+F7+F4</f>
        <v>32</v>
      </c>
      <c r="C9" s="916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527</v>
      </c>
      <c r="H9" s="632">
        <v>97</v>
      </c>
      <c r="I9" s="716">
        <f>E6-F9+E5+E7+E4</f>
        <v>378.8</v>
      </c>
      <c r="K9" s="80" t="s">
        <v>32</v>
      </c>
      <c r="L9" s="776">
        <f>P6-M9+P5+P7+P4</f>
        <v>43</v>
      </c>
      <c r="M9" s="916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6">
        <f>B9-C10</f>
        <v>22</v>
      </c>
      <c r="C10" s="916">
        <v>10</v>
      </c>
      <c r="D10" s="633">
        <v>118.21</v>
      </c>
      <c r="E10" s="662">
        <v>44971</v>
      </c>
      <c r="F10" s="633">
        <f t="shared" si="0"/>
        <v>118.21</v>
      </c>
      <c r="G10" s="631" t="s">
        <v>568</v>
      </c>
      <c r="H10" s="632">
        <v>97</v>
      </c>
      <c r="I10" s="666">
        <f>I9-F10</f>
        <v>260.59000000000003</v>
      </c>
      <c r="J10" s="664"/>
      <c r="K10" s="190"/>
      <c r="L10" s="776">
        <f>L9-M10</f>
        <v>43</v>
      </c>
      <c r="M10" s="916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6">
        <f t="shared" ref="B11:B40" si="2">B10-C11</f>
        <v>12</v>
      </c>
      <c r="C11" s="916">
        <v>10</v>
      </c>
      <c r="D11" s="633">
        <v>119.43</v>
      </c>
      <c r="E11" s="662">
        <v>44979</v>
      </c>
      <c r="F11" s="633">
        <f t="shared" si="0"/>
        <v>119.43</v>
      </c>
      <c r="G11" s="631" t="s">
        <v>623</v>
      </c>
      <c r="H11" s="632">
        <v>98</v>
      </c>
      <c r="I11" s="666">
        <f t="shared" ref="I11:I40" si="3">I10-F11</f>
        <v>141.16000000000003</v>
      </c>
      <c r="J11" s="664"/>
      <c r="K11" s="178"/>
      <c r="L11" s="776">
        <f t="shared" ref="L11:L40" si="4">L10-M11</f>
        <v>43</v>
      </c>
      <c r="M11" s="916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6">
        <f t="shared" si="2"/>
        <v>2</v>
      </c>
      <c r="C12" s="916">
        <v>10</v>
      </c>
      <c r="D12" s="633">
        <v>118.03</v>
      </c>
      <c r="E12" s="662">
        <v>44984</v>
      </c>
      <c r="F12" s="633">
        <f t="shared" si="0"/>
        <v>118.03</v>
      </c>
      <c r="G12" s="631" t="s">
        <v>462</v>
      </c>
      <c r="H12" s="632">
        <v>98</v>
      </c>
      <c r="I12" s="666">
        <f t="shared" si="3"/>
        <v>23.130000000000024</v>
      </c>
      <c r="J12" s="664"/>
      <c r="K12" s="178"/>
      <c r="L12" s="776">
        <f t="shared" si="4"/>
        <v>43</v>
      </c>
      <c r="M12" s="916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6">
        <f t="shared" si="2"/>
        <v>1</v>
      </c>
      <c r="C13" s="916">
        <v>1</v>
      </c>
      <c r="D13" s="633">
        <v>11.33</v>
      </c>
      <c r="E13" s="662">
        <v>44988</v>
      </c>
      <c r="F13" s="633">
        <f t="shared" si="0"/>
        <v>11.33</v>
      </c>
      <c r="G13" s="631" t="s">
        <v>715</v>
      </c>
      <c r="H13" s="1235">
        <v>90</v>
      </c>
      <c r="I13" s="666">
        <f t="shared" si="3"/>
        <v>11.800000000000024</v>
      </c>
      <c r="J13" s="664"/>
      <c r="K13" s="82" t="s">
        <v>33</v>
      </c>
      <c r="L13" s="776">
        <f t="shared" si="4"/>
        <v>43</v>
      </c>
      <c r="M13" s="916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6">
        <f t="shared" si="2"/>
        <v>1</v>
      </c>
      <c r="C14" s="916"/>
      <c r="D14" s="633"/>
      <c r="E14" s="662"/>
      <c r="F14" s="633">
        <f t="shared" si="0"/>
        <v>0</v>
      </c>
      <c r="G14" s="631"/>
      <c r="H14" s="632"/>
      <c r="I14" s="666">
        <f t="shared" si="3"/>
        <v>11.800000000000024</v>
      </c>
      <c r="J14" s="664"/>
      <c r="K14" s="73"/>
      <c r="L14" s="776">
        <f t="shared" si="4"/>
        <v>43</v>
      </c>
      <c r="M14" s="916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6">
        <f t="shared" si="2"/>
        <v>1</v>
      </c>
      <c r="C15" s="916"/>
      <c r="D15" s="633"/>
      <c r="E15" s="662"/>
      <c r="F15" s="633">
        <f t="shared" si="0"/>
        <v>0</v>
      </c>
      <c r="G15" s="631"/>
      <c r="H15" s="632"/>
      <c r="I15" s="666">
        <f t="shared" si="3"/>
        <v>11.800000000000024</v>
      </c>
      <c r="K15" s="73"/>
      <c r="L15" s="776">
        <f t="shared" si="4"/>
        <v>43</v>
      </c>
      <c r="M15" s="916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6">
        <f t="shared" si="2"/>
        <v>1</v>
      </c>
      <c r="C16" s="916"/>
      <c r="D16" s="633"/>
      <c r="E16" s="662"/>
      <c r="F16" s="633">
        <f t="shared" si="0"/>
        <v>0</v>
      </c>
      <c r="G16" s="631"/>
      <c r="H16" s="632"/>
      <c r="I16" s="666">
        <f t="shared" si="3"/>
        <v>11.800000000000024</v>
      </c>
      <c r="L16" s="776">
        <f t="shared" si="4"/>
        <v>43</v>
      </c>
      <c r="M16" s="916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6">
        <f t="shared" si="2"/>
        <v>1</v>
      </c>
      <c r="C17" s="916"/>
      <c r="D17" s="912"/>
      <c r="E17" s="913"/>
      <c r="F17" s="912">
        <f t="shared" si="0"/>
        <v>0</v>
      </c>
      <c r="G17" s="914"/>
      <c r="H17" s="663"/>
      <c r="I17" s="666">
        <f t="shared" si="3"/>
        <v>11.800000000000024</v>
      </c>
      <c r="L17" s="776">
        <f t="shared" si="4"/>
        <v>43</v>
      </c>
      <c r="M17" s="916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6">
        <f t="shared" si="2"/>
        <v>1</v>
      </c>
      <c r="C18" s="916"/>
      <c r="D18" s="912"/>
      <c r="E18" s="913"/>
      <c r="F18" s="912">
        <f t="shared" si="0"/>
        <v>0</v>
      </c>
      <c r="G18" s="914"/>
      <c r="H18" s="663"/>
      <c r="I18" s="666">
        <f t="shared" si="3"/>
        <v>11.800000000000024</v>
      </c>
      <c r="K18" s="119"/>
      <c r="L18" s="776">
        <f t="shared" si="4"/>
        <v>43</v>
      </c>
      <c r="M18" s="916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1</v>
      </c>
      <c r="C19" s="824"/>
      <c r="D19" s="617"/>
      <c r="E19" s="911"/>
      <c r="F19" s="617">
        <f t="shared" si="0"/>
        <v>0</v>
      </c>
      <c r="G19" s="619"/>
      <c r="H19" s="201"/>
      <c r="I19" s="103">
        <f t="shared" si="3"/>
        <v>11.800000000000024</v>
      </c>
      <c r="K19" s="119"/>
      <c r="L19" s="83">
        <f t="shared" si="4"/>
        <v>43</v>
      </c>
      <c r="M19" s="824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1</v>
      </c>
      <c r="C20" s="824"/>
      <c r="D20" s="617"/>
      <c r="E20" s="911"/>
      <c r="F20" s="617">
        <f t="shared" si="0"/>
        <v>0</v>
      </c>
      <c r="G20" s="619"/>
      <c r="H20" s="201"/>
      <c r="I20" s="103">
        <f t="shared" si="3"/>
        <v>11.800000000000024</v>
      </c>
      <c r="K20" s="119"/>
      <c r="L20" s="83">
        <f t="shared" si="4"/>
        <v>43</v>
      </c>
      <c r="M20" s="824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1</v>
      </c>
      <c r="C21" s="824"/>
      <c r="D21" s="617"/>
      <c r="E21" s="911"/>
      <c r="F21" s="617">
        <f t="shared" si="0"/>
        <v>0</v>
      </c>
      <c r="G21" s="619"/>
      <c r="H21" s="201"/>
      <c r="I21" s="103">
        <f t="shared" si="3"/>
        <v>11.800000000000024</v>
      </c>
      <c r="K21" s="119"/>
      <c r="L21" s="83">
        <f t="shared" si="4"/>
        <v>43</v>
      </c>
      <c r="M21" s="824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1</v>
      </c>
      <c r="C22" s="824"/>
      <c r="D22" s="617"/>
      <c r="E22" s="911"/>
      <c r="F22" s="617">
        <f t="shared" si="0"/>
        <v>0</v>
      </c>
      <c r="G22" s="619"/>
      <c r="H22" s="201"/>
      <c r="I22" s="103">
        <f t="shared" si="3"/>
        <v>11.800000000000024</v>
      </c>
      <c r="K22" s="119"/>
      <c r="L22" s="226">
        <f t="shared" si="4"/>
        <v>43</v>
      </c>
      <c r="M22" s="824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1</v>
      </c>
      <c r="C23" s="824"/>
      <c r="D23" s="617"/>
      <c r="E23" s="911"/>
      <c r="F23" s="617">
        <f t="shared" si="0"/>
        <v>0</v>
      </c>
      <c r="G23" s="619"/>
      <c r="H23" s="201"/>
      <c r="I23" s="103">
        <f t="shared" si="3"/>
        <v>11.800000000000024</v>
      </c>
      <c r="K23" s="120"/>
      <c r="L23" s="226">
        <f t="shared" si="4"/>
        <v>43</v>
      </c>
      <c r="M23" s="824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1</v>
      </c>
      <c r="C24" s="824"/>
      <c r="D24" s="617"/>
      <c r="E24" s="911"/>
      <c r="F24" s="617">
        <f t="shared" si="0"/>
        <v>0</v>
      </c>
      <c r="G24" s="619"/>
      <c r="H24" s="201"/>
      <c r="I24" s="103">
        <f t="shared" si="3"/>
        <v>11.800000000000024</v>
      </c>
      <c r="K24" s="119"/>
      <c r="L24" s="226">
        <f t="shared" si="4"/>
        <v>43</v>
      </c>
      <c r="M24" s="824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1</v>
      </c>
      <c r="C25" s="824"/>
      <c r="D25" s="617"/>
      <c r="E25" s="911"/>
      <c r="F25" s="617">
        <f t="shared" si="0"/>
        <v>0</v>
      </c>
      <c r="G25" s="619"/>
      <c r="H25" s="201"/>
      <c r="I25" s="103">
        <f t="shared" si="3"/>
        <v>11.800000000000024</v>
      </c>
      <c r="K25" s="119"/>
      <c r="L25" s="226">
        <f t="shared" si="4"/>
        <v>43</v>
      </c>
      <c r="M25" s="824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1</v>
      </c>
      <c r="C26" s="824"/>
      <c r="D26" s="617"/>
      <c r="E26" s="911"/>
      <c r="F26" s="617">
        <f t="shared" si="0"/>
        <v>0</v>
      </c>
      <c r="G26" s="619"/>
      <c r="H26" s="201"/>
      <c r="I26" s="103">
        <f t="shared" si="3"/>
        <v>11.800000000000024</v>
      </c>
      <c r="K26" s="119"/>
      <c r="L26" s="178">
        <f t="shared" si="4"/>
        <v>43</v>
      </c>
      <c r="M26" s="824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1</v>
      </c>
      <c r="C27" s="824"/>
      <c r="D27" s="617"/>
      <c r="E27" s="911"/>
      <c r="F27" s="617">
        <f t="shared" si="0"/>
        <v>0</v>
      </c>
      <c r="G27" s="619"/>
      <c r="H27" s="201"/>
      <c r="I27" s="103">
        <f t="shared" si="3"/>
        <v>11.800000000000024</v>
      </c>
      <c r="K27" s="119"/>
      <c r="L27" s="226">
        <f t="shared" si="4"/>
        <v>43</v>
      </c>
      <c r="M27" s="824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1</v>
      </c>
      <c r="C28" s="824"/>
      <c r="D28" s="617"/>
      <c r="E28" s="911"/>
      <c r="F28" s="617">
        <f t="shared" si="0"/>
        <v>0</v>
      </c>
      <c r="G28" s="619"/>
      <c r="H28" s="201"/>
      <c r="I28" s="103">
        <f t="shared" si="3"/>
        <v>11.800000000000024</v>
      </c>
      <c r="K28" s="119"/>
      <c r="L28" s="178">
        <f t="shared" si="4"/>
        <v>43</v>
      </c>
      <c r="M28" s="824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1</v>
      </c>
      <c r="C29" s="824"/>
      <c r="D29" s="617"/>
      <c r="E29" s="911"/>
      <c r="F29" s="617">
        <f t="shared" si="0"/>
        <v>0</v>
      </c>
      <c r="G29" s="619"/>
      <c r="H29" s="201"/>
      <c r="I29" s="103">
        <f t="shared" si="3"/>
        <v>11.800000000000024</v>
      </c>
      <c r="K29" s="119"/>
      <c r="L29" s="226">
        <f t="shared" si="4"/>
        <v>43</v>
      </c>
      <c r="M29" s="824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1</v>
      </c>
      <c r="C30" s="824"/>
      <c r="D30" s="617"/>
      <c r="E30" s="911"/>
      <c r="F30" s="617">
        <f t="shared" si="0"/>
        <v>0</v>
      </c>
      <c r="G30" s="619"/>
      <c r="H30" s="201"/>
      <c r="I30" s="103">
        <f t="shared" si="3"/>
        <v>11.800000000000024</v>
      </c>
      <c r="K30" s="119"/>
      <c r="L30" s="226">
        <f t="shared" si="4"/>
        <v>43</v>
      </c>
      <c r="M30" s="824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1</v>
      </c>
      <c r="C31" s="824"/>
      <c r="D31" s="617"/>
      <c r="E31" s="911"/>
      <c r="F31" s="617">
        <f t="shared" si="0"/>
        <v>0</v>
      </c>
      <c r="G31" s="619"/>
      <c r="H31" s="201"/>
      <c r="I31" s="103">
        <f t="shared" si="3"/>
        <v>11.800000000000024</v>
      </c>
      <c r="K31" s="119"/>
      <c r="L31" s="226">
        <f t="shared" si="4"/>
        <v>43</v>
      </c>
      <c r="M31" s="824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1</v>
      </c>
      <c r="C32" s="824"/>
      <c r="D32" s="617"/>
      <c r="E32" s="911"/>
      <c r="F32" s="617">
        <f t="shared" si="0"/>
        <v>0</v>
      </c>
      <c r="G32" s="619"/>
      <c r="H32" s="201"/>
      <c r="I32" s="103">
        <f t="shared" si="3"/>
        <v>11.800000000000024</v>
      </c>
      <c r="K32" s="119"/>
      <c r="L32" s="226">
        <f t="shared" si="4"/>
        <v>43</v>
      </c>
      <c r="M32" s="824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1</v>
      </c>
      <c r="C33" s="824"/>
      <c r="D33" s="69"/>
      <c r="E33" s="198"/>
      <c r="F33" s="69">
        <f t="shared" si="0"/>
        <v>0</v>
      </c>
      <c r="G33" s="70"/>
      <c r="H33" s="71"/>
      <c r="I33" s="103">
        <f t="shared" si="3"/>
        <v>11.800000000000024</v>
      </c>
      <c r="K33" s="119"/>
      <c r="L33" s="226">
        <f t="shared" si="4"/>
        <v>43</v>
      </c>
      <c r="M33" s="824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1</v>
      </c>
      <c r="C34" s="824"/>
      <c r="D34" s="69"/>
      <c r="E34" s="198"/>
      <c r="F34" s="69">
        <f t="shared" si="0"/>
        <v>0</v>
      </c>
      <c r="G34" s="70"/>
      <c r="H34" s="71"/>
      <c r="I34" s="103">
        <f t="shared" si="3"/>
        <v>11.800000000000024</v>
      </c>
      <c r="K34" s="119"/>
      <c r="L34" s="226">
        <f t="shared" si="4"/>
        <v>43</v>
      </c>
      <c r="M34" s="824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1</v>
      </c>
      <c r="C35" s="824"/>
      <c r="D35" s="69"/>
      <c r="E35" s="198"/>
      <c r="F35" s="69">
        <f t="shared" si="0"/>
        <v>0</v>
      </c>
      <c r="G35" s="70"/>
      <c r="H35" s="71"/>
      <c r="I35" s="103">
        <f t="shared" si="3"/>
        <v>11.800000000000024</v>
      </c>
      <c r="K35" s="119"/>
      <c r="L35" s="226">
        <f t="shared" si="4"/>
        <v>43</v>
      </c>
      <c r="M35" s="824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1</v>
      </c>
      <c r="C36" s="824"/>
      <c r="D36" s="69"/>
      <c r="E36" s="198"/>
      <c r="F36" s="69">
        <f t="shared" si="0"/>
        <v>0</v>
      </c>
      <c r="G36" s="70"/>
      <c r="H36" s="71"/>
      <c r="I36" s="103">
        <f t="shared" si="3"/>
        <v>11.800000000000024</v>
      </c>
      <c r="K36" s="119" t="s">
        <v>22</v>
      </c>
      <c r="L36" s="226">
        <f t="shared" si="4"/>
        <v>43</v>
      </c>
      <c r="M36" s="824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1</v>
      </c>
      <c r="C37" s="824"/>
      <c r="D37" s="69"/>
      <c r="E37" s="198"/>
      <c r="F37" s="69">
        <f t="shared" si="0"/>
        <v>0</v>
      </c>
      <c r="G37" s="70"/>
      <c r="H37" s="71"/>
      <c r="I37" s="103">
        <f t="shared" si="3"/>
        <v>11.800000000000024</v>
      </c>
      <c r="K37" s="120"/>
      <c r="L37" s="226">
        <f t="shared" si="4"/>
        <v>43</v>
      </c>
      <c r="M37" s="824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1</v>
      </c>
      <c r="C38" s="824"/>
      <c r="D38" s="69"/>
      <c r="E38" s="198"/>
      <c r="F38" s="69">
        <f t="shared" si="0"/>
        <v>0</v>
      </c>
      <c r="G38" s="70"/>
      <c r="H38" s="71"/>
      <c r="I38" s="103">
        <f t="shared" si="3"/>
        <v>11.800000000000024</v>
      </c>
      <c r="K38" s="119"/>
      <c r="L38" s="226">
        <f t="shared" si="4"/>
        <v>43</v>
      </c>
      <c r="M38" s="824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1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11.800000000000024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1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11.800000000000024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41</v>
      </c>
      <c r="D42" s="6">
        <f>SUM(D9:D41)</f>
        <v>484.98999999999995</v>
      </c>
      <c r="F42" s="6">
        <f>SUM(F9:F41)</f>
        <v>484.98999999999995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388" t="s">
        <v>11</v>
      </c>
      <c r="D47" s="1389"/>
      <c r="E47" s="57">
        <f>E5+E6-F42+E7</f>
        <v>11.800000000000068</v>
      </c>
      <c r="F47" s="73"/>
      <c r="M47" s="1388" t="s">
        <v>11</v>
      </c>
      <c r="N47" s="1389"/>
      <c r="O47" s="57">
        <f>O5+O6-P42+O7</f>
        <v>524.38</v>
      </c>
      <c r="P47" s="73"/>
    </row>
    <row r="50" spans="1:17" x14ac:dyDescent="0.25">
      <c r="A50" s="220"/>
      <c r="B50" s="1395"/>
      <c r="C50" s="467"/>
      <c r="D50" s="225"/>
      <c r="E50" s="78"/>
      <c r="F50" s="62"/>
      <c r="G50" s="5"/>
      <c r="K50" s="220"/>
      <c r="L50" s="1395"/>
      <c r="M50" s="467"/>
      <c r="N50" s="225"/>
      <c r="O50" s="78"/>
      <c r="P50" s="62"/>
      <c r="Q50" s="5"/>
    </row>
    <row r="51" spans="1:17" x14ac:dyDescent="0.25">
      <c r="A51" s="220"/>
      <c r="B51" s="1395"/>
      <c r="C51" s="379"/>
      <c r="D51" s="131"/>
      <c r="E51" s="204"/>
      <c r="F51" s="62"/>
      <c r="G51" s="47"/>
      <c r="K51" s="220"/>
      <c r="L51" s="1395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I1" workbookViewId="0">
      <pane xSplit="2" ySplit="9" topLeftCell="K22" activePane="bottomRight" state="frozen"/>
      <selection activeCell="I1" sqref="I1"/>
      <selection pane="topRight" activeCell="K1" sqref="K1"/>
      <selection pane="bottomLeft" activeCell="I10" sqref="I10"/>
      <selection pane="bottomRight" activeCell="Q33" sqref="Q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386" t="s">
        <v>278</v>
      </c>
      <c r="B1" s="1386"/>
      <c r="C1" s="1386"/>
      <c r="D1" s="1386"/>
      <c r="E1" s="1386"/>
      <c r="F1" s="1386"/>
      <c r="G1" s="1386"/>
      <c r="H1" s="11">
        <v>1</v>
      </c>
      <c r="K1" s="1390" t="s">
        <v>278</v>
      </c>
      <c r="L1" s="1390"/>
      <c r="M1" s="1390"/>
      <c r="N1" s="1390"/>
      <c r="O1" s="1390"/>
      <c r="P1" s="1390"/>
      <c r="Q1" s="1390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07"/>
      <c r="B4" s="1107"/>
      <c r="C4" s="1107"/>
      <c r="D4" s="1107"/>
      <c r="E4" s="1107"/>
      <c r="F4" s="1107"/>
      <c r="G4" s="1108"/>
      <c r="H4" s="1108"/>
      <c r="K4" s="1107"/>
      <c r="L4" s="1107"/>
      <c r="M4" s="1107"/>
      <c r="N4" s="1107"/>
      <c r="O4" s="1107"/>
      <c r="P4" s="1107"/>
      <c r="Q4" s="1108"/>
      <c r="R4" s="1108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396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396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396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396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69">
        <f>F7-C10+F6+F8+F5</f>
        <v>38</v>
      </c>
      <c r="C10" s="714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261</v>
      </c>
      <c r="H10" s="632">
        <v>101</v>
      </c>
      <c r="I10" s="666">
        <f>E7-F10+E6+E8+E5</f>
        <v>480.90000000000003</v>
      </c>
      <c r="K10" s="80" t="s">
        <v>32</v>
      </c>
      <c r="L10" s="769">
        <f>P7-M10+P6+P8+P5</f>
        <v>280</v>
      </c>
      <c r="M10" s="714">
        <v>5</v>
      </c>
      <c r="N10" s="633">
        <v>60</v>
      </c>
      <c r="O10" s="662">
        <v>44960</v>
      </c>
      <c r="P10" s="633">
        <f t="shared" ref="P10:P73" si="1">N10</f>
        <v>60</v>
      </c>
      <c r="Q10" s="1151" t="s">
        <v>446</v>
      </c>
      <c r="R10" s="632">
        <v>101</v>
      </c>
      <c r="S10" s="666">
        <f>O7-P10+O6+O8+O5+O4</f>
        <v>3481.99</v>
      </c>
    </row>
    <row r="11" spans="1:25" x14ac:dyDescent="0.25">
      <c r="A11" s="190"/>
      <c r="B11" s="769">
        <f>B10-C11</f>
        <v>23</v>
      </c>
      <c r="C11" s="714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262</v>
      </c>
      <c r="H11" s="632">
        <v>101</v>
      </c>
      <c r="I11" s="666">
        <f>I10-F11</f>
        <v>289.65000000000003</v>
      </c>
      <c r="K11" s="190"/>
      <c r="L11" s="769">
        <f>L10-M11</f>
        <v>265</v>
      </c>
      <c r="M11" s="714">
        <v>15</v>
      </c>
      <c r="N11" s="633">
        <v>180.17</v>
      </c>
      <c r="O11" s="662">
        <v>44960</v>
      </c>
      <c r="P11" s="633">
        <f t="shared" si="1"/>
        <v>180.17</v>
      </c>
      <c r="Q11" s="1151" t="s">
        <v>447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19">
        <f t="shared" ref="B12:B75" si="3">B11-C12</f>
        <v>22</v>
      </c>
      <c r="C12" s="714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272</v>
      </c>
      <c r="H12" s="632">
        <v>101</v>
      </c>
      <c r="I12" s="716">
        <f t="shared" ref="I12:I75" si="4">I11-F12</f>
        <v>276.50000000000006</v>
      </c>
      <c r="K12" s="178"/>
      <c r="L12" s="769">
        <f t="shared" ref="L12:L75" si="5">L11-M12</f>
        <v>245</v>
      </c>
      <c r="M12" s="714">
        <v>20</v>
      </c>
      <c r="N12" s="633">
        <v>237.85</v>
      </c>
      <c r="O12" s="662">
        <v>44960</v>
      </c>
      <c r="P12" s="633">
        <f t="shared" si="1"/>
        <v>237.85</v>
      </c>
      <c r="Q12" s="1151" t="s">
        <v>448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69">
        <f t="shared" si="3"/>
        <v>10</v>
      </c>
      <c r="C13" s="714">
        <v>12</v>
      </c>
      <c r="D13" s="735">
        <v>152.04</v>
      </c>
      <c r="E13" s="1104">
        <v>44956</v>
      </c>
      <c r="F13" s="735">
        <f t="shared" si="2"/>
        <v>152.04</v>
      </c>
      <c r="G13" s="1122" t="s">
        <v>444</v>
      </c>
      <c r="H13" s="1106">
        <v>101</v>
      </c>
      <c r="I13" s="666">
        <f t="shared" si="4"/>
        <v>124.46000000000006</v>
      </c>
      <c r="K13" s="178"/>
      <c r="L13" s="769">
        <f t="shared" si="5"/>
        <v>243</v>
      </c>
      <c r="M13" s="714">
        <v>2</v>
      </c>
      <c r="N13" s="633">
        <v>24.31</v>
      </c>
      <c r="O13" s="662">
        <v>44965</v>
      </c>
      <c r="P13" s="633">
        <f t="shared" si="1"/>
        <v>24.31</v>
      </c>
      <c r="Q13" s="1151" t="s">
        <v>449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69">
        <f t="shared" si="3"/>
        <v>0</v>
      </c>
      <c r="C14" s="714">
        <v>10</v>
      </c>
      <c r="D14" s="735">
        <v>124.54</v>
      </c>
      <c r="E14" s="1104">
        <v>44956</v>
      </c>
      <c r="F14" s="735">
        <f t="shared" si="2"/>
        <v>124.54</v>
      </c>
      <c r="G14" s="1122" t="s">
        <v>445</v>
      </c>
      <c r="H14" s="1106">
        <v>101</v>
      </c>
      <c r="I14" s="666">
        <f t="shared" si="4"/>
        <v>-7.9999999999941451E-2</v>
      </c>
      <c r="K14" s="82" t="s">
        <v>33</v>
      </c>
      <c r="L14" s="769">
        <f t="shared" si="5"/>
        <v>228</v>
      </c>
      <c r="M14" s="714">
        <v>15</v>
      </c>
      <c r="N14" s="633">
        <v>193.4</v>
      </c>
      <c r="O14" s="662">
        <v>44967</v>
      </c>
      <c r="P14" s="633">
        <f t="shared" si="1"/>
        <v>193.4</v>
      </c>
      <c r="Q14" s="1151" t="s">
        <v>450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69">
        <f t="shared" si="3"/>
        <v>0</v>
      </c>
      <c r="C15" s="714"/>
      <c r="D15" s="735"/>
      <c r="E15" s="1104"/>
      <c r="F15" s="735">
        <f t="shared" si="2"/>
        <v>0</v>
      </c>
      <c r="G15" s="1148"/>
      <c r="H15" s="1149"/>
      <c r="I15" s="1150">
        <f t="shared" si="4"/>
        <v>-7.9999999999941451E-2</v>
      </c>
      <c r="K15" s="73"/>
      <c r="L15" s="769">
        <f t="shared" si="5"/>
        <v>223</v>
      </c>
      <c r="M15" s="714">
        <v>5</v>
      </c>
      <c r="N15" s="633">
        <v>64.41</v>
      </c>
      <c r="O15" s="662">
        <v>44968</v>
      </c>
      <c r="P15" s="633">
        <f t="shared" si="1"/>
        <v>64.41</v>
      </c>
      <c r="Q15" s="1151" t="s">
        <v>451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69">
        <f t="shared" si="3"/>
        <v>0</v>
      </c>
      <c r="C16" s="714"/>
      <c r="D16" s="735"/>
      <c r="E16" s="1104"/>
      <c r="F16" s="735">
        <f t="shared" si="2"/>
        <v>0</v>
      </c>
      <c r="G16" s="1148"/>
      <c r="H16" s="1149"/>
      <c r="I16" s="1150">
        <f t="shared" si="4"/>
        <v>-7.9999999999941451E-2</v>
      </c>
      <c r="K16" s="73"/>
      <c r="L16" s="769">
        <f t="shared" si="5"/>
        <v>222</v>
      </c>
      <c r="M16" s="714">
        <v>1</v>
      </c>
      <c r="N16" s="633">
        <v>12.98</v>
      </c>
      <c r="O16" s="662">
        <v>44968</v>
      </c>
      <c r="P16" s="633">
        <f t="shared" si="1"/>
        <v>12.98</v>
      </c>
      <c r="Q16" s="1151" t="s">
        <v>452</v>
      </c>
      <c r="R16" s="632">
        <v>101</v>
      </c>
      <c r="S16" s="666">
        <f t="shared" si="6"/>
        <v>2768.87</v>
      </c>
    </row>
    <row r="17" spans="1:19" ht="15.75" customHeight="1" x14ac:dyDescent="0.25">
      <c r="B17" s="769">
        <f t="shared" si="3"/>
        <v>0</v>
      </c>
      <c r="C17" s="714"/>
      <c r="D17" s="735"/>
      <c r="E17" s="1104"/>
      <c r="F17" s="735">
        <f t="shared" si="2"/>
        <v>0</v>
      </c>
      <c r="G17" s="1148"/>
      <c r="H17" s="1149"/>
      <c r="I17" s="1150">
        <f t="shared" si="4"/>
        <v>-7.9999999999941451E-2</v>
      </c>
      <c r="L17" s="769">
        <f t="shared" si="5"/>
        <v>221</v>
      </c>
      <c r="M17" s="714">
        <v>1</v>
      </c>
      <c r="N17" s="633">
        <v>12.77</v>
      </c>
      <c r="O17" s="662">
        <v>44968</v>
      </c>
      <c r="P17" s="633">
        <f t="shared" si="1"/>
        <v>12.77</v>
      </c>
      <c r="Q17" s="1151" t="s">
        <v>453</v>
      </c>
      <c r="R17" s="632">
        <v>101</v>
      </c>
      <c r="S17" s="666">
        <f t="shared" si="6"/>
        <v>2756.1</v>
      </c>
    </row>
    <row r="18" spans="1:19" x14ac:dyDescent="0.25">
      <c r="B18" s="769">
        <f t="shared" si="3"/>
        <v>0</v>
      </c>
      <c r="C18" s="714"/>
      <c r="D18" s="735"/>
      <c r="E18" s="1104"/>
      <c r="F18" s="735">
        <f t="shared" si="2"/>
        <v>0</v>
      </c>
      <c r="G18" s="1148"/>
      <c r="H18" s="1149"/>
      <c r="I18" s="1150">
        <f t="shared" si="4"/>
        <v>-7.9999999999941451E-2</v>
      </c>
      <c r="L18" s="769">
        <f t="shared" si="5"/>
        <v>209</v>
      </c>
      <c r="M18" s="714">
        <v>12</v>
      </c>
      <c r="N18" s="633">
        <v>151.74</v>
      </c>
      <c r="O18" s="662">
        <v>44970</v>
      </c>
      <c r="P18" s="633">
        <f t="shared" si="1"/>
        <v>151.74</v>
      </c>
      <c r="Q18" s="1151" t="s">
        <v>454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69">
        <f t="shared" si="3"/>
        <v>0</v>
      </c>
      <c r="C19" s="714"/>
      <c r="D19" s="735"/>
      <c r="E19" s="1104"/>
      <c r="F19" s="735">
        <f t="shared" si="2"/>
        <v>0</v>
      </c>
      <c r="G19" s="1148"/>
      <c r="H19" s="1149"/>
      <c r="I19" s="1150">
        <f t="shared" si="4"/>
        <v>-7.9999999999941451E-2</v>
      </c>
      <c r="K19" s="119"/>
      <c r="L19" s="769">
        <f t="shared" si="5"/>
        <v>201</v>
      </c>
      <c r="M19" s="714">
        <v>8</v>
      </c>
      <c r="N19" s="633">
        <v>102.03</v>
      </c>
      <c r="O19" s="662">
        <v>44972</v>
      </c>
      <c r="P19" s="633">
        <f t="shared" si="1"/>
        <v>102.03</v>
      </c>
      <c r="Q19" s="1151" t="s">
        <v>455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69">
        <f t="shared" si="3"/>
        <v>0</v>
      </c>
      <c r="C20" s="714"/>
      <c r="D20" s="735"/>
      <c r="E20" s="1104"/>
      <c r="F20" s="735">
        <f t="shared" si="2"/>
        <v>0</v>
      </c>
      <c r="G20" s="1148"/>
      <c r="H20" s="1149"/>
      <c r="I20" s="1150">
        <f t="shared" si="4"/>
        <v>-7.9999999999941451E-2</v>
      </c>
      <c r="K20" s="119"/>
      <c r="L20" s="769">
        <f t="shared" si="5"/>
        <v>191</v>
      </c>
      <c r="M20" s="714">
        <v>10</v>
      </c>
      <c r="N20" s="633">
        <v>126.85</v>
      </c>
      <c r="O20" s="662">
        <v>44973</v>
      </c>
      <c r="P20" s="633">
        <f t="shared" si="1"/>
        <v>126.85</v>
      </c>
      <c r="Q20" s="1151" t="s">
        <v>456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69">
        <f t="shared" si="3"/>
        <v>0</v>
      </c>
      <c r="C21" s="714"/>
      <c r="D21" s="735"/>
      <c r="E21" s="1104"/>
      <c r="F21" s="735">
        <f t="shared" si="2"/>
        <v>0</v>
      </c>
      <c r="G21" s="1148"/>
      <c r="H21" s="1149"/>
      <c r="I21" s="1150">
        <f t="shared" si="4"/>
        <v>-7.9999999999941451E-2</v>
      </c>
      <c r="K21" s="119"/>
      <c r="L21" s="769">
        <f t="shared" si="5"/>
        <v>190</v>
      </c>
      <c r="M21" s="714">
        <v>1</v>
      </c>
      <c r="N21" s="633">
        <v>12.46</v>
      </c>
      <c r="O21" s="662">
        <v>44974</v>
      </c>
      <c r="P21" s="633">
        <f t="shared" si="1"/>
        <v>12.46</v>
      </c>
      <c r="Q21" s="1151" t="s">
        <v>457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69">
        <f t="shared" si="3"/>
        <v>0</v>
      </c>
      <c r="C22" s="714"/>
      <c r="D22" s="735"/>
      <c r="E22" s="1104"/>
      <c r="F22" s="735">
        <f t="shared" si="2"/>
        <v>0</v>
      </c>
      <c r="G22" s="1105"/>
      <c r="H22" s="1106"/>
      <c r="I22" s="666">
        <f t="shared" si="4"/>
        <v>-7.9999999999941451E-2</v>
      </c>
      <c r="K22" s="119"/>
      <c r="L22" s="769">
        <f t="shared" si="5"/>
        <v>174</v>
      </c>
      <c r="M22" s="714">
        <v>16</v>
      </c>
      <c r="N22" s="633">
        <v>202.3</v>
      </c>
      <c r="O22" s="662">
        <v>44975</v>
      </c>
      <c r="P22" s="633">
        <f t="shared" si="1"/>
        <v>202.3</v>
      </c>
      <c r="Q22" s="1151" t="s">
        <v>458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69">
        <f t="shared" si="3"/>
        <v>0</v>
      </c>
      <c r="C23" s="714"/>
      <c r="D23" s="735"/>
      <c r="E23" s="1104"/>
      <c r="F23" s="735">
        <f t="shared" si="2"/>
        <v>0</v>
      </c>
      <c r="G23" s="1105"/>
      <c r="H23" s="1106"/>
      <c r="I23" s="666">
        <f t="shared" si="4"/>
        <v>-7.9999999999941451E-2</v>
      </c>
      <c r="K23" s="119"/>
      <c r="L23" s="769">
        <f t="shared" si="5"/>
        <v>169</v>
      </c>
      <c r="M23" s="714">
        <v>5</v>
      </c>
      <c r="N23" s="633">
        <v>63.81</v>
      </c>
      <c r="O23" s="662">
        <v>44975</v>
      </c>
      <c r="P23" s="633">
        <f t="shared" si="1"/>
        <v>63.81</v>
      </c>
      <c r="Q23" s="1151" t="s">
        <v>459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69">
        <f t="shared" si="3"/>
        <v>0</v>
      </c>
      <c r="C24" s="714"/>
      <c r="D24" s="735"/>
      <c r="E24" s="1104"/>
      <c r="F24" s="735">
        <f t="shared" si="2"/>
        <v>0</v>
      </c>
      <c r="G24" s="1105"/>
      <c r="H24" s="1106"/>
      <c r="I24" s="666">
        <f t="shared" si="4"/>
        <v>-7.9999999999941451E-2</v>
      </c>
      <c r="K24" s="120"/>
      <c r="L24" s="769">
        <f t="shared" si="5"/>
        <v>163</v>
      </c>
      <c r="M24" s="714">
        <v>6</v>
      </c>
      <c r="N24" s="633">
        <v>75.38</v>
      </c>
      <c r="O24" s="662">
        <v>44977</v>
      </c>
      <c r="P24" s="633">
        <f t="shared" si="1"/>
        <v>75.38</v>
      </c>
      <c r="Q24" s="1151" t="s">
        <v>460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69">
        <f t="shared" si="3"/>
        <v>0</v>
      </c>
      <c r="C25" s="714"/>
      <c r="D25" s="735"/>
      <c r="E25" s="1104"/>
      <c r="F25" s="735">
        <f t="shared" si="2"/>
        <v>0</v>
      </c>
      <c r="G25" s="1105"/>
      <c r="H25" s="1106"/>
      <c r="I25" s="666">
        <f t="shared" si="4"/>
        <v>-7.9999999999941451E-2</v>
      </c>
      <c r="K25" s="119"/>
      <c r="L25" s="769">
        <f t="shared" si="5"/>
        <v>162</v>
      </c>
      <c r="M25" s="714">
        <v>1</v>
      </c>
      <c r="N25" s="633">
        <v>12.74</v>
      </c>
      <c r="O25" s="662">
        <v>44977</v>
      </c>
      <c r="P25" s="633">
        <f t="shared" si="1"/>
        <v>12.74</v>
      </c>
      <c r="Q25" s="1151" t="s">
        <v>461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69">
        <f t="shared" si="3"/>
        <v>0</v>
      </c>
      <c r="C26" s="714"/>
      <c r="D26" s="735"/>
      <c r="E26" s="1104"/>
      <c r="F26" s="735">
        <f t="shared" si="2"/>
        <v>0</v>
      </c>
      <c r="G26" s="1105"/>
      <c r="H26" s="1106"/>
      <c r="I26" s="666">
        <f t="shared" si="4"/>
        <v>-7.9999999999941451E-2</v>
      </c>
      <c r="K26" s="119"/>
      <c r="L26" s="769">
        <f t="shared" si="5"/>
        <v>147</v>
      </c>
      <c r="M26" s="714">
        <v>15</v>
      </c>
      <c r="N26" s="633">
        <v>184.96</v>
      </c>
      <c r="O26" s="662">
        <v>44984</v>
      </c>
      <c r="P26" s="633">
        <f t="shared" si="1"/>
        <v>184.96</v>
      </c>
      <c r="Q26" s="1151" t="s">
        <v>462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1"/>
      <c r="E27" s="732"/>
      <c r="F27" s="731">
        <f t="shared" si="2"/>
        <v>0</v>
      </c>
      <c r="G27" s="733"/>
      <c r="H27" s="734"/>
      <c r="I27" s="103">
        <f t="shared" si="4"/>
        <v>-7.9999999999941451E-2</v>
      </c>
      <c r="K27" s="119"/>
      <c r="L27" s="769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1151" t="s">
        <v>463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1"/>
      <c r="E28" s="732"/>
      <c r="F28" s="731">
        <f t="shared" si="2"/>
        <v>0</v>
      </c>
      <c r="G28" s="733"/>
      <c r="H28" s="734"/>
      <c r="I28" s="103">
        <f t="shared" si="4"/>
        <v>-7.9999999999941451E-2</v>
      </c>
      <c r="K28" s="119"/>
      <c r="L28" s="769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1151" t="s">
        <v>464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1"/>
      <c r="E29" s="732"/>
      <c r="F29" s="731">
        <f t="shared" si="2"/>
        <v>0</v>
      </c>
      <c r="G29" s="733"/>
      <c r="H29" s="734"/>
      <c r="I29" s="103">
        <f t="shared" si="4"/>
        <v>-7.9999999999941451E-2</v>
      </c>
      <c r="K29" s="119"/>
      <c r="L29" s="769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1151" t="s">
        <v>465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1"/>
      <c r="E30" s="732"/>
      <c r="F30" s="731">
        <f t="shared" si="2"/>
        <v>0</v>
      </c>
      <c r="G30" s="733"/>
      <c r="H30" s="734"/>
      <c r="I30" s="103">
        <f t="shared" si="4"/>
        <v>-7.9999999999941451E-2</v>
      </c>
      <c r="K30" s="119"/>
      <c r="L30" s="769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1151" t="s">
        <v>466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1"/>
      <c r="E31" s="732"/>
      <c r="F31" s="731">
        <f t="shared" si="2"/>
        <v>0</v>
      </c>
      <c r="G31" s="733"/>
      <c r="H31" s="734"/>
      <c r="I31" s="103">
        <f t="shared" si="4"/>
        <v>-7.9999999999941451E-2</v>
      </c>
      <c r="K31" s="119"/>
      <c r="L31" s="769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1151" t="s">
        <v>467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69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1151" t="s">
        <v>468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69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1151" t="s">
        <v>469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69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69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69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470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69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471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69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472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69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473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69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474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69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475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69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476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69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477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69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69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69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69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69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69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69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69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69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69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69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69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69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69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69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69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69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69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69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69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69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69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69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69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69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69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69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69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69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69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69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69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69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388" t="s">
        <v>11</v>
      </c>
      <c r="D84" s="1389"/>
      <c r="E84" s="57">
        <f>E6+E7-F79+E8</f>
        <v>-7.999999999992724E-2</v>
      </c>
      <c r="F84" s="73"/>
      <c r="M84" s="1388" t="s">
        <v>11</v>
      </c>
      <c r="N84" s="1389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2023-03-27T19:09:07Z</dcterms:modified>
</cp:coreProperties>
</file>