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4  ABRIL   2022\"/>
    </mc:Choice>
  </mc:AlternateContent>
  <bookViews>
    <workbookView xWindow="3690" yWindow="0" windowWidth="16605" windowHeight="10920" firstSheet="11" activeTab="12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DICIEMBRE    2 0 2 1      " sheetId="7" r:id="rId5"/>
    <sheet name="REMISIONES  DICIEMBRE  2021   " sheetId="8" r:id="rId6"/>
    <sheet name="    E N E R O     2 0 2 2   " sheetId="10" r:id="rId7"/>
    <sheet name="COMPRAS  DE ENERO  2022" sheetId="11" r:id="rId8"/>
    <sheet name="FEBRERO       2 0 2 2      " sheetId="12" r:id="rId9"/>
    <sheet name="COMPRAS   FEBRERO    2 0  2 2  " sheetId="13" r:id="rId10"/>
    <sheet name="    M A R Z O     2 0 2 2      " sheetId="14" r:id="rId11"/>
    <sheet name="COMPRAS     MARZO     2022    " sheetId="15" r:id="rId12"/>
    <sheet name="     A B R I L     2 0 2 2     " sheetId="16" r:id="rId13"/>
    <sheet name="   COMPRAS    ABRIL    2 02 2 2" sheetId="9" r:id="rId14"/>
    <sheet name="Hoja1" sheetId="17" r:id="rId15"/>
    <sheet name="Hoja2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6" l="1"/>
  <c r="Q8" i="16"/>
  <c r="Q9" i="16"/>
  <c r="Q10" i="16"/>
  <c r="Q25" i="16"/>
  <c r="Q26" i="16"/>
  <c r="Q27" i="16"/>
  <c r="Q28" i="16"/>
  <c r="Q29" i="16"/>
  <c r="Q30" i="16"/>
  <c r="Q31" i="16"/>
  <c r="Q32" i="16"/>
  <c r="Q5" i="16"/>
  <c r="P7" i="16"/>
  <c r="M79" i="9"/>
  <c r="K79" i="9"/>
  <c r="E79" i="9"/>
  <c r="C79" i="9"/>
  <c r="F46" i="9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F3" i="9"/>
  <c r="K56" i="16"/>
  <c r="L50" i="16"/>
  <c r="I50" i="16"/>
  <c r="F50" i="16"/>
  <c r="C50" i="16"/>
  <c r="N36" i="16"/>
  <c r="Q35" i="16"/>
  <c r="Q34" i="16"/>
  <c r="T33" i="16"/>
  <c r="Q33" i="16"/>
  <c r="P32" i="16"/>
  <c r="P31" i="16"/>
  <c r="P30" i="16"/>
  <c r="P29" i="16"/>
  <c r="P28" i="16"/>
  <c r="P27" i="16"/>
  <c r="P26" i="16"/>
  <c r="P25" i="16"/>
  <c r="P24" i="16"/>
  <c r="Q24" i="16" s="1"/>
  <c r="P23" i="16"/>
  <c r="Q23" i="16" s="1"/>
  <c r="P22" i="16"/>
  <c r="Q22" i="16" s="1"/>
  <c r="P21" i="16"/>
  <c r="Q21" i="16" s="1"/>
  <c r="P20" i="16"/>
  <c r="Q20" i="16" s="1"/>
  <c r="W19" i="16"/>
  <c r="P19" i="16"/>
  <c r="Q19" i="16" s="1"/>
  <c r="P18" i="16"/>
  <c r="Q18" i="16" s="1"/>
  <c r="P17" i="16"/>
  <c r="Q17" i="16" s="1"/>
  <c r="P16" i="16"/>
  <c r="Q16" i="16" s="1"/>
  <c r="P15" i="16"/>
  <c r="Q15" i="16" s="1"/>
  <c r="P14" i="16"/>
  <c r="P13" i="16"/>
  <c r="Q13" i="16" s="1"/>
  <c r="U12" i="16"/>
  <c r="P12" i="16"/>
  <c r="Q12" i="16" s="1"/>
  <c r="P11" i="16"/>
  <c r="P10" i="16"/>
  <c r="P9" i="16"/>
  <c r="P8" i="16"/>
  <c r="P6" i="16"/>
  <c r="P5" i="16"/>
  <c r="K52" i="16" l="1"/>
  <c r="F53" i="16" s="1"/>
  <c r="F56" i="16" s="1"/>
  <c r="K54" i="16" s="1"/>
  <c r="K58" i="16" s="1"/>
  <c r="F79" i="9"/>
  <c r="Q36" i="16"/>
  <c r="M36" i="16"/>
  <c r="M39" i="16" s="1"/>
  <c r="P39" i="16"/>
  <c r="C38" i="14" l="1"/>
  <c r="M29" i="14" l="1"/>
  <c r="M28" i="14" l="1"/>
  <c r="Q35" i="14" l="1"/>
  <c r="M22" i="14"/>
  <c r="M19" i="14" l="1"/>
  <c r="F4" i="13" l="1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3" i="13"/>
  <c r="F41" i="11"/>
  <c r="M14" i="14" l="1"/>
  <c r="M8" i="14" l="1"/>
  <c r="Q6" i="14"/>
  <c r="M79" i="15" l="1"/>
  <c r="K79" i="15"/>
  <c r="E79" i="15"/>
  <c r="C79" i="15"/>
  <c r="F47" i="15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F69" i="15" s="1"/>
  <c r="F70" i="15" s="1"/>
  <c r="F71" i="15" s="1"/>
  <c r="F72" i="15" s="1"/>
  <c r="F73" i="15" s="1"/>
  <c r="F74" i="15" s="1"/>
  <c r="F75" i="15" s="1"/>
  <c r="F76" i="15" s="1"/>
  <c r="F77" i="15" s="1"/>
  <c r="F78" i="15" s="1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N3" i="15"/>
  <c r="N4" i="15" s="1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F3" i="15"/>
  <c r="K56" i="14"/>
  <c r="L50" i="14"/>
  <c r="I50" i="14"/>
  <c r="F50" i="14"/>
  <c r="C50" i="14"/>
  <c r="Q34" i="14"/>
  <c r="T33" i="14"/>
  <c r="Q33" i="14"/>
  <c r="P32" i="14"/>
  <c r="Q32" i="14" s="1"/>
  <c r="P31" i="14"/>
  <c r="Q31" i="14" s="1"/>
  <c r="P30" i="14"/>
  <c r="Q30" i="14" s="1"/>
  <c r="N36" i="14"/>
  <c r="P28" i="14"/>
  <c r="P27" i="14"/>
  <c r="P26" i="14"/>
  <c r="Q26" i="14" s="1"/>
  <c r="P25" i="14"/>
  <c r="Q25" i="14" s="1"/>
  <c r="P24" i="14"/>
  <c r="Q24" i="14" s="1"/>
  <c r="P23" i="14"/>
  <c r="Q23" i="14" s="1"/>
  <c r="P22" i="14"/>
  <c r="Q22" i="14" s="1"/>
  <c r="P21" i="14"/>
  <c r="Q21" i="14" s="1"/>
  <c r="P20" i="14"/>
  <c r="Q20" i="14" s="1"/>
  <c r="W19" i="14"/>
  <c r="P19" i="14"/>
  <c r="Q19" i="14" s="1"/>
  <c r="P18" i="14"/>
  <c r="Q18" i="14" s="1"/>
  <c r="P17" i="14"/>
  <c r="Q17" i="14" s="1"/>
  <c r="P16" i="14"/>
  <c r="Q16" i="14" s="1"/>
  <c r="P15" i="14"/>
  <c r="Q15" i="14" s="1"/>
  <c r="P14" i="14"/>
  <c r="Q14" i="14" s="1"/>
  <c r="P13" i="14"/>
  <c r="Q13" i="14" s="1"/>
  <c r="U12" i="14"/>
  <c r="P12" i="14"/>
  <c r="Q12" i="14" s="1"/>
  <c r="P11" i="14"/>
  <c r="Q11" i="14" s="1"/>
  <c r="P10" i="14"/>
  <c r="Q10" i="14" s="1"/>
  <c r="P9" i="14"/>
  <c r="P8" i="14"/>
  <c r="Q8" i="14" s="1"/>
  <c r="P7" i="14"/>
  <c r="P6" i="14"/>
  <c r="P5" i="14"/>
  <c r="F79" i="15" l="1"/>
  <c r="K52" i="14"/>
  <c r="F53" i="14" s="1"/>
  <c r="F56" i="14" s="1"/>
  <c r="K54" i="14" s="1"/>
  <c r="K58" i="14" s="1"/>
  <c r="Q5" i="14"/>
  <c r="M36" i="14"/>
  <c r="M39" i="14" s="1"/>
  <c r="P29" i="14"/>
  <c r="Q29" i="14" s="1"/>
  <c r="M39" i="12"/>
  <c r="M32" i="12"/>
  <c r="T33" i="12"/>
  <c r="N31" i="12"/>
  <c r="M31" i="12"/>
  <c r="N29" i="12"/>
  <c r="M30" i="12"/>
  <c r="M29" i="12"/>
  <c r="Q36" i="14" l="1"/>
  <c r="P39" i="14"/>
  <c r="M28" i="12"/>
  <c r="P24" i="12" l="1"/>
  <c r="M21" i="12"/>
  <c r="M16" i="12" l="1"/>
  <c r="M15" i="12"/>
  <c r="M12" i="12"/>
  <c r="Q10" i="12" l="1"/>
  <c r="P10" i="12"/>
  <c r="P5" i="12" l="1"/>
  <c r="Q5" i="12"/>
  <c r="M79" i="13" l="1"/>
  <c r="K79" i="13"/>
  <c r="E79" i="13"/>
  <c r="C79" i="13"/>
  <c r="F79" i="13" s="1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F48" i="13"/>
  <c r="F49" i="13" s="1"/>
  <c r="F50" i="13" s="1"/>
  <c r="F51" i="13" s="1"/>
  <c r="F52" i="13" s="1"/>
  <c r="F53" i="13" s="1"/>
  <c r="F54" i="13" s="1"/>
  <c r="F55" i="13" s="1"/>
  <c r="F56" i="13" s="1"/>
  <c r="F57" i="13" s="1"/>
  <c r="F58" i="13" s="1"/>
  <c r="F59" i="13" s="1"/>
  <c r="F60" i="13" s="1"/>
  <c r="F61" i="13" s="1"/>
  <c r="F62" i="13" s="1"/>
  <c r="F63" i="13" s="1"/>
  <c r="F64" i="13" s="1"/>
  <c r="F65" i="13" s="1"/>
  <c r="F66" i="13" s="1"/>
  <c r="F67" i="13" s="1"/>
  <c r="F68" i="13" s="1"/>
  <c r="F69" i="13" s="1"/>
  <c r="F70" i="13" s="1"/>
  <c r="F71" i="13" s="1"/>
  <c r="F72" i="13" s="1"/>
  <c r="F73" i="13" s="1"/>
  <c r="F74" i="13" s="1"/>
  <c r="F75" i="13" s="1"/>
  <c r="F76" i="13" s="1"/>
  <c r="F77" i="13" s="1"/>
  <c r="F78" i="13" s="1"/>
  <c r="K56" i="12"/>
  <c r="I50" i="12"/>
  <c r="F50" i="12"/>
  <c r="C50" i="12"/>
  <c r="N36" i="12"/>
  <c r="Q35" i="12"/>
  <c r="Q34" i="12"/>
  <c r="Q33" i="12"/>
  <c r="P32" i="12"/>
  <c r="Q32" i="12" s="1"/>
  <c r="P31" i="12"/>
  <c r="Q31" i="12" s="1"/>
  <c r="P30" i="12"/>
  <c r="P29" i="12"/>
  <c r="Q29" i="12" s="1"/>
  <c r="P28" i="12"/>
  <c r="Q28" i="12" s="1"/>
  <c r="P27" i="12"/>
  <c r="Q27" i="12" s="1"/>
  <c r="P26" i="12"/>
  <c r="Q26" i="12" s="1"/>
  <c r="P25" i="12"/>
  <c r="Q25" i="12" s="1"/>
  <c r="Q24" i="12"/>
  <c r="P23" i="12"/>
  <c r="Q23" i="12" s="1"/>
  <c r="P22" i="12"/>
  <c r="Q22" i="12" s="1"/>
  <c r="P21" i="12"/>
  <c r="P20" i="12"/>
  <c r="Q20" i="12" s="1"/>
  <c r="W19" i="12"/>
  <c r="P19" i="12"/>
  <c r="Q19" i="12" s="1"/>
  <c r="P18" i="12"/>
  <c r="Q18" i="12" s="1"/>
  <c r="P17" i="12"/>
  <c r="Q17" i="12" s="1"/>
  <c r="L50" i="12"/>
  <c r="P16" i="12"/>
  <c r="Q16" i="12" s="1"/>
  <c r="P15" i="12"/>
  <c r="Q15" i="12" s="1"/>
  <c r="P14" i="12"/>
  <c r="P13" i="12"/>
  <c r="Q13" i="12" s="1"/>
  <c r="U12" i="12"/>
  <c r="P12" i="12"/>
  <c r="Q12" i="12" s="1"/>
  <c r="P11" i="12"/>
  <c r="Q11" i="12" s="1"/>
  <c r="P9" i="12"/>
  <c r="Q9" i="12" s="1"/>
  <c r="P8" i="12"/>
  <c r="Q8" i="12" s="1"/>
  <c r="M36" i="12"/>
  <c r="P7" i="12"/>
  <c r="Q7" i="12" s="1"/>
  <c r="P6" i="12"/>
  <c r="P39" i="12" l="1"/>
  <c r="K52" i="12"/>
  <c r="F53" i="12" s="1"/>
  <c r="F56" i="12" s="1"/>
  <c r="K54" i="12" s="1"/>
  <c r="K58" i="12" s="1"/>
  <c r="Q36" i="12"/>
  <c r="N74" i="8"/>
  <c r="M74" i="8"/>
  <c r="E79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2" i="11"/>
  <c r="F43" i="11"/>
  <c r="F44" i="11"/>
  <c r="F45" i="11"/>
  <c r="F46" i="11"/>
  <c r="F3" i="11"/>
  <c r="K79" i="11" l="1"/>
  <c r="M79" i="11"/>
  <c r="M32" i="10" l="1"/>
  <c r="M29" i="10"/>
  <c r="M28" i="10" l="1"/>
  <c r="M23" i="10" l="1"/>
  <c r="M21" i="10" l="1"/>
  <c r="M20" i="10"/>
  <c r="M15" i="10" l="1"/>
  <c r="M18" i="10"/>
  <c r="L17" i="10"/>
  <c r="M17" i="10"/>
  <c r="M10" i="10" l="1"/>
  <c r="M8" i="10" l="1"/>
  <c r="U12" i="10"/>
  <c r="M32" i="7"/>
  <c r="C79" i="11" l="1"/>
  <c r="F47" i="1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K56" i="10"/>
  <c r="L50" i="10"/>
  <c r="I50" i="10"/>
  <c r="F50" i="10"/>
  <c r="C50" i="10"/>
  <c r="N36" i="10"/>
  <c r="M36" i="10"/>
  <c r="Q35" i="10"/>
  <c r="Q34" i="10"/>
  <c r="Q33" i="10"/>
  <c r="P32" i="10"/>
  <c r="Q32" i="10" s="1"/>
  <c r="P31" i="10"/>
  <c r="Q31" i="10" s="1"/>
  <c r="U30" i="10"/>
  <c r="P30" i="10"/>
  <c r="Q30" i="10" s="1"/>
  <c r="P29" i="10"/>
  <c r="P28" i="10"/>
  <c r="Q28" i="10" s="1"/>
  <c r="P27" i="10"/>
  <c r="Q27" i="10" s="1"/>
  <c r="P26" i="10"/>
  <c r="Q26" i="10" s="1"/>
  <c r="P25" i="10"/>
  <c r="P24" i="10"/>
  <c r="Q24" i="10" s="1"/>
  <c r="P23" i="10"/>
  <c r="Q23" i="10" s="1"/>
  <c r="P22" i="10"/>
  <c r="Q22" i="10" s="1"/>
  <c r="P21" i="10"/>
  <c r="P20" i="10"/>
  <c r="Q20" i="10" s="1"/>
  <c r="W19" i="10"/>
  <c r="P19" i="10"/>
  <c r="Q19" i="10" s="1"/>
  <c r="P18" i="10"/>
  <c r="Q18" i="10" s="1"/>
  <c r="P17" i="10"/>
  <c r="P16" i="10"/>
  <c r="Q16" i="10" s="1"/>
  <c r="P15" i="10"/>
  <c r="Q15" i="10" s="1"/>
  <c r="P14" i="10"/>
  <c r="Q14" i="10" s="1"/>
  <c r="P13" i="10"/>
  <c r="Q13" i="10" s="1"/>
  <c r="P12" i="10"/>
  <c r="Q12" i="10" s="1"/>
  <c r="P11" i="10"/>
  <c r="Q11" i="10" s="1"/>
  <c r="P10" i="10"/>
  <c r="P9" i="10"/>
  <c r="Q9" i="10" s="1"/>
  <c r="P8" i="10"/>
  <c r="Q8" i="10" s="1"/>
  <c r="P7" i="10"/>
  <c r="Q7" i="10" s="1"/>
  <c r="P6" i="10"/>
  <c r="Q6" i="10" s="1"/>
  <c r="P5" i="10"/>
  <c r="Q5" i="10" s="1"/>
  <c r="F48" i="11" l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K52" i="10"/>
  <c r="Q36" i="10"/>
  <c r="P39" i="10"/>
  <c r="F53" i="10" l="1"/>
  <c r="F56" i="10" s="1"/>
  <c r="K54" i="10" s="1"/>
  <c r="K58" i="10" s="1"/>
  <c r="F79" i="11"/>
  <c r="C86" i="6" l="1"/>
  <c r="F38" i="6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N3" i="8" l="1"/>
  <c r="M30" i="7" l="1"/>
  <c r="M28" i="7"/>
  <c r="M29" i="7" l="1"/>
  <c r="U30" i="7" l="1"/>
  <c r="M23" i="7" l="1"/>
  <c r="M22" i="7" l="1"/>
  <c r="M18" i="7" l="1"/>
  <c r="Q16" i="7"/>
  <c r="P17" i="7"/>
  <c r="M17" i="7"/>
  <c r="M16" i="7" l="1"/>
  <c r="M15" i="7"/>
  <c r="M14" i="7"/>
  <c r="M13" i="7"/>
  <c r="M12" i="7"/>
  <c r="U12" i="7"/>
  <c r="M10" i="7" l="1"/>
  <c r="L5" i="7" l="1"/>
  <c r="P5" i="7" s="1"/>
  <c r="Q5" i="7" s="1"/>
  <c r="I5" i="7"/>
  <c r="K74" i="8"/>
  <c r="C74" i="8"/>
  <c r="N4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K56" i="7"/>
  <c r="I50" i="7"/>
  <c r="N36" i="7"/>
  <c r="Q35" i="7"/>
  <c r="Q34" i="7"/>
  <c r="Q33" i="7"/>
  <c r="P32" i="7"/>
  <c r="Q32" i="7" s="1"/>
  <c r="P31" i="7"/>
  <c r="Q31" i="7" s="1"/>
  <c r="P30" i="7"/>
  <c r="Q30" i="7" s="1"/>
  <c r="P29" i="7"/>
  <c r="Q29" i="7" s="1"/>
  <c r="M36" i="7"/>
  <c r="F50" i="7"/>
  <c r="P28" i="7"/>
  <c r="Q28" i="7" s="1"/>
  <c r="P27" i="7"/>
  <c r="Q27" i="7" s="1"/>
  <c r="P26" i="7"/>
  <c r="Q26" i="7" s="1"/>
  <c r="P25" i="7"/>
  <c r="Q25" i="7" s="1"/>
  <c r="P24" i="7"/>
  <c r="Q24" i="7" s="1"/>
  <c r="P23" i="7"/>
  <c r="Q23" i="7" s="1"/>
  <c r="C50" i="7"/>
  <c r="F53" i="7" s="1"/>
  <c r="P21" i="7"/>
  <c r="Q21" i="7" s="1"/>
  <c r="P20" i="7"/>
  <c r="Q20" i="7" s="1"/>
  <c r="W19" i="7"/>
  <c r="P19" i="7"/>
  <c r="Q19" i="7" s="1"/>
  <c r="P18" i="7"/>
  <c r="Q18" i="7" s="1"/>
  <c r="Q17" i="7"/>
  <c r="P16" i="7"/>
  <c r="P15" i="7"/>
  <c r="Q15" i="7" s="1"/>
  <c r="P14" i="7"/>
  <c r="Q14" i="7" s="1"/>
  <c r="P13" i="7"/>
  <c r="Q13" i="7" s="1"/>
  <c r="P12" i="7"/>
  <c r="Q12" i="7" s="1"/>
  <c r="P11" i="7"/>
  <c r="Q11" i="7" s="1"/>
  <c r="P10" i="7"/>
  <c r="Q10" i="7" s="1"/>
  <c r="P9" i="7"/>
  <c r="Q9" i="7" s="1"/>
  <c r="P8" i="7"/>
  <c r="Q8" i="7" s="1"/>
  <c r="P7" i="7"/>
  <c r="Q7" i="7" s="1"/>
  <c r="P6" i="7"/>
  <c r="Q6" i="7" s="1"/>
  <c r="N39" i="8" l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F37" i="8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L50" i="7"/>
  <c r="K52" i="7" s="1"/>
  <c r="F56" i="7" s="1"/>
  <c r="K54" i="7" s="1"/>
  <c r="K58" i="7" s="1"/>
  <c r="P22" i="7"/>
  <c r="Q22" i="7" s="1"/>
  <c r="Q36" i="7" s="1"/>
  <c r="P39" i="7" l="1"/>
  <c r="N36" i="4" l="1"/>
  <c r="P5" i="4"/>
  <c r="W19" i="4" l="1"/>
  <c r="M31" i="4" l="1"/>
  <c r="M30" i="4" l="1"/>
  <c r="M29" i="4"/>
  <c r="L17" i="4"/>
  <c r="M36" i="4" l="1"/>
  <c r="F29" i="4"/>
  <c r="F50" i="4" s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P6" i="4" l="1"/>
  <c r="Q6" i="4" s="1"/>
  <c r="K86" i="6" l="1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F3" i="6"/>
  <c r="F4" i="6" s="1"/>
  <c r="K56" i="4"/>
  <c r="L50" i="4"/>
  <c r="I50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P8" i="4"/>
  <c r="Q8" i="4" s="1"/>
  <c r="P7" i="4"/>
  <c r="Q7" i="4" s="1"/>
  <c r="Q5" i="4"/>
  <c r="N50" i="6" l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K52" i="4"/>
  <c r="F53" i="4" s="1"/>
  <c r="F56" i="4" s="1"/>
  <c r="K54" i="4" s="1"/>
  <c r="K58" i="4" s="1"/>
  <c r="P9" i="4"/>
  <c r="Q9" i="4" s="1"/>
  <c r="P11" i="4"/>
  <c r="F50" i="6" l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Q11" i="4"/>
  <c r="Q36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12" i="1"/>
  <c r="P12" i="1" s="1"/>
  <c r="P10" i="1"/>
  <c r="P14" i="1"/>
  <c r="C50" i="1" l="1"/>
  <c r="P11" i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<sst xmlns="http://schemas.openxmlformats.org/spreadsheetml/2006/main" count="1194" uniqueCount="643">
  <si>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</si>
  <si>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</si>
  <si>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</si>
  <si>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</si>
  <si>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</si>
  <si>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</si>
  <si>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</si>
  <si>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</si>
  <si>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</si>
  <si>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</si>
  <si>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</si>
  <si>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</si>
  <si>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</si>
  <si>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</si>
  <si>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</si>
  <si>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</si>
  <si>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</si>
  <si>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</si>
  <si>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</si>
  <si>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</si>
  <si>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</si>
  <si>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</si>
  <si>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</si>
  <si>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</si>
  <si>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</si>
  <si>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</si>
  <si>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</si>
  <si>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</si>
  <si>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</si>
  <si>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</si>
  <si>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</si>
  <si>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</si>
  <si>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</si>
  <si>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</si>
  <si>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</si>
  <si>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</si>
  <si>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</si>
  <si>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</si>
  <si>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</si>
  <si>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</si>
  <si>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</si>
  <si>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</si>
  <si>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</si>
  <si>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</si>
  <si>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</si>
  <si>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</si>
  <si>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</si>
  <si>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</si>
  <si>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</si>
  <si>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</si>
  <si>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</si>
  <si>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</si>
  <si>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</si>
  <si>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</si>
  <si>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</si>
  <si>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</si>
  <si>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</si>
  <si>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</si>
  <si>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</si>
  <si>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</si>
  <si>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</si>
  <si>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</si>
  <si>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</si>
  <si>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</si>
  <si>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</si>
  <si>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</si>
  <si>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</si>
  <si>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</si>
  <si>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</si>
  <si>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</si>
  <si>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</si>
  <si>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</si>
  <si>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</si>
  <si>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</si>
  <si>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</si>
  <si>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</si>
  <si>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</si>
  <si>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</si>
  <si>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</si>
  <si>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</si>
  <si>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</si>
  <si>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</si>
  <si>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</si>
  <si>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</si>
  <si>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</si>
  <si>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</si>
  <si>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</si>
  <si>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</si>
  <si>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</si>
  <si>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</si>
  <si>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</si>
  <si>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</si>
  <si>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</si>
  <si>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</si>
  <si>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</si>
  <si>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</si>
  <si>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</si>
  <si>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</si>
  <si>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</si>
  <si>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</si>
  <si>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</si>
  <si>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</si>
  <si>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</si>
  <si>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</si>
  <si>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</si>
  <si>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</si>
  <si>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</si>
  <si>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</si>
  <si>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</si>
  <si>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</si>
  <si>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</si>
  <si>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</si>
  <si>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</si>
  <si>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</si>
  <si>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</si>
  <si>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</si>
  <si>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</si>
  <si>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</si>
  <si>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</si>
  <si>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</si>
  <si>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</si>
  <si>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</si>
  <si>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</si>
  <si>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</si>
  <si>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</si>
  <si>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</si>
  <si>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</si>
  <si>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</si>
  <si>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</si>
  <si>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</si>
  <si>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</si>
  <si>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</si>
  <si>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</si>
  <si>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</si>
  <si>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</si>
  <si>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</si>
  <si>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</si>
  <si>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</si>
  <si>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</si>
  <si>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</si>
  <si>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</si>
  <si>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</si>
  <si>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</si>
  <si>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</si>
  <si>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</si>
  <si>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</si>
  <si>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</si>
  <si>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</si>
  <si>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</si>
  <si>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</si>
  <si>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</si>
  <si>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</si>
  <si>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</si>
  <si>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</si>
  <si>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</si>
  <si>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</si>
  <si>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</si>
  <si>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</si>
  <si>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</si>
  <si>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</si>
  <si>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</si>
  <si>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</si>
  <si>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</si>
  <si>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</si>
  <si>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</si>
  <si>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</si>
  <si>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</si>
  <si>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</si>
  <si>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</si>
  <si>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</si>
  <si>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</si>
  <si>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</si>
  <si>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</si>
  <si>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</si>
  <si>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</si>
  <si>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</si>
  <si>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</si>
  <si>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</si>
  <si>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</si>
  <si>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</si>
  <si>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</si>
  <si>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</si>
  <si>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</si>
  <si>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</si>
  <si>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</si>
  <si>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</si>
  <si>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</si>
  <si>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</si>
  <si>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</si>
  <si>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</si>
  <si>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</si>
  <si>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</si>
  <si>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</si>
  <si>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</si>
  <si>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</si>
  <si>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06/12/2021</t>
  </si>
  <si>
    <t>14/11/2021</t>
  </si>
  <si>
    <t>21/11/2021</t>
  </si>
  <si>
    <t xml:space="preserve">GANANCIA </t>
  </si>
  <si>
    <t>NOV-DIC</t>
  </si>
  <si>
    <t>comisiones ban</t>
  </si>
  <si>
    <t>TELMEX</t>
  </si>
  <si>
    <t>DESECHABLES</t>
  </si>
  <si>
    <t>POLICIA AUX</t>
  </si>
  <si>
    <t>CARNES CIEN</t>
  </si>
  <si>
    <t>T</t>
  </si>
  <si>
    <t>NOV--</t>
  </si>
  <si>
    <t xml:space="preserve">SALDO X PAGAR </t>
  </si>
  <si>
    <t>BALANCE      ABASTO 4 CARNES    Z A V A L E T A      NOVIEMBRE           2 0 2 1</t>
  </si>
  <si>
    <t>DIF X DEPOSITAR</t>
  </si>
  <si>
    <t xml:space="preserve">S A L D O </t>
  </si>
  <si>
    <t>NOTA:  FALTA REGISTRO DE OTRAS COMPRAS</t>
  </si>
  <si>
    <t>JAMON-QUESOS-SALCHICA</t>
  </si>
  <si>
    <t xml:space="preserve">Transferencia </t>
  </si>
  <si>
    <t>VAC--SUELDO</t>
  </si>
  <si>
    <t>QUESOS-VERDIRA-LONGANIZA-POLLO</t>
  </si>
  <si>
    <t>COBRO CREDITOS MES ANTERIOR</t>
  </si>
  <si>
    <t>EFECITVO X DEPOSITAR</t>
  </si>
  <si>
    <t>QUESOS-PICAÑA-JAMON-POLLO-PAVO</t>
  </si>
  <si>
    <t>SALCHICHAS-SIRLON-POLLO-QUESOS-ROAST-BEEF--LONGANIZA-PAVO</t>
  </si>
  <si>
    <t>POLLO-SALSAS-PAVOS</t>
  </si>
  <si>
    <t>POLLO-QUESOS-LOMO-CHORIZO-PAVO</t>
  </si>
  <si>
    <t>PAVOS--LONGANIZA</t>
  </si>
  <si>
    <t>PAVOS</t>
  </si>
  <si>
    <t>SALCHICHONERIA-ENCHILADA-ROAST BEFF-QUESOS</t>
  </si>
  <si>
    <t>Transferencia  ODELPA</t>
  </si>
  <si>
    <t>CHICHARRON-PULPA-SIRLON-POLLO-CHORIZO</t>
  </si>
  <si>
    <t>POLLO-QUESO--LONGANIZA-ENCHILADA</t>
  </si>
  <si>
    <t>CREMA-JAMON-POLLO-QUESOS-PIERNA-LONGANIZA-SALCHICHONERIA</t>
  </si>
  <si>
    <t xml:space="preserve">226.00 a favor de 11 sur </t>
  </si>
  <si>
    <t>LONGANIZA-POLLO-QUESOS-CHISTORRA-SALSAS</t>
  </si>
  <si>
    <t>QUESOS-PULPA-SALCHICHA</t>
  </si>
  <si>
    <t>POLLO-QUESOS-CHISTORRA</t>
  </si>
  <si>
    <t>LOMO-LONGANIZA-QUESO-QUESOS-POLLO-ENCHILADA</t>
  </si>
  <si>
    <t>SALCHICHAS-POLLO-QUESO-ENCHILADA</t>
  </si>
  <si>
    <t xml:space="preserve">LONGANIZA </t>
  </si>
  <si>
    <t>FESTIVO</t>
  </si>
  <si>
    <t>POLLO-SALCHICHONERIA</t>
  </si>
  <si>
    <t>QUESO-PICAÑA-POLLO-LENGUA</t>
  </si>
  <si>
    <t>PREMIOS  2021</t>
  </si>
  <si>
    <t>costco</t>
  </si>
  <si>
    <t>QUESO-PICAÑA-POLLO-LONGANIZA</t>
  </si>
  <si>
    <t>LONGANIZA-POLLO-SALSAS-SALCHICHONERIA</t>
  </si>
  <si>
    <t>SALSAS</t>
  </si>
  <si>
    <t>QUESOS-CHISTORRA-POLLO</t>
  </si>
  <si>
    <t>NOMINA # 01</t>
  </si>
  <si>
    <t>Transfer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</si>
  <si>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</si>
  <si>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</si>
  <si>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</si>
  <si>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</si>
  <si>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</si>
  <si>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</si>
  <si>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</si>
  <si>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</si>
  <si>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</si>
  <si>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</si>
  <si>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</si>
  <si>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</si>
  <si>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</si>
  <si>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</si>
  <si>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</si>
  <si>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28/12/2021</t>
  </si>
  <si>
    <t>29/12/2021</t>
  </si>
  <si>
    <t>31/12/2021</t>
  </si>
  <si>
    <t># REMISION</t>
  </si>
  <si>
    <t>C-4205</t>
  </si>
  <si>
    <t>C-4288</t>
  </si>
  <si>
    <t>C-4385</t>
  </si>
  <si>
    <t>C-4414</t>
  </si>
  <si>
    <t>C-4422</t>
  </si>
  <si>
    <t>C-4571</t>
  </si>
  <si>
    <t>C-4662</t>
  </si>
  <si>
    <t>C-4783</t>
  </si>
  <si>
    <t>C-4893</t>
  </si>
  <si>
    <t>12/12/2021</t>
  </si>
  <si>
    <t>C-4954</t>
  </si>
  <si>
    <t>C-5022</t>
  </si>
  <si>
    <t>C-5034</t>
  </si>
  <si>
    <t>C-5046</t>
  </si>
  <si>
    <t>C-5069</t>
  </si>
  <si>
    <t>C-5076</t>
  </si>
  <si>
    <t>C-5102</t>
  </si>
  <si>
    <t>C-5159</t>
  </si>
  <si>
    <t>C-5282</t>
  </si>
  <si>
    <t>C-5284</t>
  </si>
  <si>
    <t>C-5319</t>
  </si>
  <si>
    <t>C-5380</t>
  </si>
  <si>
    <t>C-5544</t>
  </si>
  <si>
    <t>C-5724</t>
  </si>
  <si>
    <t>C-5771</t>
  </si>
  <si>
    <t>C-5889</t>
  </si>
  <si>
    <t>C-5909</t>
  </si>
  <si>
    <t>C-6083</t>
  </si>
  <si>
    <t>C-6169</t>
  </si>
  <si>
    <t>C-6250</t>
  </si>
  <si>
    <t>C-6280</t>
  </si>
  <si>
    <t>C-6282</t>
  </si>
  <si>
    <t>C-6448</t>
  </si>
  <si>
    <t>C-6480</t>
  </si>
  <si>
    <t>24/12/2021</t>
  </si>
  <si>
    <t>C-6598</t>
  </si>
  <si>
    <t>C-6872</t>
  </si>
  <si>
    <t>C-6918</t>
  </si>
  <si>
    <t>C-6959</t>
  </si>
  <si>
    <t>C-7050</t>
  </si>
  <si>
    <t>30/12/2021</t>
  </si>
  <si>
    <t>C-7113</t>
  </si>
  <si>
    <t>C-7182</t>
  </si>
  <si>
    <t>C-7329</t>
  </si>
  <si>
    <t>/  /</t>
  </si>
  <si>
    <t>29-Oct-21-- se aplica como devoluciones</t>
  </si>
  <si>
    <t>C-3929</t>
  </si>
  <si>
    <t>C-3948</t>
  </si>
  <si>
    <t>DEBE  ZAVALETA</t>
  </si>
  <si>
    <t>CONTRA EXCEL</t>
  </si>
  <si>
    <t>BALANCE      ABASTO 4 CARNES    Z A V A L E T A      E N E R O           2 0 2 2</t>
  </si>
  <si>
    <t>REMISIONES             O B R A DO R       2 0 2 2</t>
  </si>
  <si>
    <t>REMISIONES            CENTRAL          2 0 2 2</t>
  </si>
  <si>
    <t>Longaniza-Pollo-Quesos-Jamones-Salchichoneria</t>
  </si>
  <si>
    <t>Quesos-salsas-Pollo</t>
  </si>
  <si>
    <t>RIBEYE-POLLO-SALCHICHONERIA</t>
  </si>
  <si>
    <t>RIBEYE-JAMONES-QUESO-POLLO-LONGANIZA</t>
  </si>
  <si>
    <t>CHORIZO-QUESO-POLLO</t>
  </si>
  <si>
    <t>LENGUA-CHISTORRA-POLLO-LONGANIZA</t>
  </si>
  <si>
    <t>NOMINA # 02</t>
  </si>
  <si>
    <t>QUESOS-POLLO-JAMONES</t>
  </si>
  <si>
    <t>QUESOS-LONGANIZA</t>
  </si>
  <si>
    <t>POLLO-QUESOS</t>
  </si>
  <si>
    <t>QUESOS-POLLO-SALCHICHONERIA</t>
  </si>
  <si>
    <t>POLLO-QUESOS-LONGANIZA</t>
  </si>
  <si>
    <t>NOMINA # 03</t>
  </si>
  <si>
    <t>X transfer</t>
  </si>
  <si>
    <t>JAMONES-POLLO-LONGANIZA-SALCHICHONERIA</t>
  </si>
  <si>
    <t>QUESOS-POLLO</t>
  </si>
  <si>
    <t>JAMON-POLLO-QUESO</t>
  </si>
  <si>
    <t>JAMON-QUESO-POLLO-LONGANIZA</t>
  </si>
  <si>
    <t>NOMINA 4</t>
  </si>
  <si>
    <t>QUESOS-CHISTORRA-POLLO-LONGANIZA</t>
  </si>
  <si>
    <t>MANTEQUILLA-POLLO-CREMA</t>
  </si>
  <si>
    <t>POLLO-CHISTORRA-CHORIZO-QUESOS</t>
  </si>
  <si>
    <t>LONGANIZA-POLLO-QUESOS-CHORIZO</t>
  </si>
  <si>
    <t>QUESO-SALCHICHONERIA</t>
  </si>
  <si>
    <t>CHORIZO-JAMON-QUESOS-POLLO-LONGANIZA-CREMA</t>
  </si>
  <si>
    <t>NOMINA # 4</t>
  </si>
  <si>
    <t>NOMIN A # 3</t>
  </si>
  <si>
    <t>NOMINA 3</t>
  </si>
  <si>
    <t>LONGANIZA</t>
  </si>
  <si>
    <t>03/01/2022</t>
  </si>
  <si>
    <t>01/02/2022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</si>
  <si>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</si>
  <si>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</si>
  <si>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</si>
  <si>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</si>
  <si>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</si>
  <si>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</si>
  <si>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</si>
  <si>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</si>
  <si>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</si>
  <si>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</si>
  <si>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</si>
  <si>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</si>
  <si>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</si>
  <si>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</si>
  <si>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</si>
  <si>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</si>
  <si>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</si>
  <si>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</si>
  <si>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</si>
  <si>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</si>
  <si>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</si>
  <si>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</si>
  <si>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</si>
  <si>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</si>
  <si>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C-7437</t>
  </si>
  <si>
    <t>C-7449</t>
  </si>
  <si>
    <t>C-7575</t>
  </si>
  <si>
    <t>C-7754</t>
  </si>
  <si>
    <t>C-7770</t>
  </si>
  <si>
    <t>C-7812</t>
  </si>
  <si>
    <t>C-7842</t>
  </si>
  <si>
    <t>C-7952</t>
  </si>
  <si>
    <t>C-7963</t>
  </si>
  <si>
    <t>C-8055</t>
  </si>
  <si>
    <t>C-8058</t>
  </si>
  <si>
    <t>C-8065</t>
  </si>
  <si>
    <t>C-8132</t>
  </si>
  <si>
    <t>C-8266</t>
  </si>
  <si>
    <t>C-8360</t>
  </si>
  <si>
    <t>C-8363</t>
  </si>
  <si>
    <t>C-8451</t>
  </si>
  <si>
    <t>C-8536</t>
  </si>
  <si>
    <t>C-8565</t>
  </si>
  <si>
    <t>C-8667</t>
  </si>
  <si>
    <t>C-8689</t>
  </si>
  <si>
    <t>C-8856</t>
  </si>
  <si>
    <t>C-9054</t>
  </si>
  <si>
    <t>C-9103</t>
  </si>
  <si>
    <t>C-9211</t>
  </si>
  <si>
    <t>C-9218</t>
  </si>
  <si>
    <t>C-9338</t>
  </si>
  <si>
    <t>C-9468</t>
  </si>
  <si>
    <t>C-9622</t>
  </si>
  <si>
    <t>C-9653</t>
  </si>
  <si>
    <t>C-9768</t>
  </si>
  <si>
    <t>C-9879</t>
  </si>
  <si>
    <t>C-9884</t>
  </si>
  <si>
    <t>C-9926</t>
  </si>
  <si>
    <t>C-9982</t>
  </si>
  <si>
    <t>C-10113</t>
  </si>
  <si>
    <t>C-10222</t>
  </si>
  <si>
    <t>C-10364</t>
  </si>
  <si>
    <t>CANCELADA</t>
  </si>
  <si>
    <t>todos los pagos del 28 de enero ya se entregan originales a MARIEL</t>
  </si>
  <si>
    <t xml:space="preserve">todas las orignales   pagadas el 1 de Feb-22     se entregan a MARIEL </t>
  </si>
  <si>
    <t>SALCHICHAS-QUESOS-CHORIZO-POLLO-</t>
  </si>
  <si>
    <t>CHISTORRA-QUESOS--POLLO</t>
  </si>
  <si>
    <t>Jamones-pollo-Chorizo-Picaña-Quesos-</t>
  </si>
  <si>
    <t>LONGANIZA-QUESOS-ROAS-BEFF-POLLO-</t>
  </si>
  <si>
    <t>JAMONES--SALCHICHAS</t>
  </si>
  <si>
    <t>PICAÑA-CHORIZO-QUESOS-JAMON-SALSAS</t>
  </si>
  <si>
    <t>NOMINA # 6</t>
  </si>
  <si>
    <t xml:space="preserve">NOMINA </t>
  </si>
  <si>
    <t>SEMANA # 6</t>
  </si>
  <si>
    <t>SALCHICHONERIA</t>
  </si>
  <si>
    <t>POLLO-QUESO-LONGANIZA-SALCHICHONERIA</t>
  </si>
  <si>
    <t>LONGANIZA-QUESOS-POLLO</t>
  </si>
  <si>
    <t xml:space="preserve">   </t>
  </si>
  <si>
    <t>CHORIZO-POLLO-JAMON</t>
  </si>
  <si>
    <t>QUESO-SALCHICHA-JAMON</t>
  </si>
  <si>
    <t>QUESOS --POLLO</t>
  </si>
  <si>
    <t>SEMANA # 7</t>
  </si>
  <si>
    <t>LONGANIZA-POLLO-QUESO-LENGUA</t>
  </si>
  <si>
    <t>NOMINA # 7</t>
  </si>
  <si>
    <t>LONGANIZA-QUESOS-JAMONES</t>
  </si>
  <si>
    <t>JAMONES-POLLO-PICAÑA-CREMAS-VEERDURAS</t>
  </si>
  <si>
    <t>CORTES-POLLO-SALCHICHAS- VARIOS</t>
  </si>
  <si>
    <t>LONGANIZA-QUESOS-JAMONES-POLLO</t>
  </si>
  <si>
    <t>LONGANIZA-QUESOS-POLLO-ROAS BEFF-JAMON-CHISTORRA</t>
  </si>
  <si>
    <t>NOMINA # 8</t>
  </si>
  <si>
    <t>SEMANA  #8</t>
  </si>
  <si>
    <t>JAMON-PECHIUGA-SALCHICHONERIA VARIOS</t>
  </si>
  <si>
    <t>CHORIZO-SALCHICHONERIA -POLLO-QUESOS</t>
  </si>
  <si>
    <t>QUESOS-POLLO-CHORIZO BLANCO</t>
  </si>
  <si>
    <t>LONGANIZA-JAMON-´POLLO-</t>
  </si>
  <si>
    <t>LONGANIZA-QUESOS-SALCHICHONERIA</t>
  </si>
  <si>
    <t>CHORIZO-QUESOS-POLLO</t>
  </si>
  <si>
    <t>POLLO-CHISTORRA-QUESOS</t>
  </si>
  <si>
    <t>NOMINA #9</t>
  </si>
  <si>
    <t>SEMANA # 9</t>
  </si>
  <si>
    <t>ENCHILADA</t>
  </si>
  <si>
    <t>BALANCE      ABASTO 4 CARNES    Z A V A L E T A      M A R Z O           2 0 2 2</t>
  </si>
  <si>
    <t>QUESOS-SALCHICHONERIA-JAMONES-POLLO-</t>
  </si>
  <si>
    <t>LONGANIZA-LOMO-QUESOS-POLLO</t>
  </si>
  <si>
    <t>POLLO-QUESO-ROASBEFF-CHISTORRA</t>
  </si>
  <si>
    <t>JAMON-QUESOS-POLLO-SALCHICHONERIA</t>
  </si>
  <si>
    <t>ENCHILADA-JAMON-MIXIOTES-POLLO-QUESOS</t>
  </si>
  <si>
    <t>NOMINA # 10</t>
  </si>
  <si>
    <t>POLLO-QUESO-JAMONES</t>
  </si>
  <si>
    <t>JAMONES</t>
  </si>
  <si>
    <t>CHORIZO-JAMONES-QUESOS-ROASBEEF-POLLO-PAN</t>
  </si>
  <si>
    <t>Odelpa Y zav se repuso</t>
  </si>
  <si>
    <t>se repuso</t>
  </si>
  <si>
    <t>Odelpa Y zav  se repuso 15-3-22</t>
  </si>
  <si>
    <t>LONGANIZA-POLLO-QUESOS</t>
  </si>
  <si>
    <t>JAMONES-QUESOS-POLLO</t>
  </si>
  <si>
    <t>POLLO-SALCHICHONERIA QUESOS</t>
  </si>
  <si>
    <t>EMPANADAS-EMBUTIDOS-LONGANIZA-POLLO-SALSAS</t>
  </si>
  <si>
    <t>JAMON-EMPANADAS-QUESOS</t>
  </si>
  <si>
    <t>NOMINA # 11</t>
  </si>
  <si>
    <t>NOMNA # 11</t>
  </si>
  <si>
    <t>QUESOS-LONGANIZA-ENCHILADA</t>
  </si>
  <si>
    <t>10535 C</t>
  </si>
  <si>
    <t>10643 C</t>
  </si>
  <si>
    <t>10669 C</t>
  </si>
  <si>
    <t>10688 C</t>
  </si>
  <si>
    <t>10695 C</t>
  </si>
  <si>
    <t>10808 C</t>
  </si>
  <si>
    <t>10823 C</t>
  </si>
  <si>
    <t>10911 C</t>
  </si>
  <si>
    <t>10932 C</t>
  </si>
  <si>
    <t>10927 C</t>
  </si>
  <si>
    <t>10949 C</t>
  </si>
  <si>
    <t>11037 C</t>
  </si>
  <si>
    <t>11063 C</t>
  </si>
  <si>
    <t>11091 C</t>
  </si>
  <si>
    <t>11174 C</t>
  </si>
  <si>
    <t>11222 C</t>
  </si>
  <si>
    <t>11339 C</t>
  </si>
  <si>
    <t>11478 C</t>
  </si>
  <si>
    <t>11512 C</t>
  </si>
  <si>
    <t>11628 C</t>
  </si>
  <si>
    <t>11640 C</t>
  </si>
  <si>
    <t>11657 C</t>
  </si>
  <si>
    <t>11761 C</t>
  </si>
  <si>
    <t>11823 C</t>
  </si>
  <si>
    <t>11878 C</t>
  </si>
  <si>
    <t>11987 C</t>
  </si>
  <si>
    <t>11991 C</t>
  </si>
  <si>
    <t>12004 C</t>
  </si>
  <si>
    <t>12053 C</t>
  </si>
  <si>
    <t>12161 C</t>
  </si>
  <si>
    <t>12256 C</t>
  </si>
  <si>
    <t>12293 C</t>
  </si>
  <si>
    <t>12315 C</t>
  </si>
  <si>
    <t>12389 C</t>
  </si>
  <si>
    <t>12400 C</t>
  </si>
  <si>
    <t>12471 C</t>
  </si>
  <si>
    <t>12588 C</t>
  </si>
  <si>
    <t>12682 C</t>
  </si>
  <si>
    <t>12771 C</t>
  </si>
  <si>
    <t>12795 C</t>
  </si>
  <si>
    <t>12899 C</t>
  </si>
  <si>
    <t>12977 C</t>
  </si>
  <si>
    <t>13030 C</t>
  </si>
  <si>
    <t>13138 C</t>
  </si>
  <si>
    <t>13246 C</t>
  </si>
  <si>
    <t>13425 C</t>
  </si>
  <si>
    <t>13429 C</t>
  </si>
  <si>
    <t>13460 C</t>
  </si>
  <si>
    <t>13541 C</t>
  </si>
  <si>
    <t>13652 C</t>
  </si>
  <si>
    <t>13809 C</t>
  </si>
  <si>
    <t>13913 C</t>
  </si>
  <si>
    <t>14009 C</t>
  </si>
  <si>
    <t>14039 C</t>
  </si>
  <si>
    <t>14105 C</t>
  </si>
  <si>
    <t>14255 C</t>
  </si>
  <si>
    <t>14326 C</t>
  </si>
  <si>
    <t>14455 C</t>
  </si>
  <si>
    <t>14471 C</t>
  </si>
  <si>
    <t>14550 C</t>
  </si>
  <si>
    <t>14611 C</t>
  </si>
  <si>
    <t>14681 C</t>
  </si>
  <si>
    <t>14827 C</t>
  </si>
  <si>
    <t>SALCHICHONERIA-QUESOS-JAMON-CHORIZO</t>
  </si>
  <si>
    <t>CHORIZO-POLLO-LONZANIZA-JAMON</t>
  </si>
  <si>
    <t>14899 C</t>
  </si>
  <si>
    <t>14957 C</t>
  </si>
  <si>
    <t>15025 C</t>
  </si>
  <si>
    <t>15216 C</t>
  </si>
  <si>
    <t>15218 C</t>
  </si>
  <si>
    <t>15220 C</t>
  </si>
  <si>
    <t>15338 C</t>
  </si>
  <si>
    <t>15487 C</t>
  </si>
  <si>
    <t>15585 C</t>
  </si>
  <si>
    <t>15718 C</t>
  </si>
  <si>
    <t>TOTAL DEL PAGO EL 25 FEB  $ 1,623,404.93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</si>
  <si>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</si>
  <si>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</si>
  <si>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</si>
  <si>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</si>
  <si>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</si>
  <si>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</si>
  <si>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</si>
  <si>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</si>
  <si>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</si>
  <si>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</si>
  <si>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</si>
  <si>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</si>
  <si>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</si>
  <si>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</si>
  <si>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</si>
  <si>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</si>
  <si>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</si>
  <si>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</si>
  <si>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23/02/2022</t>
  </si>
  <si>
    <t>24/02/2022</t>
  </si>
  <si>
    <t>25/02/2022</t>
  </si>
  <si>
    <t>26/02/2022</t>
  </si>
  <si>
    <t>RES Herrera</t>
  </si>
  <si>
    <t>ARRACHERA CARNES PREMIUM</t>
  </si>
  <si>
    <t>SALCHICHA</t>
  </si>
  <si>
    <t>Comisiones BANCO</t>
  </si>
  <si>
    <t>FEBRERO</t>
  </si>
  <si>
    <t xml:space="preserve">COMISION </t>
  </si>
  <si>
    <t xml:space="preserve">BANCARAI </t>
  </si>
  <si>
    <t>QUESOS GOUDA</t>
  </si>
  <si>
    <t>POLLO-JAMONES-QUESOS-MIXIOTES-CHISTORRA</t>
  </si>
  <si>
    <t>POLLO-PATA-CHULETA-SALCHICHONERIA-ENCHILADA</t>
  </si>
  <si>
    <t>QUESOS-JAMONES-POLLO</t>
  </si>
  <si>
    <t>SALCHICHAS JAMON ENCHILADA-POLLO</t>
  </si>
  <si>
    <t>NOMINA # 12</t>
  </si>
  <si>
    <t>SALCHICHONERIA -JAMON-QUESO</t>
  </si>
  <si>
    <t>CHORIZO-LONGANIZA-QUESO</t>
  </si>
  <si>
    <t>CHORIZO-POLLO-MIXIOTES-NUGETS-BONELES-PAPAS</t>
  </si>
  <si>
    <t>QUESOS-JA,MON-POLLO-CHISTORRA</t>
  </si>
  <si>
    <t>QUESOS-POLLO-SALCHICHONERIA-LONGANIZA</t>
  </si>
  <si>
    <t>POLLO-QUESOS-ENCHILADA</t>
  </si>
  <si>
    <t>JAMON-POLLO-QUESO-LONGANIZA</t>
  </si>
  <si>
    <t>NOMINQ # 13</t>
  </si>
  <si>
    <t>NOMINA # 13</t>
  </si>
  <si>
    <t>TOCINETA-JAMONES-CHISTORRA</t>
  </si>
  <si>
    <t xml:space="preserve">OBRADOR </t>
  </si>
  <si>
    <t xml:space="preserve">CENTRAL </t>
  </si>
  <si>
    <t>OBRADOR</t>
  </si>
  <si>
    <t>EL PAGO DEL 23 DE MARZO DE  ZAVALETA FUE POR   $  1,050,300.98</t>
  </si>
  <si>
    <t>CENTRAL</t>
  </si>
  <si>
    <t>TOTAL DE PAGO EL 23 DE MARZO $  700,085.00</t>
  </si>
  <si>
    <t>15814 C</t>
  </si>
  <si>
    <t>15860 C</t>
  </si>
  <si>
    <t>15881 C</t>
  </si>
  <si>
    <t>15984 C</t>
  </si>
  <si>
    <t>15992 C</t>
  </si>
  <si>
    <t>16132 C</t>
  </si>
  <si>
    <t>16164 C</t>
  </si>
  <si>
    <t>16238 C</t>
  </si>
  <si>
    <t>16345 C</t>
  </si>
  <si>
    <t>16459 C</t>
  </si>
  <si>
    <t>16620 C</t>
  </si>
  <si>
    <t>16747 C</t>
  </si>
  <si>
    <t>16941 C</t>
  </si>
  <si>
    <t>17025 C</t>
  </si>
  <si>
    <t>17074 C</t>
  </si>
  <si>
    <t>17134 C</t>
  </si>
  <si>
    <t>23-mar-2022</t>
  </si>
  <si>
    <t>24-mar-2022</t>
  </si>
  <si>
    <t>25-mar-2022</t>
  </si>
  <si>
    <t>26-mar-2022</t>
  </si>
  <si>
    <t>JAMON</t>
  </si>
  <si>
    <t>BALANCE      ABASTO 4 CARNES    Z A V A L E T A      A b r i l            2 0 2 2</t>
  </si>
  <si>
    <t>CHORIZO-SALCHICHONERIA</t>
  </si>
  <si>
    <t>ENCHILADA-QUESOS-RIB-BYE-COSTCO</t>
  </si>
  <si>
    <t>CARBON-POLLO</t>
  </si>
  <si>
    <t>BARBACOA-POLLO-JAMON-QUESOS-CREMA</t>
  </si>
  <si>
    <t>QUESOS-ENCHILADA-ARABE-PASTOR-POLLO</t>
  </si>
  <si>
    <t>JAMONES-POLLO</t>
  </si>
  <si>
    <t>NOMINA # 14</t>
  </si>
  <si>
    <t>CHISTORRA-LONGANIZA-MIXIOTE-QUESOS</t>
  </si>
  <si>
    <t>ROAST BEEF-CHORIZO-PAPA-QUESOS-JAMON-SALCHICHONERIA</t>
  </si>
  <si>
    <t>QUESOS-POLLO-LONGANIZA</t>
  </si>
  <si>
    <t>POLLO-JAMONES-QUESO</t>
  </si>
  <si>
    <t>ENCHILADA-POLLO-LONGANIZA-SALSAS</t>
  </si>
  <si>
    <t>QUESOS-POLLO-JAMONES-CHISTORRA-SALSAS-ROASF BEFF -ARABE-PASTOR</t>
  </si>
  <si>
    <t>NOMINA # 15</t>
  </si>
  <si>
    <t>SALCHICHONERIA-QUESOS-LONGANIZA</t>
  </si>
  <si>
    <t>LONGANIZA-JAMONES-PAPAS-SALMON-POLLO-</t>
  </si>
  <si>
    <t>POLLO-CHORIZO-QUESOS-JAMON</t>
  </si>
  <si>
    <t xml:space="preserve">QUESOS-JAMONES-QUESOS </t>
  </si>
  <si>
    <t>QUESOS-LONGANIZA-SALCHICHONERIA</t>
  </si>
  <si>
    <t>CHORIZO-LONGANIZA-QUESOS</t>
  </si>
  <si>
    <t>NOMINA # 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</si>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</sst>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3"/>
      <color rgb="FFFF0000"/>
      <name val="Calibri"/>
      <family val="2"/>
    </font>
    <font>
      <b/>
      <u/>
      <sz val="18"/>
      <color rgb="FFC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20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3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48" fillId="0" borderId="0" xfId="0" applyFont="1" applyFill="1"/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165" fontId="18" fillId="0" borderId="25" xfId="1" applyNumberFormat="1" applyFont="1" applyFill="1" applyBorder="1" applyAlignment="1">
      <alignment horizontal="center"/>
    </xf>
    <xf numFmtId="44" fontId="16" fillId="0" borderId="63" xfId="1" applyFont="1" applyFill="1" applyBorder="1"/>
    <xf numFmtId="44" fontId="2" fillId="0" borderId="66" xfId="1" applyFont="1" applyFill="1" applyBorder="1"/>
    <xf numFmtId="44" fontId="13" fillId="0" borderId="0" xfId="1" applyFont="1" applyFill="1" applyBorder="1" applyAlignment="1">
      <alignment horizontal="center" vertical="center"/>
    </xf>
    <xf numFmtId="44" fontId="16" fillId="0" borderId="67" xfId="1" applyFont="1" applyFill="1" applyBorder="1"/>
    <xf numFmtId="44" fontId="2" fillId="0" borderId="68" xfId="1" applyFont="1" applyFill="1" applyBorder="1"/>
    <xf numFmtId="167" fontId="11" fillId="0" borderId="0" xfId="1" applyNumberFormat="1" applyFont="1" applyFill="1" applyBorder="1" applyAlignment="1">
      <alignment vertical="center"/>
    </xf>
    <xf numFmtId="44" fontId="47" fillId="0" borderId="73" xfId="1" applyFont="1" applyFill="1" applyBorder="1"/>
    <xf numFmtId="44" fontId="47" fillId="0" borderId="0" xfId="1" applyFont="1" applyFill="1" applyBorder="1"/>
    <xf numFmtId="44" fontId="41" fillId="0" borderId="0" xfId="1" applyFont="1" applyFill="1" applyBorder="1"/>
    <xf numFmtId="0" fontId="0" fillId="0" borderId="0" xfId="0" applyAlignment="1">
      <alignment vertical="center"/>
    </xf>
    <xf numFmtId="44" fontId="2" fillId="0" borderId="0" xfId="1" applyFont="1" applyFill="1" applyBorder="1" applyAlignment="1">
      <alignment vertical="center"/>
    </xf>
    <xf numFmtId="44" fontId="13" fillId="0" borderId="0" xfId="1" applyFont="1" applyFill="1" applyBorder="1" applyAlignment="1">
      <alignment vertical="center"/>
    </xf>
    <xf numFmtId="44" fontId="39" fillId="0" borderId="25" xfId="1" applyFont="1" applyFill="1" applyBorder="1" applyAlignment="1">
      <alignment horizontal="center"/>
    </xf>
    <xf numFmtId="44" fontId="38" fillId="15" borderId="53" xfId="1" applyFont="1" applyFill="1" applyBorder="1"/>
    <xf numFmtId="44" fontId="2" fillId="15" borderId="25" xfId="1" applyFont="1" applyFill="1" applyBorder="1"/>
    <xf numFmtId="165" fontId="2" fillId="15" borderId="25" xfId="0" applyNumberFormat="1" applyFont="1" applyFill="1" applyBorder="1" applyAlignment="1">
      <alignment horizontal="center"/>
    </xf>
    <xf numFmtId="44" fontId="2" fillId="0" borderId="75" xfId="1" applyFont="1" applyFill="1" applyBorder="1"/>
    <xf numFmtId="44" fontId="2" fillId="0" borderId="76" xfId="1" applyFont="1" applyFill="1" applyBorder="1"/>
    <xf numFmtId="44" fontId="2" fillId="6" borderId="50" xfId="1" applyFont="1" applyFill="1" applyBorder="1" applyAlignment="1">
      <alignment horizontal="center"/>
    </xf>
    <xf numFmtId="0" fontId="2" fillId="16" borderId="58" xfId="0" applyFont="1" applyFill="1" applyBorder="1" applyAlignment="1">
      <alignment horizontal="center"/>
    </xf>
    <xf numFmtId="44" fontId="47" fillId="0" borderId="25" xfId="1" applyFont="1" applyFill="1" applyBorder="1"/>
    <xf numFmtId="49" fontId="2" fillId="0" borderId="25" xfId="0" applyNumberFormat="1" applyFont="1" applyFill="1" applyBorder="1"/>
    <xf numFmtId="44" fontId="13" fillId="3" borderId="5" xfId="1" applyFont="1" applyFill="1" applyBorder="1" applyAlignment="1">
      <alignment horizontal="center"/>
    </xf>
    <xf numFmtId="0" fontId="33" fillId="7" borderId="57" xfId="0" applyFont="1" applyFill="1" applyBorder="1" applyAlignment="1">
      <alignment vertical="center"/>
    </xf>
    <xf numFmtId="0" fontId="0" fillId="7" borderId="77" xfId="0" applyFill="1" applyBorder="1"/>
    <xf numFmtId="44" fontId="1" fillId="7" borderId="77" xfId="1" applyFill="1" applyBorder="1"/>
    <xf numFmtId="49" fontId="3" fillId="0" borderId="78" xfId="0" applyNumberFormat="1" applyFont="1" applyFill="1" applyBorder="1"/>
    <xf numFmtId="49" fontId="3" fillId="6" borderId="0" xfId="0" applyNumberFormat="1" applyFont="1" applyFill="1" applyBorder="1" applyAlignment="1">
      <alignment horizontal="center"/>
    </xf>
    <xf numFmtId="44" fontId="3" fillId="6" borderId="0" xfId="1" applyFont="1" applyFill="1" applyBorder="1"/>
    <xf numFmtId="164" fontId="10" fillId="0" borderId="21" xfId="0" applyNumberFormat="1" applyFont="1" applyFill="1" applyBorder="1" applyAlignment="1">
      <alignment vertical="center" textRotation="255"/>
    </xf>
    <xf numFmtId="0" fontId="3" fillId="0" borderId="47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44" fontId="3" fillId="0" borderId="79" xfId="1" applyFont="1" applyBorder="1" applyAlignment="1">
      <alignment horizontal="center"/>
    </xf>
    <xf numFmtId="44" fontId="3" fillId="0" borderId="48" xfId="1" applyFont="1" applyBorder="1" applyAlignment="1">
      <alignment horizontal="center"/>
    </xf>
    <xf numFmtId="0" fontId="33" fillId="9" borderId="57" xfId="0" applyFont="1" applyFill="1" applyBorder="1" applyAlignment="1">
      <alignment vertical="center"/>
    </xf>
    <xf numFmtId="0" fontId="19" fillId="9" borderId="77" xfId="0" applyFont="1" applyFill="1" applyBorder="1"/>
    <xf numFmtId="44" fontId="1" fillId="9" borderId="77" xfId="1" applyFill="1" applyBorder="1"/>
    <xf numFmtId="164" fontId="34" fillId="7" borderId="8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/>
    <xf numFmtId="0" fontId="2" fillId="0" borderId="21" xfId="0" applyFont="1" applyFill="1" applyBorder="1" applyAlignment="1">
      <alignment horizontal="center"/>
    </xf>
    <xf numFmtId="44" fontId="3" fillId="0" borderId="21" xfId="1" applyFont="1" applyFill="1" applyBorder="1"/>
    <xf numFmtId="0" fontId="10" fillId="0" borderId="79" xfId="0" applyFont="1" applyBorder="1" applyAlignment="1">
      <alignment horizontal="center"/>
    </xf>
    <xf numFmtId="44" fontId="13" fillId="0" borderId="48" xfId="1" applyFont="1" applyBorder="1" applyAlignment="1">
      <alignment horizontal="center"/>
    </xf>
    <xf numFmtId="0" fontId="48" fillId="0" borderId="0" xfId="0" applyFont="1" applyFill="1" applyBorder="1"/>
    <xf numFmtId="44" fontId="2" fillId="0" borderId="0" xfId="1" applyFont="1" applyFill="1" applyBorder="1" applyAlignment="1">
      <alignment horizontal="center"/>
    </xf>
    <xf numFmtId="44" fontId="3" fillId="0" borderId="28" xfId="1" applyFont="1" applyBorder="1"/>
    <xf numFmtId="0" fontId="42" fillId="0" borderId="25" xfId="0" applyFont="1" applyBorder="1" applyAlignment="1">
      <alignment horizontal="left"/>
    </xf>
    <xf numFmtId="0" fontId="2" fillId="0" borderId="25" xfId="0" applyFont="1" applyBorder="1"/>
    <xf numFmtId="44" fontId="3" fillId="0" borderId="81" xfId="1" applyFont="1" applyBorder="1"/>
    <xf numFmtId="44" fontId="19" fillId="0" borderId="50" xfId="1" applyFont="1" applyFill="1" applyBorder="1" applyAlignment="1">
      <alignment horizontal="left"/>
    </xf>
    <xf numFmtId="44" fontId="47" fillId="0" borderId="26" xfId="1" applyFont="1" applyFill="1" applyBorder="1"/>
    <xf numFmtId="0" fontId="49" fillId="0" borderId="0" xfId="0" applyFont="1" applyFill="1"/>
    <xf numFmtId="44" fontId="2" fillId="0" borderId="84" xfId="1" applyFont="1" applyFill="1" applyBorder="1" applyAlignment="1">
      <alignment horizontal="center"/>
    </xf>
    <xf numFmtId="44" fontId="2" fillId="0" borderId="85" xfId="1" applyFont="1" applyFill="1" applyBorder="1" applyAlignment="1">
      <alignment horizontal="center"/>
    </xf>
    <xf numFmtId="44" fontId="2" fillId="0" borderId="53" xfId="1" applyFont="1" applyFill="1" applyBorder="1" applyAlignment="1">
      <alignment horizontal="center"/>
    </xf>
    <xf numFmtId="0" fontId="2" fillId="3" borderId="77" xfId="0" applyFont="1" applyFill="1" applyBorder="1" applyAlignment="1">
      <alignment horizontal="center" wrapText="1"/>
    </xf>
    <xf numFmtId="44" fontId="2" fillId="18" borderId="83" xfId="1" applyFont="1" applyFill="1" applyBorder="1" applyAlignment="1">
      <alignment horizontal="center"/>
    </xf>
    <xf numFmtId="0" fontId="17" fillId="0" borderId="0" xfId="0" applyFont="1"/>
    <xf numFmtId="44" fontId="3" fillId="0" borderId="26" xfId="1" applyFont="1" applyFill="1" applyBorder="1"/>
    <xf numFmtId="44" fontId="3" fillId="0" borderId="0" xfId="1" applyFont="1" applyAlignment="1">
      <alignment horizontal="center"/>
    </xf>
    <xf numFmtId="44" fontId="2" fillId="0" borderId="25" xfId="1" applyFont="1" applyBorder="1"/>
    <xf numFmtId="0" fontId="17" fillId="0" borderId="0" xfId="0" applyFont="1" applyFill="1"/>
    <xf numFmtId="44" fontId="3" fillId="18" borderId="84" xfId="1" applyFont="1" applyFill="1" applyBorder="1" applyAlignment="1">
      <alignment horizontal="center"/>
    </xf>
    <xf numFmtId="0" fontId="50" fillId="0" borderId="0" xfId="0" applyFont="1"/>
    <xf numFmtId="0" fontId="51" fillId="0" borderId="0" xfId="0" applyFont="1"/>
    <xf numFmtId="166" fontId="10" fillId="8" borderId="10" xfId="0" applyNumberFormat="1" applyFont="1" applyFill="1" applyBorder="1"/>
    <xf numFmtId="165" fontId="2" fillId="8" borderId="7" xfId="0" applyNumberFormat="1" applyFont="1" applyFill="1" applyBorder="1" applyAlignment="1">
      <alignment horizontal="center"/>
    </xf>
    <xf numFmtId="44" fontId="16" fillId="8" borderId="23" xfId="1" applyFont="1" applyFill="1" applyBorder="1"/>
    <xf numFmtId="44" fontId="2" fillId="8" borderId="24" xfId="1" applyFont="1" applyFill="1" applyBorder="1"/>
    <xf numFmtId="44" fontId="2" fillId="0" borderId="5" xfId="1" applyFont="1" applyBorder="1"/>
    <xf numFmtId="44" fontId="47" fillId="6" borderId="26" xfId="1" applyFont="1" applyFill="1" applyBorder="1"/>
    <xf numFmtId="15" fontId="2" fillId="8" borderId="19" xfId="0" applyNumberFormat="1" applyFont="1" applyFill="1" applyBorder="1"/>
    <xf numFmtId="0" fontId="0" fillId="8" borderId="0" xfId="0" applyFill="1"/>
    <xf numFmtId="15" fontId="2" fillId="8" borderId="25" xfId="0" applyNumberFormat="1" applyFont="1" applyFill="1" applyBorder="1"/>
    <xf numFmtId="165" fontId="19" fillId="8" borderId="25" xfId="1" applyNumberFormat="1" applyFont="1" applyFill="1" applyBorder="1" applyAlignment="1">
      <alignment horizontal="center"/>
    </xf>
    <xf numFmtId="0" fontId="19" fillId="8" borderId="25" xfId="0" applyFont="1" applyFill="1" applyBorder="1" applyAlignment="1">
      <alignment horizontal="center"/>
    </xf>
    <xf numFmtId="44" fontId="19" fillId="8" borderId="25" xfId="1" applyFont="1" applyFill="1" applyBorder="1" applyAlignment="1">
      <alignment horizontal="right"/>
    </xf>
    <xf numFmtId="166" fontId="10" fillId="8" borderId="25" xfId="0" applyNumberFormat="1" applyFont="1" applyFill="1" applyBorder="1"/>
    <xf numFmtId="44" fontId="3" fillId="8" borderId="20" xfId="1" applyFont="1" applyFill="1" applyBorder="1" applyAlignment="1">
      <alignment horizontal="center"/>
    </xf>
    <xf numFmtId="44" fontId="2" fillId="8" borderId="22" xfId="1" applyFont="1" applyFill="1" applyBorder="1" applyAlignment="1">
      <alignment horizontal="center"/>
    </xf>
    <xf numFmtId="0" fontId="2" fillId="0" borderId="86" xfId="0" applyFont="1" applyFill="1" applyBorder="1" applyAlignment="1">
      <alignment horizontal="center"/>
    </xf>
    <xf numFmtId="49" fontId="2" fillId="0" borderId="86" xfId="0" applyNumberFormat="1" applyFont="1" applyFill="1" applyBorder="1" applyAlignment="1">
      <alignment horizontal="center"/>
    </xf>
    <xf numFmtId="44" fontId="2" fillId="0" borderId="86" xfId="1" applyFont="1" applyFill="1" applyBorder="1"/>
    <xf numFmtId="49" fontId="2" fillId="0" borderId="88" xfId="0" applyNumberFormat="1" applyFont="1" applyFill="1" applyBorder="1" applyAlignment="1">
      <alignment horizontal="center"/>
    </xf>
    <xf numFmtId="0" fontId="2" fillId="0" borderId="88" xfId="0" applyFont="1" applyFill="1" applyBorder="1" applyAlignment="1">
      <alignment horizontal="center"/>
    </xf>
    <xf numFmtId="44" fontId="2" fillId="0" borderId="88" xfId="1" applyFont="1" applyFill="1" applyBorder="1"/>
    <xf numFmtId="44" fontId="38" fillId="0" borderId="87" xfId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5" fillId="0" borderId="54" xfId="0" applyNumberFormat="1" applyFont="1" applyFill="1" applyBorder="1" applyAlignment="1">
      <alignment horizontal="center"/>
    </xf>
    <xf numFmtId="1" fontId="39" fillId="0" borderId="54" xfId="0" applyNumberFormat="1" applyFont="1" applyFill="1" applyBorder="1" applyAlignment="1">
      <alignment horizontal="center"/>
    </xf>
    <xf numFmtId="49" fontId="2" fillId="0" borderId="89" xfId="0" applyNumberFormat="1" applyFont="1" applyFill="1" applyBorder="1" applyAlignment="1">
      <alignment horizontal="center"/>
    </xf>
    <xf numFmtId="0" fontId="2" fillId="0" borderId="89" xfId="0" applyFont="1" applyFill="1" applyBorder="1" applyAlignment="1">
      <alignment horizontal="center"/>
    </xf>
    <xf numFmtId="44" fontId="2" fillId="0" borderId="89" xfId="1" applyFont="1" applyFill="1" applyBorder="1"/>
    <xf numFmtId="44" fontId="38" fillId="0" borderId="90" xfId="1" applyFont="1" applyFill="1" applyBorder="1"/>
    <xf numFmtId="49" fontId="2" fillId="0" borderId="25" xfId="0" applyNumberFormat="1" applyFont="1" applyFill="1" applyBorder="1" applyAlignment="1">
      <alignment horizontal="center"/>
    </xf>
    <xf numFmtId="44" fontId="38" fillId="0" borderId="25" xfId="1" applyFont="1" applyFill="1" applyBorder="1"/>
    <xf numFmtId="44" fontId="52" fillId="15" borderId="53" xfId="1" applyFont="1" applyFill="1" applyBorder="1"/>
    <xf numFmtId="1" fontId="39" fillId="3" borderId="25" xfId="0" applyNumberFormat="1" applyFont="1" applyFill="1" applyBorder="1" applyAlignment="1">
      <alignment horizontal="center"/>
    </xf>
    <xf numFmtId="164" fontId="19" fillId="0" borderId="25" xfId="0" applyNumberFormat="1" applyFont="1" applyFill="1" applyBorder="1" applyAlignment="1"/>
    <xf numFmtId="165" fontId="0" fillId="9" borderId="77" xfId="0" applyNumberFormat="1" applyFill="1" applyBorder="1"/>
    <xf numFmtId="165" fontId="3" fillId="0" borderId="79" xfId="0" applyNumberFormat="1" applyFont="1" applyBorder="1" applyAlignment="1">
      <alignment horizontal="center"/>
    </xf>
    <xf numFmtId="165" fontId="2" fillId="0" borderId="21" xfId="0" applyNumberFormat="1" applyFont="1" applyFill="1" applyBorder="1"/>
    <xf numFmtId="165" fontId="2" fillId="0" borderId="25" xfId="0" applyNumberFormat="1" applyFont="1" applyFill="1" applyBorder="1"/>
    <xf numFmtId="165" fontId="0" fillId="7" borderId="77" xfId="0" applyNumberFormat="1" applyFill="1" applyBorder="1"/>
    <xf numFmtId="165" fontId="3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44" fontId="10" fillId="0" borderId="0" xfId="1" applyFont="1"/>
    <xf numFmtId="164" fontId="3" fillId="3" borderId="25" xfId="0" applyNumberFormat="1" applyFont="1" applyFill="1" applyBorder="1" applyAlignment="1">
      <alignment horizontal="center"/>
    </xf>
    <xf numFmtId="165" fontId="3" fillId="14" borderId="0" xfId="0" applyNumberFormat="1" applyFont="1" applyFill="1" applyAlignment="1">
      <alignment horizontal="center"/>
    </xf>
    <xf numFmtId="164" fontId="33" fillId="7" borderId="80" xfId="0" applyNumberFormat="1" applyFont="1" applyFill="1" applyBorder="1" applyAlignment="1">
      <alignment horizontal="center" vertical="center" wrapText="1"/>
    </xf>
    <xf numFmtId="164" fontId="33" fillId="7" borderId="52" xfId="0" applyNumberFormat="1" applyFont="1" applyFill="1" applyBorder="1" applyAlignment="1">
      <alignment horizontal="center" vertical="center" wrapText="1"/>
    </xf>
    <xf numFmtId="44" fontId="2" fillId="0" borderId="83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/>
    </xf>
    <xf numFmtId="44" fontId="19" fillId="0" borderId="49" xfId="1" applyFont="1" applyFill="1" applyBorder="1" applyAlignment="1">
      <alignment horizontal="left"/>
    </xf>
    <xf numFmtId="44" fontId="3" fillId="0" borderId="84" xfId="1" applyFont="1" applyFill="1" applyBorder="1" applyAlignment="1">
      <alignment horizontal="center"/>
    </xf>
    <xf numFmtId="44" fontId="3" fillId="0" borderId="20" xfId="1" applyFont="1" applyFill="1" applyBorder="1" applyAlignment="1">
      <alignment horizontal="center"/>
    </xf>
    <xf numFmtId="44" fontId="2" fillId="0" borderId="22" xfId="1" applyFont="1" applyFill="1" applyBorder="1" applyAlignment="1">
      <alignment horizontal="center"/>
    </xf>
    <xf numFmtId="44" fontId="46" fillId="6" borderId="26" xfId="1" applyFont="1" applyFill="1" applyBorder="1"/>
    <xf numFmtId="44" fontId="46" fillId="0" borderId="26" xfId="1" applyFont="1" applyFill="1" applyBorder="1"/>
    <xf numFmtId="44" fontId="41" fillId="0" borderId="26" xfId="1" applyFont="1" applyFill="1" applyBorder="1"/>
    <xf numFmtId="44" fontId="2" fillId="17" borderId="84" xfId="1" applyFont="1" applyFill="1" applyBorder="1" applyAlignment="1">
      <alignment horizontal="center"/>
    </xf>
    <xf numFmtId="44" fontId="3" fillId="17" borderId="84" xfId="1" applyFont="1" applyFill="1" applyBorder="1" applyAlignment="1">
      <alignment horizontal="center"/>
    </xf>
    <xf numFmtId="49" fontId="2" fillId="0" borderId="86" xfId="0" applyNumberFormat="1" applyFont="1" applyFill="1" applyBorder="1"/>
    <xf numFmtId="0" fontId="3" fillId="0" borderId="86" xfId="0" applyFont="1" applyFill="1" applyBorder="1" applyAlignment="1">
      <alignment horizontal="center"/>
    </xf>
    <xf numFmtId="44" fontId="3" fillId="0" borderId="86" xfId="1" applyFont="1" applyFill="1" applyBorder="1"/>
    <xf numFmtId="49" fontId="3" fillId="0" borderId="91" xfId="0" applyNumberFormat="1" applyFont="1" applyFill="1" applyBorder="1"/>
    <xf numFmtId="49" fontId="3" fillId="0" borderId="86" xfId="0" applyNumberFormat="1" applyFont="1" applyFill="1" applyBorder="1"/>
    <xf numFmtId="44" fontId="3" fillId="6" borderId="58" xfId="1" applyFont="1" applyFill="1" applyBorder="1"/>
    <xf numFmtId="165" fontId="2" fillId="18" borderId="25" xfId="0" applyNumberFormat="1" applyFont="1" applyFill="1" applyBorder="1" applyAlignment="1">
      <alignment horizontal="center"/>
    </xf>
    <xf numFmtId="44" fontId="2" fillId="18" borderId="25" xfId="1" applyFont="1" applyFill="1" applyBorder="1"/>
    <xf numFmtId="44" fontId="3" fillId="18" borderId="0" xfId="1" applyFont="1" applyFill="1"/>
    <xf numFmtId="165" fontId="2" fillId="18" borderId="21" xfId="0" applyNumberFormat="1" applyFont="1" applyFill="1" applyBorder="1"/>
    <xf numFmtId="165" fontId="2" fillId="18" borderId="25" xfId="0" applyNumberFormat="1" applyFont="1" applyFill="1" applyBorder="1"/>
    <xf numFmtId="44" fontId="2" fillId="18" borderId="86" xfId="1" applyFont="1" applyFill="1" applyBorder="1"/>
    <xf numFmtId="44" fontId="2" fillId="18" borderId="89" xfId="1" applyFont="1" applyFill="1" applyBorder="1"/>
    <xf numFmtId="44" fontId="2" fillId="18" borderId="88" xfId="1" applyFont="1" applyFill="1" applyBorder="1"/>
    <xf numFmtId="44" fontId="13" fillId="0" borderId="0" xfId="1" applyFont="1" applyBorder="1" applyAlignment="1">
      <alignment vertical="center"/>
    </xf>
    <xf numFmtId="165" fontId="3" fillId="0" borderId="86" xfId="0" applyNumberFormat="1" applyFont="1" applyFill="1" applyBorder="1"/>
    <xf numFmtId="165" fontId="47" fillId="0" borderId="86" xfId="0" applyNumberFormat="1" applyFont="1" applyFill="1" applyBorder="1"/>
    <xf numFmtId="165" fontId="13" fillId="6" borderId="58" xfId="1" applyNumberFormat="1" applyFont="1" applyFill="1" applyBorder="1"/>
    <xf numFmtId="1" fontId="39" fillId="0" borderId="21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44" fontId="3" fillId="0" borderId="89" xfId="1" applyFont="1" applyFill="1" applyBorder="1"/>
    <xf numFmtId="165" fontId="3" fillId="0" borderId="89" xfId="0" applyNumberFormat="1" applyFont="1" applyFill="1" applyBorder="1"/>
    <xf numFmtId="165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vertical="center" wrapText="1"/>
    </xf>
    <xf numFmtId="0" fontId="19" fillId="0" borderId="25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164" fontId="2" fillId="0" borderId="54" xfId="0" applyNumberFormat="1" applyFont="1" applyFill="1" applyBorder="1" applyAlignment="1">
      <alignment horizontal="center"/>
    </xf>
    <xf numFmtId="44" fontId="47" fillId="3" borderId="26" xfId="1" applyFont="1" applyFill="1" applyBorder="1"/>
    <xf numFmtId="44" fontId="3" fillId="3" borderId="26" xfId="1" applyFont="1" applyFill="1" applyBorder="1"/>
    <xf numFmtId="44" fontId="3" fillId="0" borderId="73" xfId="1" applyFont="1" applyFill="1" applyBorder="1"/>
    <xf numFmtId="44" fontId="2" fillId="17" borderId="85" xfId="1" applyFont="1" applyFill="1" applyBorder="1" applyAlignment="1">
      <alignment horizontal="center"/>
    </xf>
    <xf numFmtId="0" fontId="54" fillId="9" borderId="0" xfId="0" applyFont="1" applyFill="1"/>
    <xf numFmtId="0" fontId="2" fillId="9" borderId="0" xfId="0" applyFont="1" applyFill="1"/>
    <xf numFmtId="44" fontId="2" fillId="9" borderId="0" xfId="1" applyFont="1" applyFill="1"/>
    <xf numFmtId="44" fontId="55" fillId="0" borderId="15" xfId="0" applyNumberFormat="1" applyFont="1" applyBorder="1"/>
    <xf numFmtId="0" fontId="54" fillId="0" borderId="0" xfId="0" applyFont="1" applyFill="1"/>
    <xf numFmtId="0" fontId="2" fillId="0" borderId="0" xfId="0" applyFont="1" applyFill="1"/>
    <xf numFmtId="15" fontId="33" fillId="7" borderId="57" xfId="0" applyNumberFormat="1" applyFont="1" applyFill="1" applyBorder="1" applyAlignment="1">
      <alignment vertical="center"/>
    </xf>
    <xf numFmtId="15" fontId="3" fillId="0" borderId="47" xfId="0" applyNumberFormat="1" applyFont="1" applyBorder="1" applyAlignment="1">
      <alignment horizontal="center"/>
    </xf>
    <xf numFmtId="15" fontId="3" fillId="0" borderId="91" xfId="0" applyNumberFormat="1" applyFont="1" applyFill="1" applyBorder="1"/>
    <xf numFmtId="15" fontId="3" fillId="0" borderId="26" xfId="0" applyNumberFormat="1" applyFont="1" applyFill="1" applyBorder="1"/>
    <xf numFmtId="15" fontId="3" fillId="0" borderId="25" xfId="0" applyNumberFormat="1" applyFont="1" applyFill="1" applyBorder="1"/>
    <xf numFmtId="15" fontId="35" fillId="0" borderId="25" xfId="0" applyNumberFormat="1" applyFont="1" applyFill="1" applyBorder="1" applyAlignment="1">
      <alignment horizontal="center"/>
    </xf>
    <xf numFmtId="15" fontId="35" fillId="0" borderId="55" xfId="0" applyNumberFormat="1" applyFont="1" applyBorder="1" applyAlignment="1">
      <alignment horizontal="center"/>
    </xf>
    <xf numFmtId="15" fontId="2" fillId="0" borderId="0" xfId="0" applyNumberFormat="1" applyFont="1"/>
    <xf numFmtId="15" fontId="0" fillId="0" borderId="0" xfId="0" applyNumberFormat="1"/>
    <xf numFmtId="0" fontId="0" fillId="7" borderId="77" xfId="0" applyFill="1" applyBorder="1" applyAlignment="1">
      <alignment horizontal="center"/>
    </xf>
    <xf numFmtId="49" fontId="3" fillId="0" borderId="86" xfId="0" applyNumberFormat="1" applyFont="1" applyFill="1" applyBorder="1" applyAlignment="1">
      <alignment horizontal="center"/>
    </xf>
    <xf numFmtId="49" fontId="3" fillId="0" borderId="89" xfId="0" applyNumberFormat="1" applyFont="1" applyFill="1" applyBorder="1" applyAlignment="1">
      <alignment horizontal="center"/>
    </xf>
    <xf numFmtId="49" fontId="3" fillId="0" borderId="25" xfId="0" applyNumberFormat="1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65" fontId="10" fillId="3" borderId="86" xfId="0" applyNumberFormat="1" applyFont="1" applyFill="1" applyBorder="1"/>
    <xf numFmtId="44" fontId="10" fillId="3" borderId="86" xfId="1" applyFont="1" applyFill="1" applyBorder="1"/>
    <xf numFmtId="1" fontId="56" fillId="0" borderId="25" xfId="0" applyNumberFormat="1" applyFont="1" applyFill="1" applyBorder="1" applyAlignment="1">
      <alignment horizontal="center"/>
    </xf>
    <xf numFmtId="15" fontId="57" fillId="0" borderId="25" xfId="0" applyNumberFormat="1" applyFont="1" applyFill="1" applyBorder="1" applyAlignment="1">
      <alignment horizontal="center"/>
    </xf>
    <xf numFmtId="1" fontId="58" fillId="0" borderId="25" xfId="0" applyNumberFormat="1" applyFont="1" applyFill="1" applyBorder="1" applyAlignment="1">
      <alignment horizontal="center"/>
    </xf>
    <xf numFmtId="15" fontId="57" fillId="0" borderId="54" xfId="0" applyNumberFormat="1" applyFont="1" applyFill="1" applyBorder="1" applyAlignment="1">
      <alignment horizontal="center"/>
    </xf>
    <xf numFmtId="1" fontId="58" fillId="0" borderId="54" xfId="0" applyNumberFormat="1" applyFont="1" applyFill="1" applyBorder="1" applyAlignment="1">
      <alignment horizontal="center"/>
    </xf>
    <xf numFmtId="164" fontId="33" fillId="7" borderId="57" xfId="0" applyNumberFormat="1" applyFont="1" applyFill="1" applyBorder="1" applyAlignment="1">
      <alignment vertical="center"/>
    </xf>
    <xf numFmtId="164" fontId="3" fillId="0" borderId="47" xfId="0" applyNumberFormat="1" applyFont="1" applyBorder="1" applyAlignment="1">
      <alignment horizontal="center"/>
    </xf>
    <xf numFmtId="164" fontId="3" fillId="0" borderId="91" xfId="0" applyNumberFormat="1" applyFont="1" applyFill="1" applyBorder="1"/>
    <xf numFmtId="164" fontId="3" fillId="0" borderId="26" xfId="0" applyNumberFormat="1" applyFont="1" applyFill="1" applyBorder="1"/>
    <xf numFmtId="164" fontId="3" fillId="0" borderId="25" xfId="0" applyNumberFormat="1" applyFont="1" applyFill="1" applyBorder="1"/>
    <xf numFmtId="164" fontId="2" fillId="0" borderId="0" xfId="0" applyNumberFormat="1" applyFont="1"/>
    <xf numFmtId="164" fontId="0" fillId="0" borderId="0" xfId="0" applyNumberFormat="1"/>
    <xf numFmtId="44" fontId="0" fillId="0" borderId="0" xfId="0" applyNumberFormat="1"/>
    <xf numFmtId="165" fontId="18" fillId="0" borderId="21" xfId="1" applyNumberFormat="1" applyFont="1" applyFill="1" applyBorder="1" applyAlignment="1">
      <alignment horizontal="right"/>
    </xf>
    <xf numFmtId="0" fontId="19" fillId="6" borderId="25" xfId="0" applyFont="1" applyFill="1" applyBorder="1" applyAlignment="1">
      <alignment horizontal="center"/>
    </xf>
    <xf numFmtId="44" fontId="19" fillId="6" borderId="25" xfId="1" applyFont="1" applyFill="1" applyBorder="1" applyAlignment="1">
      <alignment horizontal="right"/>
    </xf>
    <xf numFmtId="44" fontId="19" fillId="6" borderId="26" xfId="1" applyFont="1" applyFill="1" applyBorder="1"/>
    <xf numFmtId="0" fontId="2" fillId="15" borderId="0" xfId="0" applyFont="1" applyFill="1" applyAlignment="1">
      <alignment horizontal="left"/>
    </xf>
    <xf numFmtId="44" fontId="2" fillId="15" borderId="0" xfId="1" applyFont="1" applyFill="1"/>
    <xf numFmtId="165" fontId="0" fillId="15" borderId="0" xfId="0" applyNumberFormat="1" applyFill="1" applyAlignment="1">
      <alignment horizontal="center"/>
    </xf>
    <xf numFmtId="0" fontId="3" fillId="3" borderId="86" xfId="0" applyFont="1" applyFill="1" applyBorder="1" applyAlignment="1">
      <alignment horizontal="center"/>
    </xf>
    <xf numFmtId="165" fontId="2" fillId="6" borderId="28" xfId="0" applyNumberFormat="1" applyFont="1" applyFill="1" applyBorder="1" applyAlignment="1">
      <alignment horizontal="center"/>
    </xf>
    <xf numFmtId="165" fontId="2" fillId="0" borderId="21" xfId="0" applyNumberFormat="1" applyFont="1" applyFill="1" applyBorder="1" applyAlignment="1">
      <alignment horizontal="center"/>
    </xf>
    <xf numFmtId="165" fontId="0" fillId="9" borderId="77" xfId="0" applyNumberFormat="1" applyFill="1" applyBorder="1" applyAlignment="1">
      <alignment horizontal="center"/>
    </xf>
    <xf numFmtId="165" fontId="2" fillId="0" borderId="86" xfId="0" applyNumberFormat="1" applyFont="1" applyFill="1" applyBorder="1" applyAlignment="1">
      <alignment horizontal="center"/>
    </xf>
    <xf numFmtId="165" fontId="2" fillId="6" borderId="86" xfId="0" applyNumberFormat="1" applyFont="1" applyFill="1" applyBorder="1" applyAlignment="1">
      <alignment horizontal="center"/>
    </xf>
    <xf numFmtId="165" fontId="3" fillId="11" borderId="0" xfId="1" applyNumberFormat="1" applyFont="1" applyFill="1" applyAlignment="1">
      <alignment horizontal="center"/>
    </xf>
    <xf numFmtId="164" fontId="0" fillId="9" borderId="77" xfId="0" applyNumberFormat="1" applyFill="1" applyBorder="1"/>
    <xf numFmtId="164" fontId="3" fillId="0" borderId="79" xfId="0" applyNumberFormat="1" applyFont="1" applyBorder="1" applyAlignment="1">
      <alignment horizontal="center"/>
    </xf>
    <xf numFmtId="164" fontId="2" fillId="6" borderId="89" xfId="0" applyNumberFormat="1" applyFont="1" applyFill="1" applyBorder="1"/>
    <xf numFmtId="164" fontId="2" fillId="6" borderId="25" xfId="0" applyNumberFormat="1" applyFont="1" applyFill="1" applyBorder="1"/>
    <xf numFmtId="164" fontId="2" fillId="0" borderId="25" xfId="0" applyNumberFormat="1" applyFont="1" applyFill="1" applyBorder="1"/>
    <xf numFmtId="164" fontId="19" fillId="0" borderId="25" xfId="0" applyNumberFormat="1" applyFont="1" applyFill="1" applyBorder="1" applyAlignment="1">
      <alignment wrapText="1"/>
    </xf>
    <xf numFmtId="164" fontId="3" fillId="11" borderId="0" xfId="1" applyNumberFormat="1" applyFont="1" applyFill="1"/>
    <xf numFmtId="164" fontId="2" fillId="0" borderId="89" xfId="0" applyNumberFormat="1" applyFont="1" applyFill="1" applyBorder="1"/>
    <xf numFmtId="44" fontId="3" fillId="6" borderId="86" xfId="1" applyFont="1" applyFill="1" applyBorder="1"/>
    <xf numFmtId="44" fontId="1" fillId="20" borderId="0" xfId="1" applyFill="1"/>
    <xf numFmtId="0" fontId="3" fillId="15" borderId="0" xfId="0" applyFont="1" applyFill="1"/>
    <xf numFmtId="16" fontId="19" fillId="15" borderId="0" xfId="0" applyNumberFormat="1" applyFont="1" applyFill="1"/>
    <xf numFmtId="44" fontId="1" fillId="15" borderId="0" xfId="1" applyFill="1"/>
    <xf numFmtId="164" fontId="0" fillId="15" borderId="0" xfId="0" applyNumberFormat="1" applyFill="1"/>
    <xf numFmtId="165" fontId="3" fillId="20" borderId="86" xfId="0" applyNumberFormat="1" applyFont="1" applyFill="1" applyBorder="1"/>
    <xf numFmtId="44" fontId="3" fillId="20" borderId="86" xfId="1" applyFont="1" applyFill="1" applyBorder="1"/>
    <xf numFmtId="165" fontId="2" fillId="20" borderId="25" xfId="0" applyNumberFormat="1" applyFont="1" applyFill="1" applyBorder="1" applyAlignment="1">
      <alignment horizontal="center"/>
    </xf>
    <xf numFmtId="44" fontId="3" fillId="20" borderId="25" xfId="1" applyFont="1" applyFill="1" applyBorder="1"/>
    <xf numFmtId="44" fontId="3" fillId="20" borderId="0" xfId="1" applyFont="1" applyFill="1" applyBorder="1"/>
    <xf numFmtId="16" fontId="2" fillId="20" borderId="0" xfId="0" applyNumberFormat="1" applyFont="1" applyFill="1" applyAlignment="1">
      <alignment horizontal="left"/>
    </xf>
    <xf numFmtId="165" fontId="0" fillId="20" borderId="0" xfId="0" applyNumberFormat="1" applyFill="1"/>
    <xf numFmtId="164" fontId="3" fillId="20" borderId="91" xfId="0" applyNumberFormat="1" applyFont="1" applyFill="1" applyBorder="1"/>
    <xf numFmtId="49" fontId="3" fillId="20" borderId="89" xfId="0" applyNumberFormat="1" applyFont="1" applyFill="1" applyBorder="1" applyAlignment="1">
      <alignment horizontal="center"/>
    </xf>
    <xf numFmtId="44" fontId="3" fillId="20" borderId="89" xfId="1" applyFont="1" applyFill="1" applyBorder="1"/>
    <xf numFmtId="49" fontId="3" fillId="20" borderId="25" xfId="0" applyNumberFormat="1" applyFont="1" applyFill="1" applyBorder="1" applyAlignment="1">
      <alignment horizontal="center"/>
    </xf>
    <xf numFmtId="164" fontId="3" fillId="20" borderId="26" xfId="0" applyNumberFormat="1" applyFont="1" applyFill="1" applyBorder="1"/>
    <xf numFmtId="49" fontId="3" fillId="0" borderId="91" xfId="0" applyNumberFormat="1" applyFont="1" applyBorder="1"/>
    <xf numFmtId="0" fontId="3" fillId="0" borderId="86" xfId="0" applyFont="1" applyBorder="1" applyAlignment="1">
      <alignment horizontal="center"/>
    </xf>
    <xf numFmtId="44" fontId="3" fillId="0" borderId="86" xfId="1" applyFont="1" applyBorder="1"/>
    <xf numFmtId="49" fontId="3" fillId="21" borderId="91" xfId="0" applyNumberFormat="1" applyFont="1" applyFill="1" applyBorder="1"/>
    <xf numFmtId="0" fontId="3" fillId="21" borderId="86" xfId="0" applyFont="1" applyFill="1" applyBorder="1" applyAlignment="1">
      <alignment horizontal="center"/>
    </xf>
    <xf numFmtId="44" fontId="3" fillId="21" borderId="86" xfId="1" applyFont="1" applyFill="1" applyBorder="1"/>
    <xf numFmtId="44" fontId="16" fillId="3" borderId="23" xfId="1" applyFont="1" applyFill="1" applyBorder="1"/>
    <xf numFmtId="16" fontId="19" fillId="0" borderId="0" xfId="0" applyNumberFormat="1" applyFont="1" applyFill="1"/>
    <xf numFmtId="164" fontId="0" fillId="0" borderId="0" xfId="0" applyNumberFormat="1" applyFill="1"/>
    <xf numFmtId="164" fontId="3" fillId="0" borderId="94" xfId="0" applyNumberFormat="1" applyFont="1" applyFill="1" applyBorder="1"/>
    <xf numFmtId="165" fontId="47" fillId="0" borderId="25" xfId="0" applyNumberFormat="1" applyFont="1" applyFill="1" applyBorder="1"/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44" fontId="13" fillId="9" borderId="0" xfId="1" applyFont="1" applyFill="1" applyAlignment="1">
      <alignment horizontal="center" vertical="center"/>
    </xf>
    <xf numFmtId="7" fontId="33" fillId="0" borderId="0" xfId="1" applyNumberFormat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 wrapText="1"/>
    </xf>
    <xf numFmtId="44" fontId="11" fillId="14" borderId="65" xfId="1" applyFont="1" applyFill="1" applyBorder="1" applyAlignment="1">
      <alignment horizontal="center" vertical="center"/>
    </xf>
    <xf numFmtId="44" fontId="11" fillId="14" borderId="41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/>
    </xf>
    <xf numFmtId="166" fontId="33" fillId="0" borderId="0" xfId="1" applyNumberFormat="1" applyFont="1" applyFill="1" applyBorder="1" applyAlignment="1">
      <alignment horizontal="center" vertical="center"/>
    </xf>
    <xf numFmtId="7" fontId="11" fillId="0" borderId="0" xfId="1" applyNumberFormat="1" applyFont="1" applyFill="1" applyBorder="1" applyAlignment="1">
      <alignment horizontal="center"/>
    </xf>
    <xf numFmtId="0" fontId="10" fillId="0" borderId="49" xfId="0" applyFont="1" applyBorder="1" applyAlignment="1">
      <alignment horizontal="center"/>
    </xf>
    <xf numFmtId="166" fontId="10" fillId="0" borderId="25" xfId="0" applyNumberFormat="1" applyFont="1" applyBorder="1" applyAlignment="1">
      <alignment horizontal="center" vertical="center" wrapText="1"/>
    </xf>
    <xf numFmtId="44" fontId="13" fillId="0" borderId="57" xfId="1" applyFont="1" applyBorder="1" applyAlignment="1">
      <alignment horizontal="center" vertical="center"/>
    </xf>
    <xf numFmtId="44" fontId="13" fillId="0" borderId="77" xfId="1" applyFont="1" applyBorder="1" applyAlignment="1">
      <alignment horizontal="center" vertical="center"/>
    </xf>
    <xf numFmtId="44" fontId="13" fillId="0" borderId="58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44" fontId="13" fillId="0" borderId="5" xfId="1" applyFont="1" applyBorder="1" applyAlignment="1">
      <alignment horizontal="center" vertical="center"/>
    </xf>
    <xf numFmtId="44" fontId="13" fillId="0" borderId="59" xfId="1" applyFont="1" applyBorder="1" applyAlignment="1">
      <alignment horizontal="center" vertical="center"/>
    </xf>
    <xf numFmtId="0" fontId="14" fillId="5" borderId="0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44" fontId="16" fillId="3" borderId="69" xfId="1" applyFont="1" applyFill="1" applyBorder="1" applyAlignment="1">
      <alignment horizontal="center" vertical="center"/>
    </xf>
    <xf numFmtId="44" fontId="16" fillId="3" borderId="71" xfId="1" applyFont="1" applyFill="1" applyBorder="1" applyAlignment="1">
      <alignment horizontal="center" vertical="center"/>
    </xf>
    <xf numFmtId="44" fontId="2" fillId="3" borderId="70" xfId="1" applyFont="1" applyFill="1" applyBorder="1" applyAlignment="1">
      <alignment horizontal="center" vertical="center"/>
    </xf>
    <xf numFmtId="44" fontId="2" fillId="3" borderId="72" xfId="1" applyFont="1" applyFill="1" applyBorder="1" applyAlignment="1">
      <alignment horizontal="center" vertical="center"/>
    </xf>
    <xf numFmtId="44" fontId="41" fillId="3" borderId="1" xfId="1" applyFont="1" applyFill="1" applyBorder="1" applyAlignment="1">
      <alignment horizontal="center" vertical="center"/>
    </xf>
    <xf numFmtId="44" fontId="41" fillId="3" borderId="3" xfId="1" applyFont="1" applyFill="1" applyBorder="1" applyAlignment="1">
      <alignment horizontal="center" vertical="center"/>
    </xf>
    <xf numFmtId="44" fontId="3" fillId="3" borderId="74" xfId="1" applyFont="1" applyFill="1" applyBorder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44" fontId="2" fillId="17" borderId="1" xfId="1" applyFont="1" applyFill="1" applyBorder="1" applyAlignment="1">
      <alignment horizontal="center" vertical="center" wrapText="1"/>
    </xf>
    <xf numFmtId="44" fontId="2" fillId="17" borderId="82" xfId="1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/>
    </xf>
    <xf numFmtId="0" fontId="53" fillId="0" borderId="0" xfId="0" applyFont="1" applyAlignment="1">
      <alignment horizontal="center"/>
    </xf>
    <xf numFmtId="49" fontId="3" fillId="17" borderId="92" xfId="0" applyNumberFormat="1" applyFont="1" applyFill="1" applyBorder="1" applyAlignment="1">
      <alignment horizontal="center" vertical="center" wrapText="1"/>
    </xf>
    <xf numFmtId="49" fontId="3" fillId="17" borderId="74" xfId="0" applyNumberFormat="1" applyFont="1" applyFill="1" applyBorder="1" applyAlignment="1">
      <alignment horizontal="center" vertical="center" wrapText="1"/>
    </xf>
    <xf numFmtId="49" fontId="3" fillId="17" borderId="73" xfId="0" applyNumberFormat="1" applyFont="1" applyFill="1" applyBorder="1" applyAlignment="1">
      <alignment horizontal="center" vertical="center" wrapText="1"/>
    </xf>
    <xf numFmtId="49" fontId="3" fillId="17" borderId="29" xfId="0" applyNumberFormat="1" applyFont="1" applyFill="1" applyBorder="1" applyAlignment="1">
      <alignment horizontal="center" vertical="center" wrapText="1"/>
    </xf>
    <xf numFmtId="49" fontId="3" fillId="17" borderId="0" xfId="0" applyNumberFormat="1" applyFont="1" applyFill="1" applyBorder="1" applyAlignment="1">
      <alignment horizontal="center" vertical="center" wrapText="1"/>
    </xf>
    <xf numFmtId="49" fontId="3" fillId="17" borderId="90" xfId="0" applyNumberFormat="1" applyFont="1" applyFill="1" applyBorder="1" applyAlignment="1">
      <alignment horizontal="center" vertical="center" wrapText="1"/>
    </xf>
    <xf numFmtId="49" fontId="3" fillId="17" borderId="76" xfId="0" applyNumberFormat="1" applyFont="1" applyFill="1" applyBorder="1" applyAlignment="1">
      <alignment horizontal="center" vertical="center" wrapText="1"/>
    </xf>
    <xf numFmtId="49" fontId="3" fillId="17" borderId="39" xfId="0" applyNumberFormat="1" applyFont="1" applyFill="1" applyBorder="1" applyAlignment="1">
      <alignment horizontal="center" vertical="center" wrapText="1"/>
    </xf>
    <xf numFmtId="49" fontId="3" fillId="17" borderId="53" xfId="0" applyNumberFormat="1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wrapText="1"/>
    </xf>
    <xf numFmtId="0" fontId="19" fillId="19" borderId="77" xfId="0" applyFont="1" applyFill="1" applyBorder="1" applyAlignment="1">
      <alignment horizontal="center" wrapText="1"/>
    </xf>
    <xf numFmtId="0" fontId="19" fillId="19" borderId="58" xfId="0" applyFont="1" applyFill="1" applyBorder="1" applyAlignment="1">
      <alignment horizontal="center" wrapText="1"/>
    </xf>
    <xf numFmtId="0" fontId="19" fillId="19" borderId="33" xfId="0" applyFont="1" applyFill="1" applyBorder="1" applyAlignment="1">
      <alignment horizontal="center" wrapText="1"/>
    </xf>
    <xf numFmtId="0" fontId="19" fillId="19" borderId="5" xfId="0" applyFont="1" applyFill="1" applyBorder="1" applyAlignment="1">
      <alignment horizontal="center" wrapText="1"/>
    </xf>
    <xf numFmtId="0" fontId="19" fillId="19" borderId="59" xfId="0" applyFont="1" applyFill="1" applyBorder="1" applyAlignment="1">
      <alignment horizontal="center" wrapText="1"/>
    </xf>
    <xf numFmtId="49" fontId="59" fillId="3" borderId="92" xfId="0" applyNumberFormat="1" applyFont="1" applyFill="1" applyBorder="1" applyAlignment="1">
      <alignment horizontal="center"/>
    </xf>
    <xf numFmtId="49" fontId="59" fillId="3" borderId="73" xfId="0" applyNumberFormat="1" applyFont="1" applyFill="1" applyBorder="1" applyAlignment="1">
      <alignment horizontal="center"/>
    </xf>
    <xf numFmtId="49" fontId="59" fillId="3" borderId="76" xfId="0" applyNumberFormat="1" applyFont="1" applyFill="1" applyBorder="1" applyAlignment="1">
      <alignment horizontal="center"/>
    </xf>
    <xf numFmtId="49" fontId="59" fillId="3" borderId="53" xfId="0" applyNumberFormat="1" applyFont="1" applyFill="1" applyBorder="1" applyAlignment="1">
      <alignment horizontal="center"/>
    </xf>
    <xf numFmtId="164" fontId="60" fillId="15" borderId="29" xfId="0" applyNumberFormat="1" applyFont="1" applyFill="1" applyBorder="1" applyAlignment="1">
      <alignment horizontal="center" vertical="center"/>
    </xf>
    <xf numFmtId="164" fontId="60" fillId="15" borderId="90" xfId="0" applyNumberFormat="1" applyFont="1" applyFill="1" applyBorder="1" applyAlignment="1">
      <alignment horizontal="center" vertical="center"/>
    </xf>
    <xf numFmtId="164" fontId="60" fillId="15" borderId="93" xfId="0" applyNumberFormat="1" applyFont="1" applyFill="1" applyBorder="1" applyAlignment="1">
      <alignment horizontal="center" vertical="center"/>
    </xf>
    <xf numFmtId="164" fontId="60" fillId="15" borderId="87" xfId="0" applyNumberFormat="1" applyFont="1" applyFill="1" applyBorder="1" applyAlignment="1">
      <alignment horizontal="center" vertical="center"/>
    </xf>
    <xf numFmtId="44" fontId="11" fillId="3" borderId="1" xfId="1" applyFont="1" applyFill="1" applyBorder="1" applyAlignment="1">
      <alignment horizontal="center" vertical="center"/>
    </xf>
    <xf numFmtId="44" fontId="11" fillId="3" borderId="3" xfId="1" applyFont="1" applyFill="1" applyBorder="1" applyAlignment="1">
      <alignment horizontal="center" vertical="center"/>
    </xf>
    <xf numFmtId="7" fontId="13" fillId="6" borderId="7" xfId="1" applyNumberFormat="1" applyFont="1" applyFill="1" applyBorder="1" applyAlignment="1">
      <alignment horizontal="center" vertical="center"/>
    </xf>
    <xf numFmtId="7" fontId="13" fillId="6" borderId="16" xfId="1" applyNumberFormat="1" applyFont="1" applyFill="1" applyBorder="1" applyAlignment="1">
      <alignment horizontal="center" vertical="center"/>
    </xf>
    <xf numFmtId="16" fontId="11" fillId="0" borderId="0" xfId="0" applyNumberFormat="1" applyFont="1" applyAlignment="1">
      <alignment horizontal="center"/>
    </xf>
    <xf numFmtId="164" fontId="60" fillId="15" borderId="92" xfId="0" applyNumberFormat="1" applyFont="1" applyFill="1" applyBorder="1" applyAlignment="1">
      <alignment horizontal="center" vertical="center"/>
    </xf>
    <xf numFmtId="164" fontId="60" fillId="15" borderId="73" xfId="0" applyNumberFormat="1" applyFont="1" applyFill="1" applyBorder="1" applyAlignment="1">
      <alignment horizontal="center" vertical="center"/>
    </xf>
    <xf numFmtId="164" fontId="60" fillId="15" borderId="76" xfId="0" applyNumberFormat="1" applyFont="1" applyFill="1" applyBorder="1" applyAlignment="1">
      <alignment horizontal="center" vertical="center"/>
    </xf>
    <xf numFmtId="164" fontId="60" fillId="15" borderId="53" xfId="0" applyNumberFormat="1" applyFont="1" applyFill="1" applyBorder="1" applyAlignment="1">
      <alignment horizontal="center" vertical="center"/>
    </xf>
    <xf numFmtId="0" fontId="33" fillId="6" borderId="57" xfId="0" applyFont="1" applyFill="1" applyBorder="1" applyAlignment="1">
      <alignment horizontal="center" vertical="center"/>
    </xf>
    <xf numFmtId="0" fontId="33" fillId="6" borderId="58" xfId="0" applyFont="1" applyFill="1" applyBorder="1" applyAlignment="1">
      <alignment horizontal="center" vertical="center"/>
    </xf>
    <xf numFmtId="0" fontId="33" fillId="6" borderId="33" xfId="0" applyFont="1" applyFill="1" applyBorder="1" applyAlignment="1">
      <alignment horizontal="center" vertical="center"/>
    </xf>
    <xf numFmtId="0" fontId="33" fillId="6" borderId="59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99"/>
      <color rgb="FF00FF00"/>
      <color rgb="FFCC3399"/>
      <color rgb="FF990033"/>
      <color rgb="FF0000FF"/>
      <color rgb="FF99CCFF"/>
      <color rgb="FF800000"/>
      <color rgb="FFCCFF66"/>
      <color rgb="FF66FF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89725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89535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7797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8012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91440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91249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2629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9512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97267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6</xdr:col>
      <xdr:colOff>95250</xdr:colOff>
      <xdr:row>37</xdr:row>
      <xdr:rowOff>38100</xdr:rowOff>
    </xdr:to>
    <xdr:sp macro="" textlink="">
      <xdr:nvSpPr>
        <xdr:cNvPr id="2" name="Cerrar llave 1"/>
        <xdr:cNvSpPr/>
      </xdr:nvSpPr>
      <xdr:spPr>
        <a:xfrm>
          <a:off x="4286250" y="847725"/>
          <a:ext cx="2028825" cy="7172325"/>
        </a:xfrm>
        <a:prstGeom prst="rightBrace">
          <a:avLst>
            <a:gd name="adj1" fmla="val 8333"/>
            <a:gd name="adj2" fmla="val 49867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523874</xdr:colOff>
      <xdr:row>2</xdr:row>
      <xdr:rowOff>19050</xdr:rowOff>
    </xdr:from>
    <xdr:to>
      <xdr:col>14</xdr:col>
      <xdr:colOff>28574</xdr:colOff>
      <xdr:row>29</xdr:row>
      <xdr:rowOff>85724</xdr:rowOff>
    </xdr:to>
    <xdr:sp macro="" textlink="">
      <xdr:nvSpPr>
        <xdr:cNvPr id="3" name="Cerrar llave 2"/>
        <xdr:cNvSpPr/>
      </xdr:nvSpPr>
      <xdr:spPr>
        <a:xfrm>
          <a:off x="11601449" y="847725"/>
          <a:ext cx="1819275" cy="5581649"/>
        </a:xfrm>
        <a:prstGeom prst="rightBrace">
          <a:avLst>
            <a:gd name="adj1" fmla="val 8333"/>
            <a:gd name="adj2" fmla="val 49662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729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776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729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586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965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753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9680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586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39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775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562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7775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586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39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775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562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7775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0" zoomScale="85" zoomScaleNormal="85" workbookViewId="0">
      <selection activeCell="F24" sqref="F24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63" customWidth="1"/>
  </cols>
  <sheetData>
    <row r="1" spans="1:19" ht="23.25" x14ac:dyDescent="0.35">
      <c r="B1" s="533"/>
      <c r="C1" s="535" t="s">
        <v>25</v>
      </c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19" ht="16.5" thickBot="1" x14ac:dyDescent="0.3">
      <c r="B2" s="534"/>
      <c r="C2" s="3"/>
      <c r="H2" s="5"/>
      <c r="I2" s="6"/>
      <c r="J2" s="7"/>
      <c r="L2" s="8"/>
      <c r="M2" s="6"/>
      <c r="N2" s="9"/>
    </row>
    <row r="3" spans="1:19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14" t="s">
        <v>6</v>
      </c>
      <c r="Q4" s="515"/>
    </row>
    <row r="5" spans="1:19" ht="18" thickBot="1" x14ac:dyDescent="0.35">
      <c r="A5" s="23" t="s">
        <v>7</v>
      </c>
      <c r="B5" s="24">
        <v>44488</v>
      </c>
      <c r="C5" s="161">
        <v>0</v>
      </c>
      <c r="D5" s="26"/>
      <c r="E5" s="27">
        <v>44488</v>
      </c>
      <c r="F5" s="159">
        <v>0</v>
      </c>
      <c r="G5" s="2"/>
      <c r="H5" s="29">
        <v>44488</v>
      </c>
      <c r="I5" s="160">
        <v>0</v>
      </c>
      <c r="J5" s="37" t="s">
        <v>29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30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02">
        <f t="shared" ref="Q6:Q38" si="1">P6-F6</f>
        <v>-2677</v>
      </c>
      <c r="R6" s="200" t="s">
        <v>28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30</v>
      </c>
      <c r="L7" s="39">
        <v>3000</v>
      </c>
      <c r="M7" s="32">
        <v>15670</v>
      </c>
      <c r="N7" s="33">
        <v>8843</v>
      </c>
      <c r="O7" s="199" t="s">
        <v>31</v>
      </c>
      <c r="P7" s="69">
        <f t="shared" si="0"/>
        <v>27818</v>
      </c>
      <c r="Q7" s="203">
        <f t="shared" si="1"/>
        <v>2027</v>
      </c>
      <c r="R7" s="201" t="s">
        <v>39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32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30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04">
        <f t="shared" si="1"/>
        <v>-3392.5</v>
      </c>
      <c r="R8" s="200" t="s">
        <v>28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80" t="s">
        <v>33</v>
      </c>
      <c r="L9" s="181">
        <v>1800</v>
      </c>
      <c r="M9" s="32">
        <f>18050+3600</f>
        <v>21650</v>
      </c>
      <c r="N9" s="33">
        <v>12838</v>
      </c>
      <c r="O9" s="2"/>
      <c r="P9" s="69">
        <f t="shared" ref="P9:P14" si="2">N9+M9+L9+I9+C9</f>
        <v>36624.5</v>
      </c>
      <c r="Q9" s="205" t="s">
        <v>52</v>
      </c>
      <c r="R9" s="201" t="s">
        <v>34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35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67" t="s">
        <v>36</v>
      </c>
      <c r="L10" s="45">
        <v>7500</v>
      </c>
      <c r="M10" s="32">
        <v>8500</v>
      </c>
      <c r="N10" s="33">
        <v>9392</v>
      </c>
      <c r="O10" s="2"/>
      <c r="P10" s="69">
        <f t="shared" si="2"/>
        <v>26298</v>
      </c>
      <c r="Q10" s="204">
        <f t="shared" si="1"/>
        <v>-1776</v>
      </c>
      <c r="R10" s="200" t="s">
        <v>28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37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68"/>
      <c r="L11" s="39"/>
      <c r="M11" s="32">
        <v>0</v>
      </c>
      <c r="N11" s="33">
        <v>5718</v>
      </c>
      <c r="O11" s="2"/>
      <c r="P11" s="69">
        <f t="shared" si="2"/>
        <v>28522</v>
      </c>
      <c r="Q11" s="206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38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69"/>
      <c r="L12" s="39"/>
      <c r="M12" s="32">
        <v>7341</v>
      </c>
      <c r="N12" s="33">
        <v>10244</v>
      </c>
      <c r="O12" s="2"/>
      <c r="P12" s="69">
        <f t="shared" si="2"/>
        <v>31646</v>
      </c>
      <c r="Q12" s="206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40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03">
        <f t="shared" si="1"/>
        <v>1016.3499999999985</v>
      </c>
      <c r="R13" s="201" t="s">
        <v>39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41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si="2"/>
        <v>32621</v>
      </c>
      <c r="Q14" s="205">
        <f t="shared" si="1"/>
        <v>177</v>
      </c>
      <c r="R14" s="201" t="s">
        <v>39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42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02">
        <f t="shared" si="1"/>
        <v>-2472.5</v>
      </c>
      <c r="R15" s="200" t="s">
        <v>28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43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69"/>
      <c r="L16" s="9"/>
      <c r="M16" s="32">
        <v>33550</v>
      </c>
      <c r="N16" s="33">
        <v>14745</v>
      </c>
      <c r="P16" s="69">
        <f t="shared" si="0"/>
        <v>49883</v>
      </c>
      <c r="Q16" s="207">
        <f t="shared" si="1"/>
        <v>1942</v>
      </c>
      <c r="R16" s="201" t="s">
        <v>39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07">
        <f t="shared" si="1"/>
        <v>378.5</v>
      </c>
      <c r="R17" s="201" t="s">
        <v>39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44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70" t="s">
        <v>46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04">
        <f t="shared" si="1"/>
        <v>-3452</v>
      </c>
      <c r="R18" s="200" t="s">
        <v>28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45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04">
        <f t="shared" si="1"/>
        <v>-822.5</v>
      </c>
      <c r="R19" s="200" t="s">
        <v>28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47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71"/>
      <c r="L20" s="45"/>
      <c r="M20" s="32">
        <v>0</v>
      </c>
      <c r="N20" s="33">
        <v>5866</v>
      </c>
      <c r="P20" s="69">
        <f t="shared" si="0"/>
        <v>39315.9</v>
      </c>
      <c r="Q20" s="206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48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06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49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04">
        <f t="shared" si="1"/>
        <v>-1457</v>
      </c>
      <c r="R22" s="200" t="s">
        <v>28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50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72" t="s">
        <v>51</v>
      </c>
      <c r="L23" s="45">
        <v>23657.14</v>
      </c>
      <c r="M23" s="182">
        <v>0</v>
      </c>
      <c r="N23" s="33">
        <v>21472</v>
      </c>
      <c r="P23" s="69">
        <f t="shared" si="0"/>
        <v>50727.14</v>
      </c>
      <c r="Q23" s="204">
        <f t="shared" si="1"/>
        <v>-18819.86</v>
      </c>
      <c r="R23" s="200" t="s">
        <v>28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73"/>
      <c r="L24" s="52"/>
      <c r="M24" s="182">
        <v>0</v>
      </c>
      <c r="N24" s="33">
        <v>9718</v>
      </c>
      <c r="P24" s="69">
        <f t="shared" si="0"/>
        <v>9868.5</v>
      </c>
      <c r="Q24" s="204">
        <f t="shared" si="1"/>
        <v>-24335.5</v>
      </c>
      <c r="R24" s="200" t="s">
        <v>28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16">
        <f t="shared" si="0"/>
        <v>0</v>
      </c>
      <c r="Q25" s="217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73"/>
      <c r="L26" s="45"/>
      <c r="M26" s="32">
        <v>0</v>
      </c>
      <c r="N26" s="33">
        <v>0</v>
      </c>
      <c r="P26" s="215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74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75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76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516">
        <f>SUM(M5:M38)</f>
        <v>247061</v>
      </c>
      <c r="N39" s="518">
        <f>SUM(N5:N38)</f>
        <v>172863</v>
      </c>
      <c r="P39" s="34">
        <f>SUM(P5:P38)</f>
        <v>626289.39</v>
      </c>
      <c r="Q39" s="218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517"/>
      <c r="N40" s="519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520" t="s">
        <v>11</v>
      </c>
      <c r="I52" s="521"/>
      <c r="J52" s="100"/>
      <c r="K52" s="522">
        <f>I50+L50</f>
        <v>53873.49</v>
      </c>
      <c r="L52" s="523"/>
      <c r="M52" s="524">
        <f>N39+M39</f>
        <v>419924</v>
      </c>
      <c r="N52" s="525"/>
      <c r="P52" s="34"/>
      <c r="Q52" s="9"/>
    </row>
    <row r="53" spans="1:17" ht="15.75" x14ac:dyDescent="0.25">
      <c r="D53" s="526" t="s">
        <v>12</v>
      </c>
      <c r="E53" s="526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526" t="s">
        <v>95</v>
      </c>
      <c r="E54" s="526"/>
      <c r="F54" s="96">
        <v>-549976.4</v>
      </c>
      <c r="I54" s="527" t="s">
        <v>13</v>
      </c>
      <c r="J54" s="528"/>
      <c r="K54" s="529">
        <f>F56+F57+F58</f>
        <v>-24577.400000000023</v>
      </c>
      <c r="L54" s="530"/>
      <c r="P54" s="34"/>
      <c r="Q54" s="9"/>
    </row>
    <row r="55" spans="1:17" ht="19.5" thickBot="1" x14ac:dyDescent="0.35">
      <c r="D55" s="189" t="s">
        <v>94</v>
      </c>
      <c r="E55" s="98"/>
      <c r="F55" s="104">
        <v>-513028.96</v>
      </c>
      <c r="I55" s="105"/>
      <c r="J55" s="106"/>
      <c r="K55" s="178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531">
        <f>-C4</f>
        <v>0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509" t="s">
        <v>18</v>
      </c>
      <c r="E58" s="510"/>
      <c r="F58" s="113">
        <v>567389.35</v>
      </c>
      <c r="I58" s="511" t="s">
        <v>97</v>
      </c>
      <c r="J58" s="512"/>
      <c r="K58" s="513">
        <f>K54+K56</f>
        <v>-24577.400000000023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F1" workbookViewId="0">
      <selection activeCell="J30" sqref="J3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55" t="s">
        <v>90</v>
      </c>
      <c r="B1" s="156"/>
      <c r="C1" s="157"/>
      <c r="D1" s="156"/>
      <c r="E1" s="157"/>
      <c r="F1" s="158" t="s">
        <v>27</v>
      </c>
      <c r="I1" s="187" t="s">
        <v>91</v>
      </c>
      <c r="J1" s="193"/>
      <c r="K1" s="188"/>
      <c r="L1" s="251"/>
      <c r="M1" s="188"/>
      <c r="N1" s="158" t="s">
        <v>27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192" t="s">
        <v>20</v>
      </c>
      <c r="K2" s="132" t="s">
        <v>21</v>
      </c>
      <c r="L2" s="252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53</v>
      </c>
      <c r="C3" s="69">
        <v>225686.58</v>
      </c>
      <c r="D3" s="136"/>
      <c r="E3" s="69"/>
      <c r="F3" s="183">
        <f>C3-E3</f>
        <v>225686.58</v>
      </c>
      <c r="I3" s="191">
        <v>44483</v>
      </c>
      <c r="J3" s="195">
        <v>2554</v>
      </c>
      <c r="K3" s="196">
        <v>19269</v>
      </c>
      <c r="L3" s="258">
        <v>44498</v>
      </c>
      <c r="M3" s="69">
        <v>19269</v>
      </c>
      <c r="N3" s="183">
        <f>K3-M3</f>
        <v>0</v>
      </c>
    </row>
    <row r="4" spans="1:14" ht="18.75" x14ac:dyDescent="0.3">
      <c r="A4" s="134">
        <v>44488</v>
      </c>
      <c r="B4" s="135" t="s">
        <v>55</v>
      </c>
      <c r="C4" s="69">
        <v>53647.199999999997</v>
      </c>
      <c r="D4" s="136"/>
      <c r="E4" s="69"/>
      <c r="F4" s="137">
        <f>F3+C4-E4</f>
        <v>279333.77999999997</v>
      </c>
      <c r="G4" s="138"/>
      <c r="I4" s="191">
        <v>44487</v>
      </c>
      <c r="J4" s="195">
        <v>2579</v>
      </c>
      <c r="K4" s="196">
        <v>25542</v>
      </c>
      <c r="L4" s="259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54</v>
      </c>
      <c r="C5" s="69">
        <v>117061.64</v>
      </c>
      <c r="D5" s="136"/>
      <c r="E5" s="69"/>
      <c r="F5" s="137">
        <f t="shared" ref="F5:F68" si="0">F4+C5-E5</f>
        <v>396395.42</v>
      </c>
      <c r="I5" s="191">
        <v>44487</v>
      </c>
      <c r="J5" s="195">
        <v>2581</v>
      </c>
      <c r="K5" s="196">
        <v>10208</v>
      </c>
      <c r="L5" s="366" t="s">
        <v>311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56</v>
      </c>
      <c r="C6" s="69">
        <v>1300</v>
      </c>
      <c r="D6" s="136"/>
      <c r="E6" s="69"/>
      <c r="F6" s="137">
        <f t="shared" si="0"/>
        <v>397695.42</v>
      </c>
      <c r="I6" s="191">
        <v>44487</v>
      </c>
      <c r="J6" s="195">
        <v>2582</v>
      </c>
      <c r="K6" s="196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57</v>
      </c>
      <c r="C7" s="69">
        <v>1741.6</v>
      </c>
      <c r="D7" s="136"/>
      <c r="E7" s="69"/>
      <c r="F7" s="137">
        <f t="shared" si="0"/>
        <v>399437.01999999996</v>
      </c>
      <c r="I7" s="191">
        <v>44487</v>
      </c>
      <c r="J7" s="195">
        <v>2583</v>
      </c>
      <c r="K7" s="196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58</v>
      </c>
      <c r="C8" s="69">
        <v>15000</v>
      </c>
      <c r="D8" s="136"/>
      <c r="E8" s="69"/>
      <c r="F8" s="137">
        <f t="shared" si="0"/>
        <v>414437.01999999996</v>
      </c>
      <c r="I8" s="191">
        <v>44488</v>
      </c>
      <c r="J8" s="195">
        <v>2591</v>
      </c>
      <c r="K8" s="196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59</v>
      </c>
      <c r="C9" s="69">
        <v>23362.9</v>
      </c>
      <c r="D9" s="136"/>
      <c r="E9" s="69"/>
      <c r="F9" s="137">
        <f t="shared" si="0"/>
        <v>437799.92</v>
      </c>
      <c r="I9" s="191">
        <v>44488</v>
      </c>
      <c r="J9" s="195">
        <v>2592</v>
      </c>
      <c r="K9" s="196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60</v>
      </c>
      <c r="C10" s="69">
        <v>199330</v>
      </c>
      <c r="D10" s="136"/>
      <c r="E10" s="69"/>
      <c r="F10" s="137">
        <f t="shared" si="0"/>
        <v>637129.91999999993</v>
      </c>
      <c r="G10" s="138"/>
      <c r="I10" s="191">
        <v>44488</v>
      </c>
      <c r="J10" s="195">
        <v>2593</v>
      </c>
      <c r="K10" s="196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61</v>
      </c>
      <c r="C11" s="69">
        <v>198868.1</v>
      </c>
      <c r="D11" s="140"/>
      <c r="E11" s="69"/>
      <c r="F11" s="137">
        <f t="shared" si="0"/>
        <v>835998.0199999999</v>
      </c>
      <c r="I11" s="191">
        <v>44488</v>
      </c>
      <c r="J11" s="195">
        <v>2594</v>
      </c>
      <c r="K11" s="196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08" t="s">
        <v>62</v>
      </c>
      <c r="C12" s="69">
        <v>191153.5</v>
      </c>
      <c r="D12" s="140"/>
      <c r="E12" s="69"/>
      <c r="F12" s="137">
        <f t="shared" si="0"/>
        <v>1027151.5199999999</v>
      </c>
      <c r="I12" s="191">
        <v>44488</v>
      </c>
      <c r="J12" s="195">
        <v>2595</v>
      </c>
      <c r="K12" s="196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84">
        <v>44498</v>
      </c>
      <c r="B13" s="185" t="s">
        <v>63</v>
      </c>
      <c r="C13" s="186">
        <v>-1027151.52</v>
      </c>
      <c r="D13" s="140"/>
      <c r="E13" s="69"/>
      <c r="F13" s="137">
        <f t="shared" si="0"/>
        <v>-1.1641532182693481E-10</v>
      </c>
      <c r="I13" s="191">
        <v>44488</v>
      </c>
      <c r="J13" s="195">
        <v>2596</v>
      </c>
      <c r="K13" s="196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08" t="s">
        <v>62</v>
      </c>
      <c r="C14" s="69">
        <v>6239</v>
      </c>
      <c r="D14" s="140"/>
      <c r="E14" s="69"/>
      <c r="F14" s="137">
        <f t="shared" si="0"/>
        <v>6238.9999999998836</v>
      </c>
      <c r="I14" s="191">
        <v>44488</v>
      </c>
      <c r="J14" s="195">
        <v>2597</v>
      </c>
      <c r="K14" s="196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64</v>
      </c>
      <c r="C15" s="69">
        <v>2200</v>
      </c>
      <c r="D15" s="140"/>
      <c r="E15" s="69"/>
      <c r="F15" s="137">
        <f t="shared" si="0"/>
        <v>8438.9999999998836</v>
      </c>
      <c r="I15" s="191">
        <v>44488</v>
      </c>
      <c r="J15" s="195">
        <v>2598</v>
      </c>
      <c r="K15" s="196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365" t="s">
        <v>65</v>
      </c>
      <c r="C16" s="69">
        <v>283491.90000000002</v>
      </c>
      <c r="D16" s="140">
        <v>44499</v>
      </c>
      <c r="E16" s="69">
        <v>145000</v>
      </c>
      <c r="F16" s="265">
        <f t="shared" si="0"/>
        <v>146930.89999999991</v>
      </c>
      <c r="I16" s="191">
        <v>44489</v>
      </c>
      <c r="J16" s="195">
        <v>2600</v>
      </c>
      <c r="K16" s="196">
        <v>6297</v>
      </c>
      <c r="L16" s="253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66</v>
      </c>
      <c r="C17" s="69">
        <v>19643.5</v>
      </c>
      <c r="D17" s="140"/>
      <c r="E17" s="69"/>
      <c r="F17" s="137">
        <f t="shared" si="0"/>
        <v>166574.39999999991</v>
      </c>
      <c r="I17" s="191">
        <v>44489</v>
      </c>
      <c r="J17" s="195">
        <v>2601</v>
      </c>
      <c r="K17" s="196">
        <v>12350</v>
      </c>
      <c r="L17" s="253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67</v>
      </c>
      <c r="C18" s="69">
        <v>3737</v>
      </c>
      <c r="D18" s="140"/>
      <c r="E18" s="69"/>
      <c r="F18" s="137">
        <f t="shared" si="0"/>
        <v>170311.39999999991</v>
      </c>
      <c r="I18" s="191">
        <v>44489</v>
      </c>
      <c r="J18" s="195">
        <v>2602</v>
      </c>
      <c r="K18" s="196">
        <v>5444</v>
      </c>
      <c r="L18" s="253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68</v>
      </c>
      <c r="C19" s="69">
        <v>1072.5</v>
      </c>
      <c r="D19" s="140"/>
      <c r="E19" s="69"/>
      <c r="F19" s="137">
        <f t="shared" si="0"/>
        <v>171383.89999999991</v>
      </c>
      <c r="I19" s="191">
        <v>44489</v>
      </c>
      <c r="J19" s="195">
        <v>2603</v>
      </c>
      <c r="K19" s="196">
        <v>1717</v>
      </c>
      <c r="L19" s="253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69</v>
      </c>
      <c r="C20" s="69">
        <v>19152.8</v>
      </c>
      <c r="D20" s="140"/>
      <c r="E20" s="69"/>
      <c r="F20" s="137">
        <f t="shared" si="0"/>
        <v>190536.6999999999</v>
      </c>
      <c r="I20" s="191">
        <v>44489</v>
      </c>
      <c r="J20" s="195">
        <v>2608</v>
      </c>
      <c r="K20" s="196">
        <v>16136</v>
      </c>
      <c r="L20" s="253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70</v>
      </c>
      <c r="C21" s="69">
        <v>2509</v>
      </c>
      <c r="D21" s="140"/>
      <c r="E21" s="69"/>
      <c r="F21" s="137">
        <f t="shared" si="0"/>
        <v>193045.6999999999</v>
      </c>
      <c r="I21" s="191">
        <v>44489</v>
      </c>
      <c r="J21" s="195">
        <v>2609</v>
      </c>
      <c r="K21" s="196">
        <v>9256</v>
      </c>
      <c r="L21" s="253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71</v>
      </c>
      <c r="C22" s="69">
        <v>1228.5</v>
      </c>
      <c r="D22" s="140"/>
      <c r="E22" s="69"/>
      <c r="F22" s="137">
        <f t="shared" si="0"/>
        <v>194274.1999999999</v>
      </c>
      <c r="G22" s="138"/>
      <c r="I22" s="191">
        <v>44490</v>
      </c>
      <c r="J22" s="195">
        <v>2611</v>
      </c>
      <c r="K22" s="196">
        <v>5500</v>
      </c>
      <c r="L22" s="253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72</v>
      </c>
      <c r="C23" s="69">
        <v>46234</v>
      </c>
      <c r="D23" s="140"/>
      <c r="E23" s="69"/>
      <c r="F23" s="137">
        <f t="shared" si="0"/>
        <v>240508.1999999999</v>
      </c>
      <c r="I23" s="191">
        <v>44490</v>
      </c>
      <c r="J23" s="195">
        <v>2615</v>
      </c>
      <c r="K23" s="196">
        <v>1331</v>
      </c>
      <c r="L23" s="253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73</v>
      </c>
      <c r="C24" s="69">
        <v>6250</v>
      </c>
      <c r="D24" s="140"/>
      <c r="E24" s="69"/>
      <c r="F24" s="137">
        <f t="shared" si="0"/>
        <v>246758.1999999999</v>
      </c>
      <c r="I24" s="191">
        <v>44490</v>
      </c>
      <c r="J24" s="195">
        <v>2619</v>
      </c>
      <c r="K24" s="196">
        <v>420</v>
      </c>
      <c r="L24" s="253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74</v>
      </c>
      <c r="C25" s="69">
        <v>2092.1999999999998</v>
      </c>
      <c r="D25" s="140"/>
      <c r="E25" s="69"/>
      <c r="F25" s="137">
        <f t="shared" si="0"/>
        <v>248850.39999999991</v>
      </c>
      <c r="I25" s="191">
        <v>44490</v>
      </c>
      <c r="J25" s="195">
        <v>2620</v>
      </c>
      <c r="K25" s="196">
        <v>770</v>
      </c>
      <c r="L25" s="253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75</v>
      </c>
      <c r="C26" s="69">
        <v>2756</v>
      </c>
      <c r="D26" s="140"/>
      <c r="E26" s="69"/>
      <c r="F26" s="137">
        <f t="shared" si="0"/>
        <v>251606.39999999991</v>
      </c>
      <c r="I26" s="191">
        <v>44491</v>
      </c>
      <c r="J26" s="195">
        <v>2622</v>
      </c>
      <c r="K26" s="196">
        <v>2257</v>
      </c>
      <c r="L26" s="253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76</v>
      </c>
      <c r="C27" s="69">
        <v>9313.6</v>
      </c>
      <c r="D27" s="140"/>
      <c r="E27" s="69"/>
      <c r="F27" s="137">
        <f t="shared" si="0"/>
        <v>260919.99999999991</v>
      </c>
      <c r="I27" s="191">
        <v>44491</v>
      </c>
      <c r="J27" s="195">
        <v>2623</v>
      </c>
      <c r="K27" s="196">
        <v>60</v>
      </c>
      <c r="L27" s="253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77</v>
      </c>
      <c r="C28" s="69">
        <v>10048.5</v>
      </c>
      <c r="D28" s="140"/>
      <c r="E28" s="69"/>
      <c r="F28" s="137">
        <f t="shared" si="0"/>
        <v>270968.49999999988</v>
      </c>
      <c r="I28" s="191">
        <v>44491</v>
      </c>
      <c r="J28" s="195">
        <v>2628</v>
      </c>
      <c r="K28" s="196">
        <v>39533</v>
      </c>
      <c r="L28" s="253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78</v>
      </c>
      <c r="C29" s="69">
        <v>3233</v>
      </c>
      <c r="D29" s="140"/>
      <c r="E29" s="69"/>
      <c r="F29" s="137">
        <f t="shared" si="0"/>
        <v>274201.49999999988</v>
      </c>
      <c r="I29" s="191">
        <v>44492</v>
      </c>
      <c r="J29" s="195">
        <v>2633</v>
      </c>
      <c r="K29" s="196">
        <v>3727</v>
      </c>
      <c r="L29" s="253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79</v>
      </c>
      <c r="C30" s="69">
        <v>18440.3</v>
      </c>
      <c r="D30" s="140"/>
      <c r="E30" s="69"/>
      <c r="F30" s="137">
        <f t="shared" si="0"/>
        <v>292641.79999999987</v>
      </c>
      <c r="G30" s="138"/>
      <c r="I30" s="191">
        <v>44492</v>
      </c>
      <c r="J30" s="220">
        <v>2638</v>
      </c>
      <c r="K30" s="221">
        <v>3861</v>
      </c>
      <c r="L30" s="253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80</v>
      </c>
      <c r="C31" s="69">
        <v>5634.12</v>
      </c>
      <c r="D31" s="140"/>
      <c r="E31" s="69"/>
      <c r="F31" s="137">
        <f t="shared" si="0"/>
        <v>298275.91999999987</v>
      </c>
      <c r="I31" s="191">
        <v>44493</v>
      </c>
      <c r="J31" s="195">
        <v>2641</v>
      </c>
      <c r="K31" s="196">
        <v>24825</v>
      </c>
      <c r="L31" s="253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81</v>
      </c>
      <c r="C32" s="69">
        <v>42852</v>
      </c>
      <c r="D32" s="140"/>
      <c r="E32" s="69"/>
      <c r="F32" s="137">
        <f t="shared" si="0"/>
        <v>341127.91999999987</v>
      </c>
      <c r="I32" s="191">
        <v>44493</v>
      </c>
      <c r="J32" s="195">
        <v>2642</v>
      </c>
      <c r="K32" s="196">
        <v>614</v>
      </c>
      <c r="L32" s="253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82</v>
      </c>
      <c r="C33" s="69">
        <v>7757.6</v>
      </c>
      <c r="D33" s="140"/>
      <c r="E33" s="69"/>
      <c r="F33" s="137">
        <f t="shared" si="0"/>
        <v>348885.51999999984</v>
      </c>
      <c r="I33" s="191">
        <v>44494</v>
      </c>
      <c r="J33" s="195">
        <v>2644</v>
      </c>
      <c r="K33" s="196">
        <v>2901</v>
      </c>
      <c r="L33" s="253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83</v>
      </c>
      <c r="C34" s="69">
        <v>6498</v>
      </c>
      <c r="D34" s="140"/>
      <c r="E34" s="69"/>
      <c r="F34" s="137">
        <f t="shared" si="0"/>
        <v>355383.51999999984</v>
      </c>
      <c r="I34" s="191">
        <v>44495</v>
      </c>
      <c r="J34" s="195">
        <v>2648</v>
      </c>
      <c r="K34" s="196">
        <v>2623</v>
      </c>
      <c r="L34" s="253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84</v>
      </c>
      <c r="C35" s="69">
        <v>5926.3</v>
      </c>
      <c r="D35" s="140"/>
      <c r="E35" s="69"/>
      <c r="F35" s="137">
        <f t="shared" si="0"/>
        <v>361309.81999999983</v>
      </c>
      <c r="I35" s="191">
        <v>44495</v>
      </c>
      <c r="J35" s="195">
        <v>2653</v>
      </c>
      <c r="K35" s="196">
        <v>740</v>
      </c>
      <c r="L35" s="253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85</v>
      </c>
      <c r="C36" s="69">
        <v>19420.8</v>
      </c>
      <c r="D36" s="140"/>
      <c r="E36" s="69"/>
      <c r="F36" s="137">
        <f t="shared" si="0"/>
        <v>380730.61999999982</v>
      </c>
      <c r="I36" s="191">
        <v>44495</v>
      </c>
      <c r="J36" s="220">
        <v>2655</v>
      </c>
      <c r="K36" s="221">
        <v>1189</v>
      </c>
      <c r="L36" s="253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86</v>
      </c>
      <c r="C37" s="69">
        <v>10233.200000000001</v>
      </c>
      <c r="D37" s="140"/>
      <c r="E37" s="69"/>
      <c r="F37" s="137">
        <f t="shared" si="0"/>
        <v>390963.81999999983</v>
      </c>
      <c r="I37" s="191">
        <v>44496</v>
      </c>
      <c r="J37" s="195">
        <v>2659</v>
      </c>
      <c r="K37" s="196">
        <v>6711</v>
      </c>
      <c r="L37" s="253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87</v>
      </c>
      <c r="C38" s="69">
        <v>15301.7</v>
      </c>
      <c r="D38" s="140"/>
      <c r="E38" s="69"/>
      <c r="F38" s="137">
        <f t="shared" si="0"/>
        <v>406265.51999999984</v>
      </c>
      <c r="I38" s="191">
        <v>44497</v>
      </c>
      <c r="J38" s="195">
        <v>2666</v>
      </c>
      <c r="K38" s="196">
        <v>71111</v>
      </c>
      <c r="L38" s="253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88</v>
      </c>
      <c r="C39" s="69">
        <v>3101.84</v>
      </c>
      <c r="D39" s="140"/>
      <c r="E39" s="69"/>
      <c r="F39" s="137">
        <f t="shared" si="0"/>
        <v>409367.35999999987</v>
      </c>
      <c r="I39" s="191">
        <v>44497</v>
      </c>
      <c r="J39" s="195">
        <v>2668</v>
      </c>
      <c r="K39" s="196">
        <v>13525</v>
      </c>
      <c r="L39" s="253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89</v>
      </c>
      <c r="C40" s="69">
        <v>81.599999999999994</v>
      </c>
      <c r="D40" s="140">
        <v>44536</v>
      </c>
      <c r="E40" s="69">
        <v>409448.96000000002</v>
      </c>
      <c r="F40" s="137">
        <f t="shared" si="0"/>
        <v>0</v>
      </c>
      <c r="I40" s="191">
        <v>44497</v>
      </c>
      <c r="J40" s="195">
        <v>2669</v>
      </c>
      <c r="K40" s="196">
        <v>7227</v>
      </c>
      <c r="L40" s="253"/>
      <c r="M40" s="69"/>
      <c r="N40" s="137">
        <f t="shared" si="1"/>
        <v>475491.42</v>
      </c>
    </row>
    <row r="41" spans="1:14" ht="15.75" x14ac:dyDescent="0.25">
      <c r="A41" s="140">
        <v>44507</v>
      </c>
      <c r="B41" s="544" t="s">
        <v>92</v>
      </c>
      <c r="C41" s="190">
        <v>0</v>
      </c>
      <c r="D41" s="140"/>
      <c r="E41" s="69"/>
      <c r="F41" s="137">
        <f t="shared" si="0"/>
        <v>0</v>
      </c>
      <c r="I41" s="191">
        <v>44497</v>
      </c>
      <c r="J41" s="195">
        <v>2672</v>
      </c>
      <c r="K41" s="196">
        <v>2618</v>
      </c>
      <c r="L41" s="253"/>
      <c r="M41" s="69"/>
      <c r="N41" s="137">
        <f t="shared" si="1"/>
        <v>478109.42</v>
      </c>
    </row>
    <row r="42" spans="1:14" ht="15.75" x14ac:dyDescent="0.25">
      <c r="A42" s="140" t="s">
        <v>93</v>
      </c>
      <c r="B42" s="545"/>
      <c r="C42" s="143">
        <v>0</v>
      </c>
      <c r="D42" s="140"/>
      <c r="E42" s="69"/>
      <c r="F42" s="137">
        <f t="shared" si="0"/>
        <v>0</v>
      </c>
      <c r="I42" s="191">
        <v>44498</v>
      </c>
      <c r="J42" s="195">
        <v>2675</v>
      </c>
      <c r="K42" s="196">
        <v>8371</v>
      </c>
      <c r="L42" s="253"/>
      <c r="M42" s="69"/>
      <c r="N42" s="137">
        <f t="shared" si="1"/>
        <v>486480.42</v>
      </c>
    </row>
    <row r="43" spans="1:14" ht="15.75" x14ac:dyDescent="0.25">
      <c r="A43" s="140"/>
      <c r="B43" s="279">
        <v>4472.5600000000004</v>
      </c>
      <c r="C43" s="69"/>
      <c r="D43" s="140"/>
      <c r="E43" s="69"/>
      <c r="F43" s="137">
        <f t="shared" si="0"/>
        <v>0</v>
      </c>
      <c r="I43" s="191">
        <v>44498</v>
      </c>
      <c r="J43" s="195">
        <v>2676</v>
      </c>
      <c r="K43" s="196">
        <v>753</v>
      </c>
      <c r="L43" s="253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191">
        <v>44498</v>
      </c>
      <c r="J44" s="197" t="s">
        <v>96</v>
      </c>
      <c r="K44" s="198">
        <v>0</v>
      </c>
      <c r="L44" s="253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191">
        <v>44499</v>
      </c>
      <c r="J45" s="195">
        <v>2684</v>
      </c>
      <c r="K45" s="196">
        <v>5240</v>
      </c>
      <c r="L45" s="253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191">
        <v>44501</v>
      </c>
      <c r="J46" s="195">
        <v>2691</v>
      </c>
      <c r="K46" s="196">
        <v>15576</v>
      </c>
      <c r="L46" s="253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191">
        <v>44501</v>
      </c>
      <c r="J47" s="195">
        <v>2692</v>
      </c>
      <c r="K47" s="196">
        <v>739</v>
      </c>
      <c r="L47" s="253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191">
        <v>44501</v>
      </c>
      <c r="J48" s="195">
        <v>2693</v>
      </c>
      <c r="K48" s="196">
        <v>623</v>
      </c>
      <c r="L48" s="253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191">
        <v>44502</v>
      </c>
      <c r="J49" s="195">
        <v>2700</v>
      </c>
      <c r="K49" s="196">
        <v>2636</v>
      </c>
      <c r="L49" s="253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191">
        <v>44502</v>
      </c>
      <c r="J50" s="195">
        <v>2702</v>
      </c>
      <c r="K50" s="196">
        <v>120</v>
      </c>
      <c r="L50" s="253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191">
        <v>44503</v>
      </c>
      <c r="J51" s="195">
        <v>2711</v>
      </c>
      <c r="K51" s="196">
        <v>14669</v>
      </c>
      <c r="L51" s="253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191">
        <v>44504</v>
      </c>
      <c r="J52" s="195">
        <v>2712</v>
      </c>
      <c r="K52" s="196">
        <v>2897</v>
      </c>
      <c r="L52" s="253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191">
        <v>44504</v>
      </c>
      <c r="J53" s="195">
        <v>2717</v>
      </c>
      <c r="K53" s="196">
        <v>360</v>
      </c>
      <c r="L53" s="253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191">
        <v>44505</v>
      </c>
      <c r="J54" s="195">
        <v>2722</v>
      </c>
      <c r="K54" s="196">
        <v>4820</v>
      </c>
      <c r="L54" s="253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191">
        <v>44505</v>
      </c>
      <c r="J55" s="195">
        <v>2724</v>
      </c>
      <c r="K55" s="196">
        <v>4925</v>
      </c>
      <c r="L55" s="253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191">
        <v>44506</v>
      </c>
      <c r="J56" s="195">
        <v>2732</v>
      </c>
      <c r="K56" s="196">
        <v>5</v>
      </c>
      <c r="L56" s="253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191">
        <v>44506</v>
      </c>
      <c r="J57" s="195">
        <v>2733</v>
      </c>
      <c r="K57" s="196">
        <v>6665</v>
      </c>
      <c r="L57" s="253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191">
        <v>44507</v>
      </c>
      <c r="J58" s="195">
        <v>2738</v>
      </c>
      <c r="K58" s="196">
        <v>646</v>
      </c>
      <c r="L58" s="253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191">
        <v>44507</v>
      </c>
      <c r="J59" s="197" t="s">
        <v>96</v>
      </c>
      <c r="K59" s="198">
        <v>0</v>
      </c>
      <c r="L59" s="253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>
        <v>34125.46</v>
      </c>
      <c r="K60" s="69"/>
      <c r="L60" s="282">
        <v>44533</v>
      </c>
      <c r="M60" s="281">
        <v>547154.42000000004</v>
      </c>
      <c r="N60" s="280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253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253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253"/>
      <c r="M63" s="69"/>
      <c r="N63" s="137">
        <f t="shared" si="1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253"/>
      <c r="M64" s="69"/>
      <c r="N64" s="137">
        <f t="shared" si="1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253"/>
      <c r="M65" s="69"/>
      <c r="N65" s="137">
        <f t="shared" si="1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253"/>
      <c r="M66" s="69"/>
      <c r="N66" s="137">
        <f t="shared" si="1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253"/>
      <c r="M67" s="69"/>
      <c r="N67" s="137">
        <f t="shared" si="1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253"/>
      <c r="M68" s="69"/>
      <c r="N68" s="137">
        <f t="shared" si="1"/>
        <v>0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253"/>
      <c r="M69" s="69"/>
      <c r="N69" s="137">
        <f t="shared" ref="N69:N97" si="3">N68+K69-M69</f>
        <v>0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253"/>
      <c r="M70" s="69"/>
      <c r="N70" s="137">
        <f t="shared" si="3"/>
        <v>0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253"/>
      <c r="M71" s="69"/>
      <c r="N71" s="137">
        <f t="shared" si="3"/>
        <v>0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253"/>
      <c r="M72" s="69"/>
      <c r="N72" s="137">
        <f t="shared" si="3"/>
        <v>0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253"/>
      <c r="M73" s="69"/>
      <c r="N73" s="137">
        <f t="shared" si="3"/>
        <v>0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253"/>
      <c r="M74" s="69"/>
      <c r="N74" s="137">
        <f t="shared" si="3"/>
        <v>0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253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253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253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253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253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253"/>
      <c r="M80" s="69"/>
      <c r="N80" s="137">
        <f t="shared" si="3"/>
        <v>0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18"/>
      <c r="M81" s="34"/>
      <c r="N81" s="137">
        <f t="shared" si="3"/>
        <v>0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18"/>
      <c r="M82" s="34"/>
      <c r="N82" s="137">
        <f t="shared" si="3"/>
        <v>0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18"/>
      <c r="M83" s="34"/>
      <c r="N83" s="137">
        <f t="shared" si="3"/>
        <v>0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18"/>
      <c r="M84" s="34"/>
      <c r="N84" s="137">
        <f t="shared" si="3"/>
        <v>0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18"/>
      <c r="M85" s="34"/>
      <c r="N85" s="137">
        <f t="shared" si="3"/>
        <v>0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18"/>
      <c r="M86" s="34"/>
      <c r="N86" s="137">
        <f t="shared" si="3"/>
        <v>0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254"/>
      <c r="M87" s="69"/>
      <c r="N87" s="137">
        <f t="shared" si="3"/>
        <v>0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254"/>
      <c r="M88" s="69"/>
      <c r="N88" s="137">
        <f t="shared" si="3"/>
        <v>0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254"/>
      <c r="M89" s="69"/>
      <c r="N89" s="137">
        <f t="shared" si="3"/>
        <v>0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254"/>
      <c r="M90" s="69"/>
      <c r="N90" s="137">
        <f t="shared" si="3"/>
        <v>0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254"/>
      <c r="M91" s="69"/>
      <c r="N91" s="137">
        <f t="shared" si="3"/>
        <v>0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254"/>
      <c r="M92" s="69"/>
      <c r="N92" s="137">
        <f t="shared" si="3"/>
        <v>0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254"/>
      <c r="M93" s="69"/>
      <c r="N93" s="137">
        <f t="shared" si="3"/>
        <v>0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254"/>
      <c r="M94" s="69"/>
      <c r="N94" s="137">
        <f t="shared" si="3"/>
        <v>0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254"/>
      <c r="M95" s="69"/>
      <c r="N95" s="137">
        <f t="shared" si="3"/>
        <v>0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254"/>
      <c r="M96" s="69"/>
      <c r="N96" s="137">
        <f t="shared" si="3"/>
        <v>0</v>
      </c>
    </row>
    <row r="97" spans="1:14" ht="16.5" hidden="1" thickBot="1" x14ac:dyDescent="0.3">
      <c r="A97" s="149"/>
      <c r="B97" s="210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255"/>
      <c r="M97" s="151"/>
      <c r="N97" s="137">
        <f t="shared" si="3"/>
        <v>0</v>
      </c>
    </row>
    <row r="98" spans="1:14" ht="18.75" x14ac:dyDescent="0.3">
      <c r="B98" s="211"/>
      <c r="C98" s="212">
        <f>SUM(C3:C97)</f>
        <v>554448.95999999973</v>
      </c>
      <c r="D98" s="97"/>
      <c r="E98" s="1">
        <f>SUM(E3:E97)</f>
        <v>554448.96</v>
      </c>
      <c r="F98" s="153">
        <f>F97</f>
        <v>0</v>
      </c>
      <c r="K98" s="209">
        <f>SUM(K3:K97)</f>
        <v>598496</v>
      </c>
      <c r="L98" s="256"/>
      <c r="M98" s="1">
        <f>SUM(M3:M97)</f>
        <v>598496</v>
      </c>
      <c r="N98" s="153">
        <f>N97</f>
        <v>0</v>
      </c>
    </row>
    <row r="99" spans="1:14" ht="15.75" thickBot="1" x14ac:dyDescent="0.3">
      <c r="B99" s="213"/>
      <c r="C99" s="214"/>
      <c r="D99" s="97"/>
      <c r="E99" s="3"/>
      <c r="F99" s="1"/>
      <c r="K99" s="1"/>
      <c r="L99" s="256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56"/>
      <c r="M100" s="3"/>
      <c r="N100" s="1"/>
    </row>
    <row r="101" spans="1:14" x14ac:dyDescent="0.25">
      <c r="A101"/>
      <c r="B101" s="23"/>
      <c r="D101" s="23"/>
      <c r="I101"/>
      <c r="J101" s="194"/>
    </row>
    <row r="102" spans="1:14" x14ac:dyDescent="0.25">
      <c r="A102"/>
      <c r="B102" s="23"/>
      <c r="D102" s="23"/>
      <c r="I102"/>
      <c r="J102" s="194"/>
    </row>
    <row r="103" spans="1:14" x14ac:dyDescent="0.25">
      <c r="A103"/>
      <c r="B103" s="23"/>
      <c r="D103" s="23"/>
      <c r="I103"/>
      <c r="J103" s="194"/>
    </row>
    <row r="104" spans="1:14" x14ac:dyDescent="0.25">
      <c r="A104"/>
      <c r="B104" s="23"/>
      <c r="D104" s="23"/>
      <c r="F104"/>
      <c r="I104"/>
      <c r="J104" s="194"/>
      <c r="N104"/>
    </row>
    <row r="105" spans="1:14" x14ac:dyDescent="0.25">
      <c r="A105"/>
      <c r="B105" s="23"/>
      <c r="D105" s="23"/>
      <c r="F105"/>
      <c r="I105"/>
      <c r="J105" s="194"/>
      <c r="N105"/>
    </row>
    <row r="106" spans="1:14" x14ac:dyDescent="0.25">
      <c r="A106"/>
      <c r="B106" s="23"/>
      <c r="D106" s="23"/>
      <c r="F106"/>
      <c r="I106"/>
      <c r="J106" s="194"/>
      <c r="N106"/>
    </row>
    <row r="107" spans="1:14" x14ac:dyDescent="0.25">
      <c r="A107"/>
      <c r="B107" s="23"/>
      <c r="D107" s="23"/>
      <c r="F107"/>
      <c r="I107"/>
      <c r="J107" s="194"/>
      <c r="N107"/>
    </row>
    <row r="108" spans="1:14" x14ac:dyDescent="0.25">
      <c r="A108"/>
      <c r="B108" s="23"/>
      <c r="D108" s="23"/>
      <c r="F108"/>
      <c r="I108"/>
      <c r="J108" s="194"/>
      <c r="N108"/>
    </row>
    <row r="109" spans="1:14" x14ac:dyDescent="0.25">
      <c r="A109"/>
      <c r="B109" s="23"/>
      <c r="D109" s="23"/>
      <c r="F109"/>
      <c r="I109"/>
      <c r="J109" s="194"/>
      <c r="N109"/>
    </row>
    <row r="110" spans="1:14" x14ac:dyDescent="0.25">
      <c r="A110"/>
      <c r="B110" s="23"/>
      <c r="D110" s="23"/>
      <c r="F110"/>
      <c r="I110"/>
      <c r="J110" s="194"/>
      <c r="N110"/>
    </row>
    <row r="111" spans="1:14" x14ac:dyDescent="0.25">
      <c r="A111"/>
      <c r="B111" s="23"/>
      <c r="D111" s="23"/>
      <c r="F111"/>
      <c r="I111"/>
      <c r="J111" s="194"/>
      <c r="N111"/>
    </row>
    <row r="112" spans="1:14" x14ac:dyDescent="0.25">
      <c r="A112"/>
      <c r="B112" s="23"/>
      <c r="D112" s="23"/>
      <c r="F112"/>
      <c r="I112"/>
      <c r="J112" s="194"/>
      <c r="N112"/>
    </row>
    <row r="113" spans="1:14" x14ac:dyDescent="0.25">
      <c r="A113"/>
      <c r="B113" s="23"/>
      <c r="D113" s="23"/>
      <c r="E113"/>
      <c r="F113"/>
      <c r="I113"/>
      <c r="J113" s="194"/>
      <c r="M113"/>
      <c r="N113"/>
    </row>
    <row r="114" spans="1:14" x14ac:dyDescent="0.25">
      <c r="A114"/>
      <c r="B114" s="23"/>
      <c r="D114" s="23"/>
      <c r="E114"/>
      <c r="F114"/>
      <c r="I114"/>
      <c r="J114" s="194"/>
      <c r="M114"/>
      <c r="N114"/>
    </row>
    <row r="115" spans="1:14" x14ac:dyDescent="0.25">
      <c r="A115"/>
      <c r="B115" s="23"/>
      <c r="D115" s="23"/>
      <c r="E115"/>
      <c r="F115"/>
      <c r="I115"/>
      <c r="J115" s="194"/>
      <c r="M115"/>
      <c r="N115"/>
    </row>
    <row r="116" spans="1:14" x14ac:dyDescent="0.25">
      <c r="A116"/>
      <c r="B116" s="23"/>
      <c r="D116" s="23"/>
      <c r="E116"/>
      <c r="F116"/>
      <c r="I116"/>
      <c r="J116" s="194"/>
      <c r="M116"/>
      <c r="N116"/>
    </row>
    <row r="117" spans="1:14" x14ac:dyDescent="0.25">
      <c r="A117"/>
      <c r="B117" s="23"/>
      <c r="D117" s="23"/>
      <c r="E117"/>
      <c r="F117"/>
      <c r="I117"/>
      <c r="J117" s="194"/>
      <c r="M117"/>
      <c r="N117"/>
    </row>
    <row r="118" spans="1:14" x14ac:dyDescent="0.25">
      <c r="A118"/>
      <c r="B118" s="23"/>
      <c r="D118" s="23"/>
      <c r="E118"/>
      <c r="F118"/>
      <c r="I118"/>
      <c r="J118" s="194"/>
      <c r="M118"/>
      <c r="N118"/>
    </row>
    <row r="119" spans="1:14" x14ac:dyDescent="0.25">
      <c r="B119" s="23"/>
      <c r="D119" s="23"/>
      <c r="E119"/>
      <c r="J119" s="194"/>
      <c r="M119"/>
    </row>
    <row r="120" spans="1:14" x14ac:dyDescent="0.25">
      <c r="B120" s="23"/>
      <c r="D120" s="23"/>
      <c r="E120"/>
      <c r="J120" s="194"/>
      <c r="M120"/>
    </row>
    <row r="121" spans="1:14" x14ac:dyDescent="0.25">
      <c r="B121" s="23"/>
      <c r="D121" s="23"/>
      <c r="E121"/>
      <c r="J121" s="194"/>
      <c r="M121"/>
    </row>
    <row r="122" spans="1:14" x14ac:dyDescent="0.25">
      <c r="B122" s="23"/>
      <c r="D122" s="23"/>
      <c r="E122"/>
      <c r="J122" s="194"/>
      <c r="M122"/>
    </row>
    <row r="123" spans="1:14" x14ac:dyDescent="0.25">
      <c r="B123" s="23"/>
      <c r="D123" s="23"/>
      <c r="E123"/>
      <c r="J123" s="194"/>
      <c r="M123"/>
    </row>
    <row r="124" spans="1:14" x14ac:dyDescent="0.25">
      <c r="B124" s="23"/>
      <c r="D124" s="23"/>
      <c r="E124"/>
      <c r="J124" s="194"/>
      <c r="M124"/>
    </row>
    <row r="125" spans="1:14" x14ac:dyDescent="0.25">
      <c r="B125" s="23"/>
      <c r="D125" s="23"/>
      <c r="E125"/>
      <c r="J125" s="194"/>
      <c r="M125"/>
    </row>
    <row r="126" spans="1:14" x14ac:dyDescent="0.25">
      <c r="B126" s="23"/>
      <c r="D126" s="23"/>
      <c r="E126"/>
      <c r="J126" s="194"/>
      <c r="M126"/>
    </row>
    <row r="127" spans="1:14" x14ac:dyDescent="0.25">
      <c r="B127" s="23"/>
      <c r="D127" s="23"/>
      <c r="E127"/>
      <c r="J127" s="194"/>
      <c r="M127"/>
    </row>
    <row r="128" spans="1:14" x14ac:dyDescent="0.25">
      <c r="B128" s="23"/>
      <c r="J128" s="194"/>
    </row>
    <row r="129" spans="2:11" x14ac:dyDescent="0.25">
      <c r="B129" s="23"/>
      <c r="J129" s="194"/>
    </row>
    <row r="130" spans="2:11" x14ac:dyDescent="0.25">
      <c r="B130" s="23"/>
      <c r="D130" s="23"/>
      <c r="J130" s="194"/>
    </row>
    <row r="131" spans="2:11" x14ac:dyDescent="0.25">
      <c r="B131" s="23"/>
      <c r="J131" s="194"/>
    </row>
    <row r="132" spans="2:11" x14ac:dyDescent="0.25">
      <c r="B132" s="23"/>
      <c r="J132" s="194"/>
    </row>
    <row r="133" spans="2:11" x14ac:dyDescent="0.25">
      <c r="B133" s="23"/>
      <c r="J133" s="194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Z80"/>
  <sheetViews>
    <sheetView topLeftCell="A22" workbookViewId="0">
      <selection activeCell="I20" sqref="I20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1.5703125" customWidth="1"/>
    <col min="16" max="16" width="16.85546875" hidden="1" customWidth="1"/>
    <col min="17" max="17" width="18.140625" style="225" customWidth="1"/>
    <col min="18" max="18" width="15.28515625" style="227" hidden="1" customWidth="1"/>
    <col min="19" max="21" width="0" hidden="1" customWidth="1"/>
    <col min="23" max="23" width="17.42578125" bestFit="1" customWidth="1"/>
    <col min="24" max="24" width="17.140625" customWidth="1"/>
  </cols>
  <sheetData>
    <row r="1" spans="1:25" ht="23.25" x14ac:dyDescent="0.35">
      <c r="B1" s="533"/>
      <c r="C1" s="535" t="s">
        <v>208</v>
      </c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5" ht="16.5" thickBot="1" x14ac:dyDescent="0.3">
      <c r="B2" s="534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  <c r="P3" s="563" t="s">
        <v>6</v>
      </c>
    </row>
    <row r="4" spans="1:25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64"/>
      <c r="Q4" s="286" t="s">
        <v>209</v>
      </c>
      <c r="W4" s="546" t="s">
        <v>124</v>
      </c>
      <c r="X4" s="546"/>
      <c r="Y4" s="227"/>
    </row>
    <row r="5" spans="1:25" ht="18" thickBot="1" x14ac:dyDescent="0.35">
      <c r="A5" s="23" t="s">
        <v>7</v>
      </c>
      <c r="B5" s="24">
        <v>44508</v>
      </c>
      <c r="C5" s="25">
        <v>11855</v>
      </c>
      <c r="D5" s="26" t="s">
        <v>98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87">
        <f>P5-F5</f>
        <v>-27936</v>
      </c>
      <c r="R5" s="229">
        <f>20000+7936</f>
        <v>27936</v>
      </c>
      <c r="W5" s="546"/>
      <c r="X5" s="546"/>
      <c r="Y5" s="233"/>
    </row>
    <row r="6" spans="1:25" ht="18" thickBot="1" x14ac:dyDescent="0.35">
      <c r="A6" s="23"/>
      <c r="B6" s="24">
        <v>44509</v>
      </c>
      <c r="C6" s="25">
        <v>366</v>
      </c>
      <c r="D6" s="35" t="s">
        <v>99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39">
        <f>N6+M6+L6+I6+C6</f>
        <v>11269</v>
      </c>
      <c r="Q6" s="287">
        <f>P6-F6</f>
        <v>-26378</v>
      </c>
      <c r="R6" s="285">
        <f>22000+4378</f>
        <v>26378</v>
      </c>
      <c r="S6" s="147"/>
      <c r="W6" s="234">
        <v>50000</v>
      </c>
      <c r="X6" s="237">
        <v>44505</v>
      </c>
      <c r="Y6" s="13"/>
    </row>
    <row r="7" spans="1:25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24"/>
      <c r="P7" s="39">
        <f t="shared" ref="P7:P32" si="0">N7+M7+L7+I7+C7</f>
        <v>4602</v>
      </c>
      <c r="Q7" s="287">
        <f t="shared" ref="Q7:Q35" si="1">P7-F7</f>
        <v>-30393</v>
      </c>
      <c r="R7" s="285">
        <f>26000+4393</f>
        <v>30393</v>
      </c>
      <c r="S7" s="147"/>
      <c r="W7" s="234">
        <v>50000</v>
      </c>
      <c r="X7" s="237">
        <v>44505</v>
      </c>
      <c r="Y7" s="13"/>
    </row>
    <row r="8" spans="1:25" ht="18" thickBot="1" x14ac:dyDescent="0.35">
      <c r="A8" s="23"/>
      <c r="B8" s="24">
        <v>44511</v>
      </c>
      <c r="C8" s="25">
        <v>10911</v>
      </c>
      <c r="D8" s="42" t="s">
        <v>100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30</v>
      </c>
      <c r="L8" s="39">
        <v>1665</v>
      </c>
      <c r="M8" s="32">
        <v>0</v>
      </c>
      <c r="N8" s="33">
        <v>9420</v>
      </c>
      <c r="O8" s="2"/>
      <c r="P8" s="39">
        <f t="shared" si="0"/>
        <v>22033</v>
      </c>
      <c r="Q8" s="287">
        <f t="shared" si="1"/>
        <v>-20199</v>
      </c>
      <c r="R8" s="285">
        <f>20065+133</f>
        <v>20198</v>
      </c>
      <c r="S8" s="147"/>
      <c r="W8" s="234">
        <v>50000</v>
      </c>
      <c r="X8" s="237">
        <v>44505</v>
      </c>
      <c r="Y8" s="13"/>
    </row>
    <row r="9" spans="1:25" ht="18" thickBot="1" x14ac:dyDescent="0.35">
      <c r="A9" s="23"/>
      <c r="B9" s="24">
        <v>44512</v>
      </c>
      <c r="C9" s="25">
        <v>3408</v>
      </c>
      <c r="D9" s="42" t="s">
        <v>101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23" t="s">
        <v>30</v>
      </c>
      <c r="L9" s="39">
        <v>2280</v>
      </c>
      <c r="M9" s="32">
        <v>0</v>
      </c>
      <c r="N9" s="33">
        <v>12246</v>
      </c>
      <c r="O9" s="2"/>
      <c r="P9" s="39">
        <f t="shared" ref="P9:P14" si="2">N9+M9+L9+I9+C9</f>
        <v>18006</v>
      </c>
      <c r="Q9" s="287">
        <f t="shared" si="1"/>
        <v>-35678</v>
      </c>
      <c r="R9" s="285">
        <f>35678</f>
        <v>35678</v>
      </c>
      <c r="S9" s="147"/>
      <c r="W9" s="234">
        <v>100000</v>
      </c>
      <c r="X9" s="238">
        <v>44509</v>
      </c>
      <c r="Y9" s="13"/>
    </row>
    <row r="10" spans="1:25" ht="18" thickBot="1" x14ac:dyDescent="0.35">
      <c r="A10" s="23"/>
      <c r="B10" s="24">
        <v>44513</v>
      </c>
      <c r="C10" s="25">
        <v>6328</v>
      </c>
      <c r="D10" s="40" t="s">
        <v>102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/>
      <c r="K10" s="167"/>
      <c r="L10" s="45">
        <v>0</v>
      </c>
      <c r="M10" s="32">
        <v>13100</v>
      </c>
      <c r="N10" s="33">
        <v>20880</v>
      </c>
      <c r="O10" s="2" t="s">
        <v>120</v>
      </c>
      <c r="P10" s="39">
        <f t="shared" si="2"/>
        <v>40368</v>
      </c>
      <c r="Q10" s="287">
        <f t="shared" si="1"/>
        <v>-30925</v>
      </c>
      <c r="R10" s="285">
        <f>30925</f>
        <v>30925</v>
      </c>
      <c r="S10" s="147"/>
      <c r="W10" s="234">
        <v>215000</v>
      </c>
      <c r="X10" s="238">
        <v>44510</v>
      </c>
      <c r="Y10" s="13"/>
    </row>
    <row r="11" spans="1:25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68"/>
      <c r="L11" s="39"/>
      <c r="M11" s="32">
        <v>0</v>
      </c>
      <c r="N11" s="33">
        <v>11746</v>
      </c>
      <c r="O11" s="2"/>
      <c r="P11" s="39">
        <f t="shared" si="2"/>
        <v>13621</v>
      </c>
      <c r="Q11" s="287">
        <f t="shared" si="1"/>
        <v>-35238</v>
      </c>
      <c r="R11" s="285">
        <f>35238</f>
        <v>35238</v>
      </c>
      <c r="S11" s="147"/>
      <c r="W11" s="234">
        <v>200500</v>
      </c>
      <c r="X11" s="237">
        <v>44517</v>
      </c>
      <c r="Y11" s="13"/>
    </row>
    <row r="12" spans="1:25" ht="18" thickBot="1" x14ac:dyDescent="0.35">
      <c r="A12" s="23"/>
      <c r="B12" s="24">
        <v>44515</v>
      </c>
      <c r="C12" s="25">
        <v>1310</v>
      </c>
      <c r="D12" s="35" t="s">
        <v>103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69" t="s">
        <v>104</v>
      </c>
      <c r="L12" s="39"/>
      <c r="M12" s="32">
        <v>0</v>
      </c>
      <c r="N12" s="33">
        <v>16831</v>
      </c>
      <c r="O12" s="2"/>
      <c r="P12" s="39">
        <f t="shared" si="2"/>
        <v>20195</v>
      </c>
      <c r="Q12" s="287">
        <f t="shared" si="1"/>
        <v>-29846</v>
      </c>
      <c r="R12" s="285">
        <f>29000+846</f>
        <v>29846</v>
      </c>
      <c r="S12" s="147"/>
      <c r="W12" s="234">
        <v>260000</v>
      </c>
      <c r="X12" s="237">
        <v>44523</v>
      </c>
      <c r="Y12" s="13"/>
    </row>
    <row r="13" spans="1:25" ht="18" thickBot="1" x14ac:dyDescent="0.35">
      <c r="A13" s="23"/>
      <c r="B13" s="24">
        <v>44516</v>
      </c>
      <c r="C13" s="25">
        <v>1739.36</v>
      </c>
      <c r="D13" s="42" t="s">
        <v>105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39">
        <f t="shared" si="2"/>
        <v>23882.36</v>
      </c>
      <c r="Q13" s="287">
        <f t="shared" si="1"/>
        <v>-41525.64</v>
      </c>
      <c r="R13" s="285">
        <f>41050+1147</f>
        <v>42197</v>
      </c>
      <c r="S13" s="231" t="s">
        <v>106</v>
      </c>
      <c r="T13" s="230"/>
      <c r="U13" s="230"/>
      <c r="W13" s="234">
        <v>9636</v>
      </c>
      <c r="X13" s="237">
        <v>44533</v>
      </c>
      <c r="Y13" s="13"/>
    </row>
    <row r="14" spans="1:25" ht="18" thickBot="1" x14ac:dyDescent="0.35">
      <c r="A14" s="23"/>
      <c r="B14" s="24">
        <v>44517</v>
      </c>
      <c r="C14" s="25">
        <v>6557.5</v>
      </c>
      <c r="D14" s="40" t="s">
        <v>107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39">
        <f t="shared" si="2"/>
        <v>25955.5</v>
      </c>
      <c r="Q14" s="287">
        <f t="shared" si="1"/>
        <v>-27969.5</v>
      </c>
      <c r="R14" s="285">
        <v>27970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44518</v>
      </c>
      <c r="C15" s="25">
        <v>5383</v>
      </c>
      <c r="D15" s="40" t="s">
        <v>108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39">
        <f t="shared" si="0"/>
        <v>14542</v>
      </c>
      <c r="Q15" s="287">
        <f t="shared" si="1"/>
        <v>-32780</v>
      </c>
      <c r="R15" s="285">
        <v>32780</v>
      </c>
      <c r="S15" s="147"/>
      <c r="W15" s="234">
        <v>0</v>
      </c>
      <c r="X15" s="237"/>
      <c r="Y15" s="13"/>
    </row>
    <row r="16" spans="1:25" ht="18" thickBot="1" x14ac:dyDescent="0.35">
      <c r="A16" s="23"/>
      <c r="B16" s="24">
        <v>44519</v>
      </c>
      <c r="C16" s="25">
        <v>6078</v>
      </c>
      <c r="D16" s="35" t="s">
        <v>109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69"/>
      <c r="L16" s="9"/>
      <c r="M16" s="32">
        <v>0</v>
      </c>
      <c r="N16" s="33">
        <v>15295</v>
      </c>
      <c r="P16" s="39">
        <f t="shared" si="0"/>
        <v>21455</v>
      </c>
      <c r="Q16" s="287">
        <f t="shared" si="1"/>
        <v>-37376</v>
      </c>
      <c r="R16" s="285">
        <v>37376</v>
      </c>
      <c r="S16" s="147"/>
      <c r="W16" s="234">
        <v>0</v>
      </c>
      <c r="X16" s="239"/>
      <c r="Y16" s="233"/>
    </row>
    <row r="17" spans="1:26" ht="18" thickBot="1" x14ac:dyDescent="0.35">
      <c r="A17" s="23"/>
      <c r="B17" s="24">
        <v>44520</v>
      </c>
      <c r="C17" s="25">
        <v>16886.12</v>
      </c>
      <c r="D17" s="42" t="s">
        <v>110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32" t="s">
        <v>111</v>
      </c>
      <c r="L17" s="226">
        <f>1285.71</f>
        <v>1285.71</v>
      </c>
      <c r="M17" s="32">
        <v>12537.5</v>
      </c>
      <c r="N17" s="33">
        <v>18910</v>
      </c>
      <c r="O17" t="s">
        <v>120</v>
      </c>
      <c r="P17" s="39">
        <f t="shared" si="0"/>
        <v>49619.33</v>
      </c>
      <c r="Q17" s="287">
        <f t="shared" si="1"/>
        <v>-9805.6699999999983</v>
      </c>
      <c r="R17" s="285">
        <f>9805.9+12537.27+1285.71</f>
        <v>23628.879999999997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70"/>
      <c r="L18" s="39"/>
      <c r="M18" s="32">
        <v>0</v>
      </c>
      <c r="N18" s="33">
        <v>21981</v>
      </c>
      <c r="P18" s="39">
        <f t="shared" si="0"/>
        <v>23496</v>
      </c>
      <c r="Q18" s="287">
        <f t="shared" si="1"/>
        <v>-21680</v>
      </c>
      <c r="R18" s="285">
        <v>21680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44522</v>
      </c>
      <c r="C19" s="25">
        <v>2692</v>
      </c>
      <c r="D19" s="35" t="s">
        <v>103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39">
        <f t="shared" si="0"/>
        <v>25718</v>
      </c>
      <c r="Q19" s="287">
        <f t="shared" si="1"/>
        <v>-26370</v>
      </c>
      <c r="R19" s="285">
        <v>26370</v>
      </c>
      <c r="S19" s="147"/>
      <c r="W19" s="550">
        <f>SUM(W6:W18)</f>
        <v>935136</v>
      </c>
      <c r="X19" s="240"/>
      <c r="Y19" s="233"/>
    </row>
    <row r="20" spans="1:26" ht="18" thickBot="1" x14ac:dyDescent="0.35">
      <c r="A20" s="23"/>
      <c r="B20" s="24">
        <v>44523</v>
      </c>
      <c r="C20" s="25">
        <v>6094.61</v>
      </c>
      <c r="D20" s="35" t="s">
        <v>102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71"/>
      <c r="L20" s="45"/>
      <c r="M20" s="32">
        <v>0</v>
      </c>
      <c r="N20" s="33">
        <v>12383</v>
      </c>
      <c r="P20" s="39">
        <f t="shared" si="0"/>
        <v>22146.17</v>
      </c>
      <c r="Q20" s="287">
        <f t="shared" si="1"/>
        <v>-16395.830000000002</v>
      </c>
      <c r="R20" s="285">
        <v>16395.830000000002</v>
      </c>
      <c r="S20" s="147"/>
      <c r="W20" s="551"/>
      <c r="X20" s="268"/>
      <c r="Y20" s="233"/>
    </row>
    <row r="21" spans="1:26" ht="18" thickBot="1" x14ac:dyDescent="0.35">
      <c r="A21" s="23"/>
      <c r="B21" s="24">
        <v>44524</v>
      </c>
      <c r="C21" s="25">
        <v>2763.18</v>
      </c>
      <c r="D21" s="35" t="s">
        <v>112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39">
        <f t="shared" si="0"/>
        <v>15744.18</v>
      </c>
      <c r="Q21" s="287">
        <f t="shared" si="1"/>
        <v>-19188.82</v>
      </c>
      <c r="R21" s="285">
        <v>19188.82</v>
      </c>
      <c r="S21" s="147"/>
      <c r="W21" s="552"/>
      <c r="X21" s="552"/>
      <c r="Y21" s="233"/>
      <c r="Z21" s="128"/>
    </row>
    <row r="22" spans="1:26" ht="18" thickBot="1" x14ac:dyDescent="0.35">
      <c r="A22" s="23"/>
      <c r="B22" s="24">
        <v>44525</v>
      </c>
      <c r="C22" s="25">
        <f>3851.5+2501.78</f>
        <v>6353.2800000000007</v>
      </c>
      <c r="D22" s="35" t="s">
        <v>113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39">
        <f t="shared" si="0"/>
        <v>23348.28</v>
      </c>
      <c r="Q22" s="287">
        <f t="shared" si="1"/>
        <v>-33647.72</v>
      </c>
      <c r="R22" s="285">
        <v>33647.72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44526</v>
      </c>
      <c r="C23" s="25">
        <f>2453+1253.71</f>
        <v>3706.71</v>
      </c>
      <c r="D23" s="35" t="s">
        <v>114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72"/>
      <c r="L23" s="45"/>
      <c r="M23" s="32">
        <v>0</v>
      </c>
      <c r="N23" s="33">
        <v>27959</v>
      </c>
      <c r="P23" s="39">
        <f t="shared" si="0"/>
        <v>31708.71</v>
      </c>
      <c r="Q23" s="287">
        <f t="shared" si="1"/>
        <v>-45217.29</v>
      </c>
      <c r="R23" s="285">
        <v>45217.29</v>
      </c>
      <c r="S23" s="147"/>
      <c r="W23" s="553"/>
      <c r="X23" s="553"/>
      <c r="Y23" s="233"/>
      <c r="Z23" s="128"/>
    </row>
    <row r="24" spans="1:26" ht="18" thickBot="1" x14ac:dyDescent="0.35">
      <c r="A24" s="23"/>
      <c r="B24" s="24">
        <v>44527</v>
      </c>
      <c r="C24" s="25">
        <v>7071</v>
      </c>
      <c r="D24" s="35" t="s">
        <v>102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/>
      <c r="K24" s="173"/>
      <c r="L24" s="52">
        <v>0</v>
      </c>
      <c r="M24" s="32">
        <v>9944.83</v>
      </c>
      <c r="N24" s="33">
        <v>25005</v>
      </c>
      <c r="O24" t="s">
        <v>120</v>
      </c>
      <c r="P24" s="39">
        <f t="shared" si="0"/>
        <v>42092.83</v>
      </c>
      <c r="Q24" s="287">
        <f t="shared" si="1"/>
        <v>-23159.17</v>
      </c>
      <c r="R24" s="285">
        <v>23159.17</v>
      </c>
      <c r="S24" s="147"/>
      <c r="W24" s="553"/>
      <c r="X24" s="553"/>
      <c r="Y24" s="233"/>
      <c r="Z24" s="128"/>
    </row>
    <row r="25" spans="1:26" ht="19.5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83">
        <f t="shared" si="0"/>
        <v>10581</v>
      </c>
      <c r="Q25" s="287">
        <f t="shared" si="1"/>
        <v>-28952</v>
      </c>
      <c r="R25" s="285">
        <v>28952</v>
      </c>
      <c r="W25" s="554"/>
      <c r="X25" s="554"/>
      <c r="Y25" s="233"/>
      <c r="Z25" s="128"/>
    </row>
    <row r="26" spans="1:26" ht="19.5" thickBot="1" x14ac:dyDescent="0.35">
      <c r="A26" s="23"/>
      <c r="B26" s="24">
        <v>44529</v>
      </c>
      <c r="C26" s="25">
        <v>5142.5</v>
      </c>
      <c r="D26" s="35" t="s">
        <v>115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73"/>
      <c r="L26" s="45"/>
      <c r="M26" s="32">
        <v>6336</v>
      </c>
      <c r="N26" s="33">
        <v>16621</v>
      </c>
      <c r="O26" t="s">
        <v>119</v>
      </c>
      <c r="P26" s="284">
        <f t="shared" si="0"/>
        <v>29939.5</v>
      </c>
      <c r="Q26" s="287">
        <f t="shared" si="1"/>
        <v>-21771.5</v>
      </c>
      <c r="R26" s="285">
        <v>21771.5</v>
      </c>
      <c r="W26" s="554"/>
      <c r="X26" s="554"/>
      <c r="Y26" s="233"/>
      <c r="Z26" s="128"/>
    </row>
    <row r="27" spans="1:26" ht="18" thickBot="1" x14ac:dyDescent="0.35">
      <c r="A27" s="23"/>
      <c r="B27" s="24">
        <v>44530</v>
      </c>
      <c r="C27" s="25">
        <v>8184</v>
      </c>
      <c r="D27" s="42" t="s">
        <v>116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74"/>
      <c r="L27" s="54"/>
      <c r="M27" s="32">
        <v>0</v>
      </c>
      <c r="N27" s="33">
        <v>7579</v>
      </c>
      <c r="P27" s="39">
        <f t="shared" si="0"/>
        <v>16423</v>
      </c>
      <c r="Q27" s="287">
        <f t="shared" si="1"/>
        <v>-14637</v>
      </c>
      <c r="R27" s="285">
        <v>14637</v>
      </c>
      <c r="W27" s="547"/>
      <c r="X27" s="548"/>
      <c r="Y27" s="549"/>
      <c r="Z27" s="128"/>
    </row>
    <row r="28" spans="1:26" ht="18" thickBot="1" x14ac:dyDescent="0.35">
      <c r="A28" s="23"/>
      <c r="B28" s="24">
        <v>44531</v>
      </c>
      <c r="C28" s="25">
        <v>7763</v>
      </c>
      <c r="D28" s="42" t="s">
        <v>117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120</v>
      </c>
      <c r="P28" s="34">
        <f t="shared" si="0"/>
        <v>53075</v>
      </c>
      <c r="Q28" s="287">
        <f t="shared" si="1"/>
        <v>0</v>
      </c>
      <c r="R28" s="285">
        <v>0</v>
      </c>
      <c r="W28" s="548"/>
      <c r="X28" s="548"/>
      <c r="Y28" s="549"/>
      <c r="Z28" s="128"/>
    </row>
    <row r="29" spans="1:26" ht="18" thickBot="1" x14ac:dyDescent="0.35">
      <c r="A29" s="23"/>
      <c r="B29" s="24">
        <v>44532</v>
      </c>
      <c r="C29" s="25">
        <v>16193</v>
      </c>
      <c r="D29" s="58" t="s">
        <v>118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75"/>
      <c r="L29" s="54"/>
      <c r="M29" s="32">
        <f>21782+53508+59045+2732+4000</f>
        <v>141067</v>
      </c>
      <c r="N29" s="33">
        <v>16089</v>
      </c>
      <c r="O29" t="s">
        <v>120</v>
      </c>
      <c r="P29" s="34">
        <f t="shared" si="0"/>
        <v>174324</v>
      </c>
      <c r="Q29" s="287">
        <f t="shared" si="1"/>
        <v>0</v>
      </c>
      <c r="R29" s="285">
        <v>0</v>
      </c>
      <c r="W29" s="128"/>
      <c r="X29" s="310"/>
      <c r="Y29" s="311"/>
      <c r="Z29" s="128"/>
    </row>
    <row r="30" spans="1:26" ht="18" thickBot="1" x14ac:dyDescent="0.35">
      <c r="A30" s="23"/>
      <c r="B30" s="24">
        <v>44533</v>
      </c>
      <c r="C30" s="25">
        <v>5044.5</v>
      </c>
      <c r="D30" s="58" t="s">
        <v>121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287">
        <f t="shared" si="1"/>
        <v>0</v>
      </c>
      <c r="R30" s="285"/>
      <c r="X30" s="225"/>
      <c r="Y30" s="227"/>
    </row>
    <row r="31" spans="1:26" ht="18" thickBot="1" x14ac:dyDescent="0.35">
      <c r="A31" s="23"/>
      <c r="B31" s="24">
        <v>44534</v>
      </c>
      <c r="C31" s="25">
        <v>9820</v>
      </c>
      <c r="D31" s="64" t="s">
        <v>122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287">
        <f t="shared" si="1"/>
        <v>0</v>
      </c>
      <c r="R31" s="285"/>
    </row>
    <row r="32" spans="1:26" ht="18" thickBot="1" x14ac:dyDescent="0.35">
      <c r="A32" s="23"/>
      <c r="B32" s="24">
        <v>44535</v>
      </c>
      <c r="C32" s="25">
        <v>270</v>
      </c>
      <c r="D32" s="64" t="s">
        <v>123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194</v>
      </c>
      <c r="K33" s="247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>
        <v>0</v>
      </c>
      <c r="G34" s="2"/>
      <c r="H34" s="36"/>
      <c r="I34" s="30">
        <v>0</v>
      </c>
      <c r="J34" s="266" t="s">
        <v>202</v>
      </c>
      <c r="K34" s="248">
        <v>44509</v>
      </c>
      <c r="L34" s="44">
        <v>5122.62</v>
      </c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>
        <v>44510</v>
      </c>
      <c r="C35" s="25">
        <v>703580.1</v>
      </c>
      <c r="D35" s="65" t="s">
        <v>49</v>
      </c>
      <c r="E35" s="27"/>
      <c r="F35" s="28">
        <v>0</v>
      </c>
      <c r="G35" s="2"/>
      <c r="H35" s="36"/>
      <c r="I35" s="30">
        <v>0</v>
      </c>
      <c r="J35" s="266" t="s">
        <v>202</v>
      </c>
      <c r="K35" s="249">
        <v>44509</v>
      </c>
      <c r="L35" s="66">
        <v>182.52</v>
      </c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>
        <v>44518</v>
      </c>
      <c r="C36" s="25">
        <v>350000</v>
      </c>
      <c r="D36" s="62" t="s">
        <v>49</v>
      </c>
      <c r="E36" s="27"/>
      <c r="F36" s="28">
        <v>0</v>
      </c>
      <c r="G36" s="2"/>
      <c r="H36" s="36"/>
      <c r="I36" s="30">
        <v>0</v>
      </c>
      <c r="J36" s="266" t="s">
        <v>203</v>
      </c>
      <c r="K36" s="250">
        <v>44511</v>
      </c>
      <c r="L36" s="44">
        <v>5940</v>
      </c>
      <c r="M36" s="565">
        <f>SUM(M5:M35)</f>
        <v>321168.83</v>
      </c>
      <c r="N36" s="567">
        <f>SUM(N5:N35)</f>
        <v>467016</v>
      </c>
      <c r="O36" s="276"/>
      <c r="P36" s="277">
        <v>0</v>
      </c>
      <c r="Q36" s="569">
        <f>SUM(Q5:Q35)</f>
        <v>-637069.14000000013</v>
      </c>
      <c r="R36" s="228"/>
    </row>
    <row r="37" spans="1:18" ht="18" customHeight="1" thickBot="1" x14ac:dyDescent="0.3">
      <c r="A37" s="23"/>
      <c r="B37" s="24">
        <v>44523</v>
      </c>
      <c r="C37" s="25">
        <v>353878.2</v>
      </c>
      <c r="D37" s="65" t="s">
        <v>49</v>
      </c>
      <c r="E37" s="27"/>
      <c r="F37" s="28">
        <v>0</v>
      </c>
      <c r="G37" s="2"/>
      <c r="H37" s="36"/>
      <c r="I37" s="30">
        <v>0</v>
      </c>
      <c r="J37" s="60" t="s">
        <v>199</v>
      </c>
      <c r="K37" s="41" t="s">
        <v>200</v>
      </c>
      <c r="L37" s="61">
        <v>7929.62</v>
      </c>
      <c r="M37" s="566"/>
      <c r="N37" s="568"/>
      <c r="O37" s="276"/>
      <c r="P37" s="277">
        <v>0</v>
      </c>
      <c r="Q37" s="570"/>
    </row>
    <row r="38" spans="1:18" ht="18" thickBot="1" x14ac:dyDescent="0.35">
      <c r="A38" s="23"/>
      <c r="B38" s="24">
        <v>44523</v>
      </c>
      <c r="C38" s="25">
        <v>1799.9</v>
      </c>
      <c r="D38" s="65" t="s">
        <v>204</v>
      </c>
      <c r="E38" s="27"/>
      <c r="F38" s="28">
        <v>0</v>
      </c>
      <c r="G38" s="2"/>
      <c r="H38" s="36"/>
      <c r="I38" s="30">
        <v>0</v>
      </c>
      <c r="J38" s="60" t="s">
        <v>206</v>
      </c>
      <c r="K38" s="177" t="s">
        <v>201</v>
      </c>
      <c r="L38" s="61">
        <v>549</v>
      </c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970067.86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1561177.9599999997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47179.030000000006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0" t="s">
        <v>11</v>
      </c>
      <c r="I52" s="521"/>
      <c r="J52" s="100"/>
      <c r="K52" s="522">
        <f>I50+L50</f>
        <v>71911.59</v>
      </c>
      <c r="L52" s="555"/>
      <c r="M52" s="272"/>
      <c r="N52" s="272"/>
      <c r="P52" s="34"/>
      <c r="Q52" s="13"/>
    </row>
    <row r="53" spans="1:17" ht="16.5" thickBot="1" x14ac:dyDescent="0.3">
      <c r="D53" s="526" t="s">
        <v>12</v>
      </c>
      <c r="E53" s="526"/>
      <c r="F53" s="312">
        <f>F50-K52-C50</f>
        <v>-25952.549999999814</v>
      </c>
      <c r="I53" s="102"/>
      <c r="J53" s="103"/>
    </row>
    <row r="54" spans="1:17" ht="18.75" x14ac:dyDescent="0.3">
      <c r="D54" s="556" t="s">
        <v>95</v>
      </c>
      <c r="E54" s="556"/>
      <c r="F54" s="111">
        <v>-706888.38</v>
      </c>
      <c r="I54" s="527" t="s">
        <v>13</v>
      </c>
      <c r="J54" s="528"/>
      <c r="K54" s="529">
        <f>F56+F57+F58</f>
        <v>1308778.3500000003</v>
      </c>
      <c r="L54" s="529"/>
      <c r="M54" s="557" t="s">
        <v>211</v>
      </c>
      <c r="N54" s="558"/>
      <c r="O54" s="558"/>
      <c r="P54" s="558"/>
      <c r="Q54" s="559"/>
    </row>
    <row r="55" spans="1:17" ht="19.5" thickBot="1" x14ac:dyDescent="0.35">
      <c r="D55" s="313" t="s">
        <v>94</v>
      </c>
      <c r="E55" s="314"/>
      <c r="F55" s="315">
        <v>-164725.34</v>
      </c>
      <c r="I55" s="105"/>
      <c r="J55" s="106"/>
      <c r="K55" s="178"/>
      <c r="L55" s="107"/>
      <c r="M55" s="560"/>
      <c r="N55" s="561"/>
      <c r="O55" s="561"/>
      <c r="P55" s="561"/>
      <c r="Q55" s="562"/>
    </row>
    <row r="56" spans="1:17" ht="19.5" thickTop="1" x14ac:dyDescent="0.3">
      <c r="C56" s="4" t="s">
        <v>7</v>
      </c>
      <c r="E56" s="98" t="s">
        <v>14</v>
      </c>
      <c r="F56" s="96">
        <f>SUM(F53:F55)</f>
        <v>-897566.26999999979</v>
      </c>
      <c r="H56" s="23"/>
      <c r="I56" s="108" t="s">
        <v>15</v>
      </c>
      <c r="J56" s="109"/>
      <c r="K56" s="531">
        <f>-C4</f>
        <v>-567389.35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64037</v>
      </c>
    </row>
    <row r="58" spans="1:17" ht="20.25" thickTop="1" thickBot="1" x14ac:dyDescent="0.35">
      <c r="C58" s="112">
        <v>44535</v>
      </c>
      <c r="D58" s="509" t="s">
        <v>18</v>
      </c>
      <c r="E58" s="510"/>
      <c r="F58" s="113">
        <v>2142307.62</v>
      </c>
      <c r="I58" s="511" t="s">
        <v>198</v>
      </c>
      <c r="J58" s="512"/>
      <c r="K58" s="513">
        <f>K54+K56</f>
        <v>741389.00000000035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M54:Q55"/>
    <mergeCell ref="P3:P4"/>
    <mergeCell ref="M36:M37"/>
    <mergeCell ref="N36:N37"/>
    <mergeCell ref="Q36:Q37"/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K56:L56"/>
    <mergeCell ref="W4:X5"/>
    <mergeCell ref="W27:X28"/>
    <mergeCell ref="Y27:Y28"/>
    <mergeCell ref="W19:W20"/>
    <mergeCell ref="W21:X21"/>
    <mergeCell ref="W23:X24"/>
    <mergeCell ref="W25:X25"/>
    <mergeCell ref="W26:X26"/>
  </mergeCells>
  <pageMargins left="0.15748031496062992" right="0.15748031496062992" top="0.27559055118110237" bottom="0.27559055118110237" header="0.31496062992125984" footer="0.31496062992125984"/>
  <pageSetup scale="68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22"/>
  <sheetViews>
    <sheetView topLeftCell="A31" workbookViewId="0">
      <selection activeCell="D90" sqref="D9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8" max="8" width="6.42578125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290" t="s">
        <v>90</v>
      </c>
      <c r="B1" s="291"/>
      <c r="C1" s="292"/>
      <c r="D1" s="291"/>
      <c r="E1" s="292"/>
      <c r="F1" s="158" t="s">
        <v>27</v>
      </c>
      <c r="I1" s="301" t="s">
        <v>91</v>
      </c>
      <c r="J1" s="302"/>
      <c r="K1" s="303"/>
      <c r="L1" s="367"/>
      <c r="M1" s="303"/>
      <c r="N1" s="304" t="s">
        <v>27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298" t="s">
        <v>22</v>
      </c>
      <c r="E2" s="300" t="s">
        <v>23</v>
      </c>
      <c r="F2" s="289" t="s">
        <v>210</v>
      </c>
      <c r="I2" s="297" t="s">
        <v>19</v>
      </c>
      <c r="J2" s="308" t="s">
        <v>20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293" t="s">
        <v>125</v>
      </c>
      <c r="B3" s="294" t="s">
        <v>126</v>
      </c>
      <c r="C3" s="295">
        <v>15652.4</v>
      </c>
      <c r="D3" s="296"/>
      <c r="E3" s="215"/>
      <c r="F3" s="183">
        <f>C3-E3</f>
        <v>15652.4</v>
      </c>
      <c r="I3" s="305"/>
      <c r="J3" s="306"/>
      <c r="K3" s="307"/>
      <c r="L3" s="369"/>
      <c r="M3" s="215"/>
      <c r="N3" s="183">
        <f>K3-M3</f>
        <v>0</v>
      </c>
    </row>
    <row r="4" spans="1:14" ht="18.75" x14ac:dyDescent="0.3">
      <c r="A4" s="245" t="s">
        <v>125</v>
      </c>
      <c r="B4" s="260" t="s">
        <v>127</v>
      </c>
      <c r="C4" s="261">
        <v>6679.8</v>
      </c>
      <c r="D4" s="136"/>
      <c r="E4" s="69"/>
      <c r="F4" s="137">
        <f>F3+C4-E4</f>
        <v>22332.2</v>
      </c>
      <c r="G4" s="138"/>
      <c r="I4" s="288" t="s">
        <v>125</v>
      </c>
      <c r="J4" s="38">
        <v>7749</v>
      </c>
      <c r="K4" s="111">
        <v>5707.22</v>
      </c>
      <c r="L4" s="370">
        <v>44536</v>
      </c>
      <c r="M4" s="69"/>
      <c r="N4" s="137">
        <f>N3+K4-M4</f>
        <v>5707.22</v>
      </c>
    </row>
    <row r="5" spans="1:14" ht="15.75" x14ac:dyDescent="0.25">
      <c r="A5" s="245" t="s">
        <v>128</v>
      </c>
      <c r="B5" s="260" t="s">
        <v>129</v>
      </c>
      <c r="C5" s="261">
        <v>18704.419999999998</v>
      </c>
      <c r="D5" s="136"/>
      <c r="E5" s="69"/>
      <c r="F5" s="137">
        <f t="shared" ref="F5:F56" si="0">F4+C5-E5</f>
        <v>41036.619999999995</v>
      </c>
      <c r="I5" s="288" t="s">
        <v>125</v>
      </c>
      <c r="J5" s="38">
        <v>7746</v>
      </c>
      <c r="K5" s="111">
        <v>30</v>
      </c>
      <c r="L5" s="370">
        <v>44536</v>
      </c>
      <c r="M5" s="69"/>
      <c r="N5" s="137">
        <f t="shared" ref="N5:N56" si="1">N4+K5-M5</f>
        <v>5737.22</v>
      </c>
    </row>
    <row r="6" spans="1:14" ht="15.75" x14ac:dyDescent="0.25">
      <c r="A6" s="245" t="s">
        <v>128</v>
      </c>
      <c r="B6" s="260" t="s">
        <v>130</v>
      </c>
      <c r="C6" s="261">
        <v>840</v>
      </c>
      <c r="D6" s="136"/>
      <c r="E6" s="69"/>
      <c r="F6" s="137">
        <f t="shared" si="0"/>
        <v>41876.619999999995</v>
      </c>
      <c r="I6" s="288" t="s">
        <v>128</v>
      </c>
      <c r="J6" s="38">
        <v>7753</v>
      </c>
      <c r="K6" s="111">
        <v>3667.5</v>
      </c>
      <c r="L6" s="370">
        <v>44536</v>
      </c>
      <c r="M6" s="69"/>
      <c r="N6" s="137">
        <f t="shared" si="1"/>
        <v>9404.7200000000012</v>
      </c>
    </row>
    <row r="7" spans="1:14" ht="17.25" x14ac:dyDescent="0.25">
      <c r="A7" s="245" t="s">
        <v>131</v>
      </c>
      <c r="B7" s="246" t="s">
        <v>132</v>
      </c>
      <c r="C7" s="111">
        <v>7697.8</v>
      </c>
      <c r="D7" s="136" t="s">
        <v>7</v>
      </c>
      <c r="E7" s="69"/>
      <c r="F7" s="137">
        <f t="shared" si="0"/>
        <v>49574.42</v>
      </c>
      <c r="I7" s="288" t="s">
        <v>128</v>
      </c>
      <c r="J7" s="38">
        <v>7755</v>
      </c>
      <c r="K7" s="111">
        <v>120</v>
      </c>
      <c r="L7" s="370">
        <v>44536</v>
      </c>
      <c r="M7" s="69"/>
      <c r="N7" s="137">
        <f t="shared" si="1"/>
        <v>9524.7200000000012</v>
      </c>
    </row>
    <row r="8" spans="1:14" ht="15.75" x14ac:dyDescent="0.25">
      <c r="A8" s="245" t="s">
        <v>131</v>
      </c>
      <c r="B8" s="246" t="s">
        <v>133</v>
      </c>
      <c r="C8" s="111">
        <v>23842.9</v>
      </c>
      <c r="D8" s="136"/>
      <c r="E8" s="69"/>
      <c r="F8" s="137">
        <f t="shared" si="0"/>
        <v>73417.320000000007</v>
      </c>
      <c r="I8" s="288" t="s">
        <v>128</v>
      </c>
      <c r="J8" s="38">
        <v>7756</v>
      </c>
      <c r="K8" s="111">
        <v>436.5</v>
      </c>
      <c r="L8" s="370">
        <v>44536</v>
      </c>
      <c r="M8" s="69"/>
      <c r="N8" s="137">
        <f t="shared" si="1"/>
        <v>9961.2200000000012</v>
      </c>
    </row>
    <row r="9" spans="1:14" ht="15.75" x14ac:dyDescent="0.25">
      <c r="A9" s="245" t="s">
        <v>134</v>
      </c>
      <c r="B9" s="246" t="s">
        <v>135</v>
      </c>
      <c r="C9" s="111">
        <v>29188.7</v>
      </c>
      <c r="D9" s="136"/>
      <c r="E9" s="69"/>
      <c r="F9" s="137">
        <f t="shared" si="0"/>
        <v>102606.02</v>
      </c>
      <c r="I9" s="288" t="s">
        <v>131</v>
      </c>
      <c r="J9" s="38">
        <v>7771</v>
      </c>
      <c r="K9" s="111">
        <v>9412.4500000000007</v>
      </c>
      <c r="L9" s="370">
        <v>44536</v>
      </c>
      <c r="M9" s="69"/>
      <c r="N9" s="137">
        <f t="shared" si="1"/>
        <v>19373.670000000002</v>
      </c>
    </row>
    <row r="10" spans="1:14" ht="18.75" x14ac:dyDescent="0.3">
      <c r="A10" s="245" t="s">
        <v>134</v>
      </c>
      <c r="B10" s="246" t="s">
        <v>136</v>
      </c>
      <c r="C10" s="111">
        <v>2112.5</v>
      </c>
      <c r="D10" s="136"/>
      <c r="E10" s="69"/>
      <c r="F10" s="137">
        <f t="shared" si="0"/>
        <v>104718.52</v>
      </c>
      <c r="G10" s="138"/>
      <c r="I10" s="288" t="s">
        <v>131</v>
      </c>
      <c r="J10" s="38">
        <v>7772</v>
      </c>
      <c r="K10" s="111">
        <v>10285</v>
      </c>
      <c r="L10" s="370">
        <v>44536</v>
      </c>
      <c r="M10" s="69"/>
      <c r="N10" s="137">
        <f t="shared" si="1"/>
        <v>29658.670000000002</v>
      </c>
    </row>
    <row r="11" spans="1:14" ht="15.75" x14ac:dyDescent="0.25">
      <c r="A11" s="245" t="s">
        <v>137</v>
      </c>
      <c r="B11" s="246" t="s">
        <v>138</v>
      </c>
      <c r="C11" s="111">
        <v>10023.799999999999</v>
      </c>
      <c r="D11" s="140"/>
      <c r="E11" s="69"/>
      <c r="F11" s="137">
        <f t="shared" si="0"/>
        <v>114742.32</v>
      </c>
      <c r="I11" s="288" t="s">
        <v>134</v>
      </c>
      <c r="J11" s="38">
        <v>7774</v>
      </c>
      <c r="K11" s="111">
        <v>2504.94</v>
      </c>
      <c r="L11" s="370">
        <v>44536</v>
      </c>
      <c r="M11" s="69"/>
      <c r="N11" s="137">
        <f t="shared" si="1"/>
        <v>32163.61</v>
      </c>
    </row>
    <row r="12" spans="1:14" ht="15.75" x14ac:dyDescent="0.25">
      <c r="A12" s="245" t="s">
        <v>139</v>
      </c>
      <c r="B12" s="246" t="s">
        <v>140</v>
      </c>
      <c r="C12" s="111">
        <v>29492.45</v>
      </c>
      <c r="D12" s="140"/>
      <c r="E12" s="69"/>
      <c r="F12" s="137">
        <f t="shared" si="0"/>
        <v>144234.77000000002</v>
      </c>
      <c r="I12" s="288" t="s">
        <v>137</v>
      </c>
      <c r="J12" s="38">
        <v>7778</v>
      </c>
      <c r="K12" s="111">
        <v>800</v>
      </c>
      <c r="L12" s="370">
        <v>44512</v>
      </c>
      <c r="M12" s="69">
        <v>800</v>
      </c>
      <c r="N12" s="137">
        <f t="shared" si="1"/>
        <v>32163.61</v>
      </c>
    </row>
    <row r="13" spans="1:14" ht="15.75" x14ac:dyDescent="0.25">
      <c r="A13" s="245" t="s">
        <v>139</v>
      </c>
      <c r="B13" s="246" t="s">
        <v>141</v>
      </c>
      <c r="C13" s="111">
        <v>8447.5</v>
      </c>
      <c r="D13" s="140"/>
      <c r="E13" s="69"/>
      <c r="F13" s="137">
        <f t="shared" si="0"/>
        <v>152682.27000000002</v>
      </c>
      <c r="I13" s="288" t="s">
        <v>137</v>
      </c>
      <c r="J13" s="38">
        <v>7781</v>
      </c>
      <c r="K13" s="111">
        <v>733.6</v>
      </c>
      <c r="L13" s="370">
        <v>44536</v>
      </c>
      <c r="M13" s="69"/>
      <c r="N13" s="137">
        <f t="shared" si="1"/>
        <v>32897.21</v>
      </c>
    </row>
    <row r="14" spans="1:14" ht="15.75" x14ac:dyDescent="0.25">
      <c r="A14" s="245" t="s">
        <v>142</v>
      </c>
      <c r="B14" s="246" t="s">
        <v>143</v>
      </c>
      <c r="C14" s="111">
        <v>1123.5</v>
      </c>
      <c r="D14" s="140"/>
      <c r="E14" s="69"/>
      <c r="F14" s="137">
        <f t="shared" si="0"/>
        <v>153805.77000000002</v>
      </c>
      <c r="I14" s="288" t="s">
        <v>137</v>
      </c>
      <c r="J14" s="38">
        <v>7783</v>
      </c>
      <c r="K14" s="111">
        <v>675</v>
      </c>
      <c r="L14" s="370">
        <v>44536</v>
      </c>
      <c r="M14" s="69"/>
      <c r="N14" s="137">
        <f t="shared" si="1"/>
        <v>33572.21</v>
      </c>
    </row>
    <row r="15" spans="1:14" ht="15.75" x14ac:dyDescent="0.25">
      <c r="A15" s="245" t="s">
        <v>144</v>
      </c>
      <c r="B15" s="246" t="s">
        <v>145</v>
      </c>
      <c r="C15" s="111">
        <v>14678.6</v>
      </c>
      <c r="D15" s="140"/>
      <c r="E15" s="69"/>
      <c r="F15" s="137">
        <f t="shared" si="0"/>
        <v>168484.37000000002</v>
      </c>
      <c r="I15" s="288" t="s">
        <v>139</v>
      </c>
      <c r="J15" s="38">
        <v>7789</v>
      </c>
      <c r="K15" s="111">
        <v>5566.27</v>
      </c>
      <c r="L15" s="370">
        <v>44536</v>
      </c>
      <c r="M15" s="69"/>
      <c r="N15" s="137">
        <f t="shared" si="1"/>
        <v>39138.479999999996</v>
      </c>
    </row>
    <row r="16" spans="1:14" ht="15.75" x14ac:dyDescent="0.25">
      <c r="A16" s="245" t="s">
        <v>144</v>
      </c>
      <c r="B16" s="246" t="s">
        <v>146</v>
      </c>
      <c r="C16" s="111">
        <v>31129.7</v>
      </c>
      <c r="D16" s="140"/>
      <c r="E16" s="69"/>
      <c r="F16" s="137">
        <f t="shared" si="0"/>
        <v>199614.07000000004</v>
      </c>
      <c r="I16" s="288" t="s">
        <v>196</v>
      </c>
      <c r="J16" s="38">
        <v>7794</v>
      </c>
      <c r="K16" s="111">
        <v>60</v>
      </c>
      <c r="L16" s="370">
        <v>44536</v>
      </c>
      <c r="M16" s="69"/>
      <c r="N16" s="137">
        <f t="shared" si="1"/>
        <v>39198.479999999996</v>
      </c>
    </row>
    <row r="17" spans="1:14" ht="15.75" x14ac:dyDescent="0.25">
      <c r="A17" s="245" t="s">
        <v>147</v>
      </c>
      <c r="B17" s="246" t="s">
        <v>148</v>
      </c>
      <c r="C17" s="111">
        <v>14174.9</v>
      </c>
      <c r="D17" s="140"/>
      <c r="E17" s="69"/>
      <c r="F17" s="137">
        <f t="shared" si="0"/>
        <v>213788.97000000003</v>
      </c>
      <c r="I17" s="288" t="s">
        <v>196</v>
      </c>
      <c r="J17" s="38">
        <v>7796</v>
      </c>
      <c r="K17" s="111">
        <v>4155</v>
      </c>
      <c r="L17" s="370">
        <v>44536</v>
      </c>
      <c r="M17" s="69"/>
      <c r="N17" s="137">
        <f t="shared" si="1"/>
        <v>43353.479999999996</v>
      </c>
    </row>
    <row r="18" spans="1:14" ht="15.75" x14ac:dyDescent="0.25">
      <c r="A18" s="245" t="s">
        <v>147</v>
      </c>
      <c r="B18" s="246" t="s">
        <v>149</v>
      </c>
      <c r="C18" s="111">
        <v>2463.75</v>
      </c>
      <c r="D18" s="140"/>
      <c r="E18" s="69"/>
      <c r="F18" s="137">
        <f t="shared" si="0"/>
        <v>216252.72000000003</v>
      </c>
      <c r="I18" s="288" t="s">
        <v>142</v>
      </c>
      <c r="J18" s="38">
        <v>7798</v>
      </c>
      <c r="K18" s="111">
        <v>1620.32</v>
      </c>
      <c r="L18" s="370">
        <v>44536</v>
      </c>
      <c r="M18" s="69"/>
      <c r="N18" s="137">
        <f t="shared" si="1"/>
        <v>44973.799999999996</v>
      </c>
    </row>
    <row r="19" spans="1:14" ht="15.75" x14ac:dyDescent="0.25">
      <c r="A19" s="245" t="s">
        <v>147</v>
      </c>
      <c r="B19" s="246" t="s">
        <v>150</v>
      </c>
      <c r="C19" s="111">
        <v>9900</v>
      </c>
      <c r="D19" s="140"/>
      <c r="E19" s="69"/>
      <c r="F19" s="137">
        <f t="shared" si="0"/>
        <v>226152.72000000003</v>
      </c>
      <c r="I19" s="288" t="s">
        <v>144</v>
      </c>
      <c r="J19" s="38">
        <v>7805</v>
      </c>
      <c r="K19" s="111">
        <v>2386.12</v>
      </c>
      <c r="L19" s="370">
        <v>44536</v>
      </c>
      <c r="M19" s="69"/>
      <c r="N19" s="137">
        <f t="shared" si="1"/>
        <v>47359.92</v>
      </c>
    </row>
    <row r="20" spans="1:14" ht="15.75" x14ac:dyDescent="0.25">
      <c r="A20" s="245" t="s">
        <v>151</v>
      </c>
      <c r="B20" s="246" t="s">
        <v>152</v>
      </c>
      <c r="C20" s="111">
        <v>20284.5</v>
      </c>
      <c r="D20" s="140"/>
      <c r="E20" s="69"/>
      <c r="F20" s="137">
        <f t="shared" si="0"/>
        <v>246437.22000000003</v>
      </c>
      <c r="I20" s="288" t="s">
        <v>144</v>
      </c>
      <c r="J20" s="38">
        <v>7809</v>
      </c>
      <c r="K20" s="111">
        <v>2376.56</v>
      </c>
      <c r="L20" s="370">
        <v>44536</v>
      </c>
      <c r="M20" s="69"/>
      <c r="N20" s="137">
        <f t="shared" si="1"/>
        <v>49736.479999999996</v>
      </c>
    </row>
    <row r="21" spans="1:14" ht="15.75" x14ac:dyDescent="0.25">
      <c r="A21" s="245" t="s">
        <v>151</v>
      </c>
      <c r="B21" s="246" t="s">
        <v>153</v>
      </c>
      <c r="C21" s="111">
        <v>8609</v>
      </c>
      <c r="D21" s="140"/>
      <c r="E21" s="69"/>
      <c r="F21" s="137">
        <f t="shared" si="0"/>
        <v>255046.22000000003</v>
      </c>
      <c r="I21" s="288" t="s">
        <v>147</v>
      </c>
      <c r="J21" s="38">
        <v>7817</v>
      </c>
      <c r="K21" s="111">
        <v>3020.38</v>
      </c>
      <c r="L21" s="370">
        <v>44536</v>
      </c>
      <c r="M21" s="69"/>
      <c r="N21" s="137">
        <f t="shared" si="1"/>
        <v>52756.859999999993</v>
      </c>
    </row>
    <row r="22" spans="1:14" ht="18.75" x14ac:dyDescent="0.3">
      <c r="A22" s="245" t="s">
        <v>154</v>
      </c>
      <c r="B22" s="246" t="s">
        <v>155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288" t="s">
        <v>151</v>
      </c>
      <c r="J22" s="38">
        <v>7822</v>
      </c>
      <c r="K22" s="111">
        <v>2524.2399999999998</v>
      </c>
      <c r="L22" s="370">
        <v>44536</v>
      </c>
      <c r="M22" s="69"/>
      <c r="N22" s="137">
        <f t="shared" si="1"/>
        <v>55281.099999999991</v>
      </c>
    </row>
    <row r="23" spans="1:14" ht="15.75" x14ac:dyDescent="0.25">
      <c r="A23" s="245" t="s">
        <v>154</v>
      </c>
      <c r="B23" s="246" t="s">
        <v>156</v>
      </c>
      <c r="C23" s="111">
        <v>1801.8</v>
      </c>
      <c r="D23" s="140"/>
      <c r="E23" s="69"/>
      <c r="F23" s="137">
        <f t="shared" si="0"/>
        <v>289692.32</v>
      </c>
      <c r="I23" s="288" t="s">
        <v>154</v>
      </c>
      <c r="J23" s="38">
        <v>7826</v>
      </c>
      <c r="K23" s="111">
        <v>1789.6</v>
      </c>
      <c r="L23" s="370">
        <v>44536</v>
      </c>
      <c r="M23" s="69"/>
      <c r="N23" s="137">
        <f t="shared" si="1"/>
        <v>57070.69999999999</v>
      </c>
    </row>
    <row r="24" spans="1:14" ht="15.75" x14ac:dyDescent="0.25">
      <c r="A24" s="245" t="s">
        <v>157</v>
      </c>
      <c r="B24" s="246" t="s">
        <v>158</v>
      </c>
      <c r="C24" s="111">
        <v>700</v>
      </c>
      <c r="D24" s="140"/>
      <c r="E24" s="69"/>
      <c r="F24" s="137">
        <f t="shared" si="0"/>
        <v>290392.32000000001</v>
      </c>
      <c r="I24" s="288" t="s">
        <v>154</v>
      </c>
      <c r="J24" s="38">
        <v>7829</v>
      </c>
      <c r="K24" s="111">
        <v>2590.2199999999998</v>
      </c>
      <c r="L24" s="370">
        <v>44536</v>
      </c>
      <c r="M24" s="69"/>
      <c r="N24" s="137">
        <f t="shared" si="1"/>
        <v>59660.919999999991</v>
      </c>
    </row>
    <row r="25" spans="1:14" ht="15.75" x14ac:dyDescent="0.25">
      <c r="A25" s="245" t="s">
        <v>157</v>
      </c>
      <c r="B25" s="246" t="s">
        <v>159</v>
      </c>
      <c r="C25" s="111">
        <v>0</v>
      </c>
      <c r="D25" s="140"/>
      <c r="E25" s="69"/>
      <c r="F25" s="137">
        <f t="shared" si="0"/>
        <v>290392.32000000001</v>
      </c>
      <c r="I25" s="288" t="s">
        <v>157</v>
      </c>
      <c r="J25" s="38">
        <v>7831</v>
      </c>
      <c r="K25" s="111">
        <v>5268.02</v>
      </c>
      <c r="L25" s="370">
        <v>44536</v>
      </c>
      <c r="M25" s="69"/>
      <c r="N25" s="137">
        <f t="shared" si="1"/>
        <v>64928.939999999988</v>
      </c>
    </row>
    <row r="26" spans="1:14" ht="15.75" x14ac:dyDescent="0.25">
      <c r="A26" s="245" t="s">
        <v>157</v>
      </c>
      <c r="B26" s="246" t="s">
        <v>160</v>
      </c>
      <c r="C26" s="111">
        <v>34909.9</v>
      </c>
      <c r="D26" s="140"/>
      <c r="E26" s="69"/>
      <c r="F26" s="137">
        <f t="shared" si="0"/>
        <v>325302.22000000003</v>
      </c>
      <c r="I26" s="288" t="s">
        <v>157</v>
      </c>
      <c r="J26" s="38">
        <v>7835</v>
      </c>
      <c r="K26" s="111">
        <v>1272.24</v>
      </c>
      <c r="L26" s="370">
        <v>44536</v>
      </c>
      <c r="M26" s="69"/>
      <c r="N26" s="137">
        <f t="shared" si="1"/>
        <v>66201.179999999993</v>
      </c>
    </row>
    <row r="27" spans="1:14" ht="15.75" x14ac:dyDescent="0.25">
      <c r="A27" s="245" t="s">
        <v>157</v>
      </c>
      <c r="B27" s="246" t="s">
        <v>161</v>
      </c>
      <c r="C27" s="111">
        <v>5451.9</v>
      </c>
      <c r="D27" s="140"/>
      <c r="E27" s="69"/>
      <c r="F27" s="137">
        <f t="shared" si="0"/>
        <v>330754.12000000005</v>
      </c>
      <c r="I27" s="288" t="s">
        <v>197</v>
      </c>
      <c r="J27" s="38">
        <v>7837</v>
      </c>
      <c r="K27" s="111">
        <v>2132.7199999999998</v>
      </c>
      <c r="L27" s="370">
        <v>44536</v>
      </c>
      <c r="M27" s="69"/>
      <c r="N27" s="137">
        <f t="shared" si="1"/>
        <v>68333.899999999994</v>
      </c>
    </row>
    <row r="28" spans="1:14" ht="15.75" x14ac:dyDescent="0.25">
      <c r="A28" s="245" t="s">
        <v>162</v>
      </c>
      <c r="B28" s="246" t="s">
        <v>163</v>
      </c>
      <c r="C28" s="111">
        <v>6120</v>
      </c>
      <c r="D28" s="140"/>
      <c r="E28" s="69"/>
      <c r="F28" s="137">
        <f t="shared" si="0"/>
        <v>336874.12000000005</v>
      </c>
      <c r="I28" s="288" t="s">
        <v>162</v>
      </c>
      <c r="J28" s="38">
        <v>7841</v>
      </c>
      <c r="K28" s="111">
        <v>5711.74</v>
      </c>
      <c r="L28" s="370">
        <v>44536</v>
      </c>
      <c r="M28" s="69"/>
      <c r="N28" s="137">
        <f t="shared" si="1"/>
        <v>74045.64</v>
      </c>
    </row>
    <row r="29" spans="1:14" ht="15.75" x14ac:dyDescent="0.25">
      <c r="A29" s="245" t="s">
        <v>162</v>
      </c>
      <c r="B29" s="246" t="s">
        <v>164</v>
      </c>
      <c r="C29" s="111">
        <v>200.4</v>
      </c>
      <c r="D29" s="140"/>
      <c r="E29" s="69"/>
      <c r="F29" s="137">
        <f t="shared" si="0"/>
        <v>337074.52000000008</v>
      </c>
      <c r="I29" s="288" t="s">
        <v>165</v>
      </c>
      <c r="J29" s="38">
        <v>7850</v>
      </c>
      <c r="K29" s="111">
        <v>1624.34</v>
      </c>
      <c r="L29" s="370">
        <v>44536</v>
      </c>
      <c r="M29" s="69"/>
      <c r="N29" s="137">
        <f t="shared" si="1"/>
        <v>75669.98</v>
      </c>
    </row>
    <row r="30" spans="1:14" ht="18.75" x14ac:dyDescent="0.3">
      <c r="A30" s="245" t="s">
        <v>165</v>
      </c>
      <c r="B30" s="246" t="s">
        <v>166</v>
      </c>
      <c r="C30" s="111">
        <v>16436.2</v>
      </c>
      <c r="D30" s="140"/>
      <c r="E30" s="69"/>
      <c r="F30" s="137">
        <f t="shared" si="0"/>
        <v>353510.72000000009</v>
      </c>
      <c r="G30" s="138"/>
      <c r="I30" s="288" t="s">
        <v>167</v>
      </c>
      <c r="J30" s="38">
        <v>7855</v>
      </c>
      <c r="K30" s="111">
        <v>1017</v>
      </c>
      <c r="L30" s="370">
        <v>44536</v>
      </c>
      <c r="M30" s="69"/>
      <c r="N30" s="137">
        <f t="shared" si="1"/>
        <v>76686.98</v>
      </c>
    </row>
    <row r="31" spans="1:14" ht="15.75" x14ac:dyDescent="0.25">
      <c r="A31" s="245" t="s">
        <v>167</v>
      </c>
      <c r="B31" s="246" t="s">
        <v>168</v>
      </c>
      <c r="C31" s="111">
        <v>5770.5</v>
      </c>
      <c r="D31" s="140"/>
      <c r="E31" s="69"/>
      <c r="F31" s="137">
        <f t="shared" si="0"/>
        <v>359281.22000000009</v>
      </c>
      <c r="I31" s="288" t="s">
        <v>170</v>
      </c>
      <c r="J31" s="38">
        <v>7861</v>
      </c>
      <c r="K31" s="111">
        <v>2570.5</v>
      </c>
      <c r="L31" s="370">
        <v>44536</v>
      </c>
      <c r="M31" s="69"/>
      <c r="N31" s="137">
        <f t="shared" si="1"/>
        <v>79257.48</v>
      </c>
    </row>
    <row r="32" spans="1:14" ht="15.75" x14ac:dyDescent="0.25">
      <c r="A32" s="245" t="s">
        <v>167</v>
      </c>
      <c r="B32" s="246" t="s">
        <v>169</v>
      </c>
      <c r="C32" s="111">
        <v>31786.83</v>
      </c>
      <c r="D32" s="140"/>
      <c r="E32" s="69"/>
      <c r="F32" s="137">
        <f t="shared" si="0"/>
        <v>391068.0500000001</v>
      </c>
      <c r="I32" s="288" t="s">
        <v>170</v>
      </c>
      <c r="J32" s="38">
        <v>7862</v>
      </c>
      <c r="K32" s="111">
        <v>220</v>
      </c>
      <c r="L32" s="370">
        <v>44536</v>
      </c>
      <c r="M32" s="69"/>
      <c r="N32" s="137">
        <f t="shared" si="1"/>
        <v>79477.48</v>
      </c>
    </row>
    <row r="33" spans="1:14" ht="15.75" x14ac:dyDescent="0.25">
      <c r="A33" s="245" t="s">
        <v>170</v>
      </c>
      <c r="B33" s="246" t="s">
        <v>171</v>
      </c>
      <c r="C33" s="111">
        <v>1033.5999999999999</v>
      </c>
      <c r="D33" s="140"/>
      <c r="E33" s="69"/>
      <c r="F33" s="137">
        <f t="shared" si="0"/>
        <v>392101.65000000008</v>
      </c>
      <c r="I33" s="288" t="s">
        <v>173</v>
      </c>
      <c r="J33" s="38">
        <v>7868</v>
      </c>
      <c r="K33" s="111">
        <v>1057.4000000000001</v>
      </c>
      <c r="L33" s="370">
        <v>44536</v>
      </c>
      <c r="M33" s="69"/>
      <c r="N33" s="137">
        <f t="shared" si="1"/>
        <v>80534.87999999999</v>
      </c>
    </row>
    <row r="34" spans="1:14" ht="15.75" x14ac:dyDescent="0.25">
      <c r="A34" s="245" t="s">
        <v>170</v>
      </c>
      <c r="B34" s="246" t="s">
        <v>172</v>
      </c>
      <c r="C34" s="111">
        <v>23327.4</v>
      </c>
      <c r="D34" s="140"/>
      <c r="E34" s="69"/>
      <c r="F34" s="137">
        <f t="shared" si="0"/>
        <v>415429.0500000001</v>
      </c>
      <c r="I34" s="288" t="s">
        <v>176</v>
      </c>
      <c r="J34" s="38">
        <v>7874</v>
      </c>
      <c r="K34" s="111">
        <v>2185.46</v>
      </c>
      <c r="L34" s="370">
        <v>44536</v>
      </c>
      <c r="M34" s="69"/>
      <c r="N34" s="137">
        <f t="shared" si="1"/>
        <v>82720.34</v>
      </c>
    </row>
    <row r="35" spans="1:14" ht="15.75" x14ac:dyDescent="0.25">
      <c r="A35" s="245" t="s">
        <v>173</v>
      </c>
      <c r="B35" s="262" t="s">
        <v>174</v>
      </c>
      <c r="C35" s="263">
        <v>9701.98</v>
      </c>
      <c r="D35" s="264"/>
      <c r="E35" s="69"/>
      <c r="F35" s="137">
        <f t="shared" si="0"/>
        <v>425131.03000000009</v>
      </c>
      <c r="I35" s="288" t="s">
        <v>179</v>
      </c>
      <c r="J35" s="38">
        <v>7885</v>
      </c>
      <c r="K35" s="111">
        <v>7065.94</v>
      </c>
      <c r="L35" s="370">
        <v>44536</v>
      </c>
      <c r="M35" s="69"/>
      <c r="N35" s="137">
        <f t="shared" si="1"/>
        <v>89786.28</v>
      </c>
    </row>
    <row r="36" spans="1:14" ht="17.25" x14ac:dyDescent="0.3">
      <c r="A36" s="245" t="s">
        <v>173</v>
      </c>
      <c r="B36" s="246" t="s">
        <v>175</v>
      </c>
      <c r="C36" s="111">
        <v>19002.599999999999</v>
      </c>
      <c r="D36" s="375">
        <v>44536</v>
      </c>
      <c r="E36" s="263">
        <v>440783.04</v>
      </c>
      <c r="F36" s="364">
        <f t="shared" si="0"/>
        <v>3350.5900000000838</v>
      </c>
      <c r="I36" s="288" t="s">
        <v>179</v>
      </c>
      <c r="J36" s="38">
        <v>7886</v>
      </c>
      <c r="K36" s="111">
        <v>2509.7199999999998</v>
      </c>
      <c r="L36" s="370">
        <v>44536</v>
      </c>
      <c r="M36" s="69"/>
      <c r="N36" s="137">
        <f t="shared" si="1"/>
        <v>92296</v>
      </c>
    </row>
    <row r="37" spans="1:14" ht="15.75" x14ac:dyDescent="0.25">
      <c r="A37" s="245" t="s">
        <v>176</v>
      </c>
      <c r="B37" s="246" t="s">
        <v>177</v>
      </c>
      <c r="C37" s="111">
        <v>15004.5</v>
      </c>
      <c r="D37" s="140"/>
      <c r="E37" s="69"/>
      <c r="F37" s="137">
        <f t="shared" si="0"/>
        <v>18355.090000000084</v>
      </c>
      <c r="I37" s="288" t="s">
        <v>181</v>
      </c>
      <c r="J37" s="38">
        <v>7894</v>
      </c>
      <c r="K37" s="111">
        <v>6480.14</v>
      </c>
      <c r="L37" s="370">
        <v>44536</v>
      </c>
      <c r="M37" s="69"/>
      <c r="N37" s="137">
        <f t="shared" si="1"/>
        <v>98776.14</v>
      </c>
    </row>
    <row r="38" spans="1:14" ht="15.75" x14ac:dyDescent="0.25">
      <c r="A38" s="245" t="s">
        <v>176</v>
      </c>
      <c r="B38" s="246" t="s">
        <v>178</v>
      </c>
      <c r="C38" s="111">
        <v>11653</v>
      </c>
      <c r="D38" s="140"/>
      <c r="E38" s="69"/>
      <c r="F38" s="137">
        <f t="shared" si="0"/>
        <v>30008.090000000084</v>
      </c>
      <c r="I38" s="288" t="s">
        <v>184</v>
      </c>
      <c r="J38" s="38">
        <v>7902</v>
      </c>
      <c r="K38" s="111">
        <v>14917</v>
      </c>
      <c r="L38" s="370">
        <v>44536</v>
      </c>
      <c r="M38" s="69"/>
      <c r="N38" s="137">
        <f t="shared" si="1"/>
        <v>113693.14</v>
      </c>
    </row>
    <row r="39" spans="1:14" ht="15.75" x14ac:dyDescent="0.25">
      <c r="A39" s="245" t="s">
        <v>179</v>
      </c>
      <c r="B39" s="246" t="s">
        <v>180</v>
      </c>
      <c r="C39" s="111">
        <v>13564.4</v>
      </c>
      <c r="D39" s="140"/>
      <c r="E39" s="69"/>
      <c r="F39" s="137">
        <f t="shared" si="0"/>
        <v>43572.490000000085</v>
      </c>
      <c r="I39" s="288" t="s">
        <v>184</v>
      </c>
      <c r="J39" s="38">
        <v>7904</v>
      </c>
      <c r="K39" s="111">
        <v>23258.400000000001</v>
      </c>
      <c r="L39" s="370">
        <v>44536</v>
      </c>
      <c r="M39" s="69"/>
      <c r="N39" s="137">
        <f t="shared" si="1"/>
        <v>136951.54</v>
      </c>
    </row>
    <row r="40" spans="1:14" ht="15.75" x14ac:dyDescent="0.25">
      <c r="A40" s="245" t="s">
        <v>181</v>
      </c>
      <c r="B40" s="246" t="s">
        <v>182</v>
      </c>
      <c r="C40" s="111">
        <v>23352.1</v>
      </c>
      <c r="D40" s="140"/>
      <c r="E40" s="69"/>
      <c r="F40" s="137">
        <f t="shared" si="0"/>
        <v>66924.590000000084</v>
      </c>
      <c r="I40" s="288" t="s">
        <v>186</v>
      </c>
      <c r="J40" s="38">
        <v>7909</v>
      </c>
      <c r="K40" s="111">
        <v>4062.48</v>
      </c>
      <c r="L40" s="370">
        <v>44536</v>
      </c>
      <c r="M40" s="69"/>
      <c r="N40" s="137">
        <f t="shared" si="1"/>
        <v>141014.02000000002</v>
      </c>
    </row>
    <row r="41" spans="1:14" ht="15.75" x14ac:dyDescent="0.25">
      <c r="A41" s="245" t="s">
        <v>181</v>
      </c>
      <c r="B41" s="246" t="s">
        <v>183</v>
      </c>
      <c r="C41" s="111">
        <v>1062.5999999999999</v>
      </c>
      <c r="D41" s="140"/>
      <c r="E41" s="69"/>
      <c r="F41" s="137">
        <f t="shared" si="0"/>
        <v>67987.19000000009</v>
      </c>
      <c r="I41" s="288" t="s">
        <v>189</v>
      </c>
      <c r="J41" s="38">
        <v>7918</v>
      </c>
      <c r="K41" s="111">
        <v>2667.28</v>
      </c>
      <c r="L41" s="370">
        <v>44536</v>
      </c>
      <c r="M41" s="69"/>
      <c r="N41" s="137">
        <f t="shared" si="1"/>
        <v>143681.30000000002</v>
      </c>
    </row>
    <row r="42" spans="1:14" ht="15.75" x14ac:dyDescent="0.25">
      <c r="A42" s="245" t="s">
        <v>184</v>
      </c>
      <c r="B42" s="246" t="s">
        <v>185</v>
      </c>
      <c r="C42" s="111">
        <v>23716.9</v>
      </c>
      <c r="D42" s="140"/>
      <c r="E42" s="69"/>
      <c r="F42" s="137">
        <f t="shared" si="0"/>
        <v>91704.090000000084</v>
      </c>
      <c r="I42" s="288" t="s">
        <v>189</v>
      </c>
      <c r="J42" s="38">
        <v>7920</v>
      </c>
      <c r="K42" s="111">
        <v>19440.8</v>
      </c>
      <c r="L42" s="370">
        <v>44536</v>
      </c>
      <c r="M42" s="69"/>
      <c r="N42" s="137">
        <f t="shared" si="1"/>
        <v>163122.1</v>
      </c>
    </row>
    <row r="43" spans="1:14" ht="15.75" x14ac:dyDescent="0.25">
      <c r="A43" s="245" t="s">
        <v>186</v>
      </c>
      <c r="B43" s="246" t="s">
        <v>187</v>
      </c>
      <c r="C43" s="111">
        <v>0</v>
      </c>
      <c r="D43" s="140"/>
      <c r="E43" s="69"/>
      <c r="F43" s="137">
        <f t="shared" si="0"/>
        <v>91704.090000000084</v>
      </c>
      <c r="I43" s="288" t="s">
        <v>189</v>
      </c>
      <c r="J43" s="38">
        <v>7925</v>
      </c>
      <c r="K43" s="111">
        <v>803.24</v>
      </c>
      <c r="L43" s="370">
        <v>44536</v>
      </c>
      <c r="M43" s="69"/>
      <c r="N43" s="137">
        <f t="shared" si="1"/>
        <v>163925.34</v>
      </c>
    </row>
    <row r="44" spans="1:14" ht="18.75" x14ac:dyDescent="0.25">
      <c r="A44" s="245" t="s">
        <v>186</v>
      </c>
      <c r="B44" s="246" t="s">
        <v>188</v>
      </c>
      <c r="C44" s="111">
        <v>22472</v>
      </c>
      <c r="D44" s="140"/>
      <c r="E44" s="69"/>
      <c r="F44" s="137">
        <f t="shared" si="0"/>
        <v>114176.09000000008</v>
      </c>
      <c r="I44" s="219"/>
      <c r="J44" s="220"/>
      <c r="K44" s="222"/>
      <c r="L44" s="282">
        <v>44536</v>
      </c>
      <c r="M44" s="281">
        <v>163925.34</v>
      </c>
      <c r="N44" s="280">
        <f t="shared" si="1"/>
        <v>0</v>
      </c>
    </row>
    <row r="45" spans="1:14" ht="15.75" x14ac:dyDescent="0.25">
      <c r="A45" s="245" t="s">
        <v>189</v>
      </c>
      <c r="B45" s="57" t="s">
        <v>190</v>
      </c>
      <c r="C45" s="111">
        <v>77166.05</v>
      </c>
      <c r="D45" s="140"/>
      <c r="E45" s="69"/>
      <c r="F45" s="137">
        <f t="shared" si="0"/>
        <v>191342.14000000007</v>
      </c>
      <c r="I45" s="219"/>
      <c r="J45" s="220"/>
      <c r="K45" s="221"/>
      <c r="L45" s="253"/>
      <c r="M45" s="69"/>
      <c r="N45" s="137">
        <f t="shared" si="1"/>
        <v>0</v>
      </c>
    </row>
    <row r="46" spans="1:14" ht="15.75" x14ac:dyDescent="0.25">
      <c r="A46" s="245" t="s">
        <v>189</v>
      </c>
      <c r="B46" s="57" t="s">
        <v>191</v>
      </c>
      <c r="C46" s="243">
        <v>104.4</v>
      </c>
      <c r="D46" s="140"/>
      <c r="E46" s="69"/>
      <c r="F46" s="137">
        <f t="shared" si="0"/>
        <v>191446.54000000007</v>
      </c>
      <c r="I46" s="219"/>
      <c r="J46" s="220"/>
      <c r="K46" s="221"/>
      <c r="L46" s="253"/>
      <c r="M46" s="69"/>
      <c r="N46" s="137">
        <f t="shared" si="1"/>
        <v>0</v>
      </c>
    </row>
    <row r="47" spans="1:14" ht="15.75" x14ac:dyDescent="0.25">
      <c r="A47" s="245" t="s">
        <v>189</v>
      </c>
      <c r="B47" s="57" t="s">
        <v>192</v>
      </c>
      <c r="C47" s="243">
        <v>702</v>
      </c>
      <c r="D47" s="140"/>
      <c r="E47" s="69"/>
      <c r="F47" s="137">
        <f t="shared" si="0"/>
        <v>192148.54000000007</v>
      </c>
      <c r="I47" s="219"/>
      <c r="J47" s="220"/>
      <c r="K47" s="221"/>
      <c r="L47" s="253"/>
      <c r="M47" s="69"/>
      <c r="N47" s="137">
        <f t="shared" si="1"/>
        <v>0</v>
      </c>
    </row>
    <row r="48" spans="1:14" ht="15.75" x14ac:dyDescent="0.25">
      <c r="A48" s="242">
        <v>44533</v>
      </c>
      <c r="B48" s="241" t="s">
        <v>312</v>
      </c>
      <c r="C48" s="244">
        <v>17024.8</v>
      </c>
      <c r="D48" s="140"/>
      <c r="E48" s="69"/>
      <c r="F48" s="137">
        <f t="shared" si="0"/>
        <v>209173.34000000005</v>
      </c>
      <c r="I48" s="219"/>
      <c r="J48" s="220"/>
      <c r="K48" s="221"/>
      <c r="L48" s="253"/>
      <c r="M48" s="69"/>
      <c r="N48" s="137">
        <f t="shared" si="1"/>
        <v>0</v>
      </c>
    </row>
    <row r="49" spans="1:14" ht="15.75" x14ac:dyDescent="0.25">
      <c r="A49" s="140">
        <v>44533</v>
      </c>
      <c r="B49" s="139" t="s">
        <v>313</v>
      </c>
      <c r="C49" s="215">
        <v>7870.56</v>
      </c>
      <c r="D49" s="140"/>
      <c r="E49" s="69"/>
      <c r="F49" s="137">
        <f t="shared" si="0"/>
        <v>217043.90000000005</v>
      </c>
      <c r="I49" s="219"/>
      <c r="J49" s="220"/>
      <c r="K49" s="221"/>
      <c r="L49" s="253"/>
      <c r="M49" s="69"/>
      <c r="N49" s="137">
        <f t="shared" si="1"/>
        <v>0</v>
      </c>
    </row>
    <row r="50" spans="1:14" ht="16.5" thickBot="1" x14ac:dyDescent="0.3">
      <c r="A50" s="242">
        <v>44534</v>
      </c>
      <c r="B50" s="241" t="s">
        <v>193</v>
      </c>
      <c r="C50" s="244">
        <v>73956.800000000003</v>
      </c>
      <c r="D50" s="140">
        <v>44554</v>
      </c>
      <c r="E50" s="69">
        <v>291000.7</v>
      </c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" hidden="1" customHeight="1" x14ac:dyDescent="0.25">
      <c r="A51" s="141"/>
      <c r="B51" s="142"/>
      <c r="C51" s="143"/>
      <c r="D51" s="140"/>
      <c r="E51" s="69"/>
      <c r="F51" s="137">
        <f t="shared" si="0"/>
        <v>0</v>
      </c>
      <c r="I51" s="141"/>
      <c r="J51" s="142"/>
      <c r="K51" s="143"/>
      <c r="L51" s="253"/>
      <c r="M51" s="69"/>
      <c r="N51" s="137">
        <f t="shared" si="1"/>
        <v>0</v>
      </c>
    </row>
    <row r="52" spans="1:14" ht="15.75" hidden="1" x14ac:dyDescent="0.25">
      <c r="A52" s="141"/>
      <c r="B52" s="142"/>
      <c r="C52" s="143"/>
      <c r="D52" s="140"/>
      <c r="E52" s="69"/>
      <c r="F52" s="137">
        <f t="shared" si="0"/>
        <v>0</v>
      </c>
      <c r="I52" s="141"/>
      <c r="J52" s="142"/>
      <c r="K52" s="143"/>
      <c r="L52" s="253"/>
      <c r="M52" s="69"/>
      <c r="N52" s="137">
        <f t="shared" si="1"/>
        <v>0</v>
      </c>
    </row>
    <row r="53" spans="1:14" ht="15.75" hidden="1" x14ac:dyDescent="0.25">
      <c r="A53" s="141"/>
      <c r="B53" s="142"/>
      <c r="C53" s="143"/>
      <c r="D53" s="140"/>
      <c r="E53" s="69"/>
      <c r="F53" s="137">
        <f t="shared" si="0"/>
        <v>0</v>
      </c>
      <c r="I53" s="141"/>
      <c r="J53" s="142"/>
      <c r="K53" s="143"/>
      <c r="L53" s="253"/>
      <c r="M53" s="69"/>
      <c r="N53" s="137">
        <f t="shared" si="1"/>
        <v>0</v>
      </c>
    </row>
    <row r="54" spans="1:14" ht="15.75" hidden="1" x14ac:dyDescent="0.25">
      <c r="A54" s="141"/>
      <c r="B54" s="142"/>
      <c r="C54" s="143"/>
      <c r="D54" s="140"/>
      <c r="E54" s="69"/>
      <c r="F54" s="137">
        <f t="shared" si="0"/>
        <v>0</v>
      </c>
      <c r="I54" s="141"/>
      <c r="J54" s="142"/>
      <c r="K54" s="143"/>
      <c r="L54" s="253"/>
      <c r="M54" s="69"/>
      <c r="N54" s="137">
        <f t="shared" si="1"/>
        <v>0</v>
      </c>
    </row>
    <row r="55" spans="1:14" ht="15.75" hidden="1" x14ac:dyDescent="0.25">
      <c r="A55" s="141"/>
      <c r="B55" s="142"/>
      <c r="C55" s="143"/>
      <c r="D55" s="140"/>
      <c r="E55" s="69"/>
      <c r="F55" s="137">
        <f t="shared" si="0"/>
        <v>0</v>
      </c>
      <c r="I55" s="141"/>
      <c r="J55" s="142"/>
      <c r="K55" s="143"/>
      <c r="L55" s="253"/>
      <c r="M55" s="69"/>
      <c r="N55" s="137">
        <f t="shared" si="1"/>
        <v>0</v>
      </c>
    </row>
    <row r="56" spans="1:14" ht="15.75" hidden="1" x14ac:dyDescent="0.25">
      <c r="A56" s="141"/>
      <c r="B56" s="142"/>
      <c r="C56" s="143"/>
      <c r="D56" s="140"/>
      <c r="E56" s="69"/>
      <c r="F56" s="137">
        <f t="shared" si="0"/>
        <v>0</v>
      </c>
      <c r="I56" s="141"/>
      <c r="J56" s="142"/>
      <c r="K56" s="143"/>
      <c r="L56" s="253"/>
      <c r="M56" s="69"/>
      <c r="N56" s="137">
        <f t="shared" si="1"/>
        <v>0</v>
      </c>
    </row>
    <row r="57" spans="1:14" ht="15.75" hidden="1" x14ac:dyDescent="0.25">
      <c r="A57" s="141"/>
      <c r="B57" s="142"/>
      <c r="C57" s="143"/>
      <c r="D57" s="140"/>
      <c r="E57" s="69"/>
      <c r="F57" s="137">
        <f t="shared" ref="F57:F85" si="2">F56+C57-E57</f>
        <v>0</v>
      </c>
      <c r="I57" s="141"/>
      <c r="J57" s="142"/>
      <c r="K57" s="143"/>
      <c r="L57" s="253"/>
      <c r="M57" s="69"/>
      <c r="N57" s="137">
        <f t="shared" ref="N57:N85" si="3">N56+K57-M57</f>
        <v>0</v>
      </c>
    </row>
    <row r="58" spans="1:14" ht="15.75" hidden="1" x14ac:dyDescent="0.25">
      <c r="A58" s="141"/>
      <c r="B58" s="142"/>
      <c r="C58" s="143"/>
      <c r="D58" s="140"/>
      <c r="E58" s="69"/>
      <c r="F58" s="137">
        <f t="shared" si="2"/>
        <v>0</v>
      </c>
      <c r="I58" s="141"/>
      <c r="J58" s="142"/>
      <c r="K58" s="143"/>
      <c r="L58" s="253"/>
      <c r="M58" s="69"/>
      <c r="N58" s="137">
        <f t="shared" si="3"/>
        <v>0</v>
      </c>
    </row>
    <row r="59" spans="1:14" ht="15.75" hidden="1" x14ac:dyDescent="0.25">
      <c r="A59" s="141"/>
      <c r="B59" s="142"/>
      <c r="C59" s="143"/>
      <c r="D59" s="140"/>
      <c r="E59" s="69"/>
      <c r="F59" s="137">
        <f t="shared" si="2"/>
        <v>0</v>
      </c>
      <c r="I59" s="141"/>
      <c r="J59" s="142"/>
      <c r="K59" s="143"/>
      <c r="L59" s="253"/>
      <c r="M59" s="69"/>
      <c r="N59" s="137">
        <f t="shared" si="3"/>
        <v>0</v>
      </c>
    </row>
    <row r="60" spans="1:14" ht="15.75" hidden="1" x14ac:dyDescent="0.25">
      <c r="A60" s="141"/>
      <c r="B60" s="142"/>
      <c r="C60" s="143"/>
      <c r="D60" s="140"/>
      <c r="E60" s="69"/>
      <c r="F60" s="137">
        <f t="shared" si="2"/>
        <v>0</v>
      </c>
      <c r="I60" s="141"/>
      <c r="J60" s="142"/>
      <c r="K60" s="143"/>
      <c r="L60" s="253"/>
      <c r="M60" s="69"/>
      <c r="N60" s="137">
        <f t="shared" si="3"/>
        <v>0</v>
      </c>
    </row>
    <row r="61" spans="1:14" ht="15.75" hidden="1" x14ac:dyDescent="0.25">
      <c r="A61" s="141"/>
      <c r="B61" s="142"/>
      <c r="C61" s="143"/>
      <c r="D61" s="140"/>
      <c r="E61" s="69"/>
      <c r="F61" s="137">
        <f t="shared" si="2"/>
        <v>0</v>
      </c>
      <c r="I61" s="141"/>
      <c r="J61" s="142"/>
      <c r="K61" s="143"/>
      <c r="L61" s="253"/>
      <c r="M61" s="69"/>
      <c r="N61" s="137">
        <f t="shared" si="3"/>
        <v>0</v>
      </c>
    </row>
    <row r="62" spans="1:14" ht="15.75" hidden="1" x14ac:dyDescent="0.25">
      <c r="A62" s="141"/>
      <c r="B62" s="142"/>
      <c r="C62" s="143"/>
      <c r="D62" s="140"/>
      <c r="E62" s="69"/>
      <c r="F62" s="137">
        <f t="shared" si="2"/>
        <v>0</v>
      </c>
      <c r="I62" s="141"/>
      <c r="J62" s="142"/>
      <c r="K62" s="143"/>
      <c r="L62" s="253"/>
      <c r="M62" s="69"/>
      <c r="N62" s="137">
        <f t="shared" si="3"/>
        <v>0</v>
      </c>
    </row>
    <row r="63" spans="1:14" ht="15.75" hidden="1" x14ac:dyDescent="0.25">
      <c r="A63" s="141"/>
      <c r="B63" s="142"/>
      <c r="C63" s="143"/>
      <c r="D63" s="140"/>
      <c r="E63" s="69"/>
      <c r="F63" s="137">
        <f t="shared" si="2"/>
        <v>0</v>
      </c>
      <c r="I63" s="141"/>
      <c r="J63" s="142"/>
      <c r="K63" s="143"/>
      <c r="L63" s="253"/>
      <c r="M63" s="69"/>
      <c r="N63" s="137">
        <f t="shared" si="3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2"/>
        <v>0</v>
      </c>
      <c r="I64" s="141"/>
      <c r="J64" s="142"/>
      <c r="K64" s="143"/>
      <c r="L64" s="253"/>
      <c r="M64" s="69"/>
      <c r="N64" s="137">
        <f t="shared" si="3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2"/>
        <v>0</v>
      </c>
      <c r="I65" s="141"/>
      <c r="J65" s="142"/>
      <c r="K65" s="143"/>
      <c r="L65" s="253"/>
      <c r="M65" s="69"/>
      <c r="N65" s="137">
        <f t="shared" si="3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2"/>
        <v>0</v>
      </c>
      <c r="I66" s="141"/>
      <c r="J66" s="142"/>
      <c r="K66" s="143"/>
      <c r="L66" s="253"/>
      <c r="M66" s="69"/>
      <c r="N66" s="137">
        <f t="shared" si="3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2"/>
        <v>0</v>
      </c>
      <c r="I67" s="141"/>
      <c r="J67" s="142"/>
      <c r="K67" s="143"/>
      <c r="L67" s="253"/>
      <c r="M67" s="69"/>
      <c r="N67" s="137">
        <f t="shared" si="3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2"/>
        <v>0</v>
      </c>
      <c r="I68" s="141"/>
      <c r="J68" s="142"/>
      <c r="K68" s="143"/>
      <c r="L68" s="253"/>
      <c r="M68" s="69"/>
      <c r="N68" s="137">
        <f t="shared" si="3"/>
        <v>0</v>
      </c>
    </row>
    <row r="69" spans="1:14" ht="15.75" hidden="1" x14ac:dyDescent="0.25">
      <c r="A69" s="144"/>
      <c r="B69" s="145"/>
      <c r="C69" s="146"/>
      <c r="D69" s="147"/>
      <c r="E69" s="34"/>
      <c r="F69" s="137">
        <f t="shared" si="2"/>
        <v>0</v>
      </c>
      <c r="I69" s="144"/>
      <c r="J69" s="145"/>
      <c r="K69" s="146"/>
      <c r="L69" s="118"/>
      <c r="M69" s="34"/>
      <c r="N69" s="137">
        <f t="shared" si="3"/>
        <v>0</v>
      </c>
    </row>
    <row r="70" spans="1:14" ht="15.75" hidden="1" x14ac:dyDescent="0.25">
      <c r="A70" s="144"/>
      <c r="B70" s="145"/>
      <c r="C70" s="146"/>
      <c r="D70" s="147"/>
      <c r="E70" s="34"/>
      <c r="F70" s="137">
        <f t="shared" si="2"/>
        <v>0</v>
      </c>
      <c r="I70" s="144"/>
      <c r="J70" s="145"/>
      <c r="K70" s="146"/>
      <c r="L70" s="118"/>
      <c r="M70" s="34"/>
      <c r="N70" s="137">
        <f t="shared" si="3"/>
        <v>0</v>
      </c>
    </row>
    <row r="71" spans="1:14" ht="15.75" hidden="1" x14ac:dyDescent="0.25">
      <c r="A71" s="144"/>
      <c r="B71" s="145"/>
      <c r="C71" s="146"/>
      <c r="D71" s="147"/>
      <c r="E71" s="34"/>
      <c r="F71" s="137">
        <f t="shared" si="2"/>
        <v>0</v>
      </c>
      <c r="I71" s="144"/>
      <c r="J71" s="145"/>
      <c r="K71" s="146"/>
      <c r="L71" s="118"/>
      <c r="M71" s="34"/>
      <c r="N71" s="137">
        <f t="shared" si="3"/>
        <v>0</v>
      </c>
    </row>
    <row r="72" spans="1:14" ht="15.75" hidden="1" x14ac:dyDescent="0.25">
      <c r="A72" s="144"/>
      <c r="B72" s="145"/>
      <c r="C72" s="146"/>
      <c r="D72" s="147"/>
      <c r="E72" s="34"/>
      <c r="F72" s="137">
        <f t="shared" si="2"/>
        <v>0</v>
      </c>
      <c r="I72" s="144"/>
      <c r="J72" s="145"/>
      <c r="K72" s="146"/>
      <c r="L72" s="118"/>
      <c r="M72" s="34"/>
      <c r="N72" s="137">
        <f t="shared" si="3"/>
        <v>0</v>
      </c>
    </row>
    <row r="73" spans="1:14" ht="15.75" hidden="1" x14ac:dyDescent="0.25">
      <c r="A73" s="144"/>
      <c r="B73" s="145"/>
      <c r="C73" s="146"/>
      <c r="D73" s="147"/>
      <c r="E73" s="34"/>
      <c r="F73" s="137">
        <f t="shared" si="2"/>
        <v>0</v>
      </c>
      <c r="I73" s="144"/>
      <c r="J73" s="145"/>
      <c r="K73" s="146"/>
      <c r="L73" s="118"/>
      <c r="M73" s="34"/>
      <c r="N73" s="137">
        <f t="shared" si="3"/>
        <v>0</v>
      </c>
    </row>
    <row r="74" spans="1:14" ht="15.75" hidden="1" x14ac:dyDescent="0.25">
      <c r="A74" s="144"/>
      <c r="B74" s="145"/>
      <c r="C74" s="146"/>
      <c r="D74" s="147"/>
      <c r="E74" s="34"/>
      <c r="F74" s="137">
        <f t="shared" si="2"/>
        <v>0</v>
      </c>
      <c r="I74" s="144"/>
      <c r="J74" s="145"/>
      <c r="K74" s="146"/>
      <c r="L74" s="118"/>
      <c r="M74" s="34"/>
      <c r="N74" s="137">
        <f t="shared" si="3"/>
        <v>0</v>
      </c>
    </row>
    <row r="75" spans="1:14" ht="15.75" hidden="1" x14ac:dyDescent="0.25">
      <c r="A75" s="141"/>
      <c r="B75" s="142"/>
      <c r="C75" s="143"/>
      <c r="D75" s="148"/>
      <c r="E75" s="69"/>
      <c r="F75" s="137">
        <f t="shared" si="2"/>
        <v>0</v>
      </c>
      <c r="I75" s="141"/>
      <c r="J75" s="142"/>
      <c r="K75" s="143"/>
      <c r="L75" s="254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8"/>
      <c r="E76" s="69"/>
      <c r="F76" s="137">
        <f t="shared" si="2"/>
        <v>0</v>
      </c>
      <c r="I76" s="141"/>
      <c r="J76" s="142"/>
      <c r="K76" s="143"/>
      <c r="L76" s="254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8"/>
      <c r="E77" s="69"/>
      <c r="F77" s="137">
        <f t="shared" si="2"/>
        <v>0</v>
      </c>
      <c r="I77" s="141"/>
      <c r="J77" s="142"/>
      <c r="K77" s="143"/>
      <c r="L77" s="254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8"/>
      <c r="E78" s="69"/>
      <c r="F78" s="137">
        <f t="shared" si="2"/>
        <v>0</v>
      </c>
      <c r="I78" s="141"/>
      <c r="J78" s="142"/>
      <c r="K78" s="143"/>
      <c r="L78" s="254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8"/>
      <c r="E79" s="69"/>
      <c r="F79" s="137">
        <f t="shared" si="2"/>
        <v>0</v>
      </c>
      <c r="I79" s="141"/>
      <c r="J79" s="142"/>
      <c r="K79" s="143"/>
      <c r="L79" s="254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8"/>
      <c r="E80" s="69"/>
      <c r="F80" s="137">
        <f t="shared" si="2"/>
        <v>0</v>
      </c>
      <c r="I80" s="141"/>
      <c r="J80" s="142"/>
      <c r="K80" s="143"/>
      <c r="L80" s="254"/>
      <c r="M80" s="69"/>
      <c r="N80" s="137">
        <f t="shared" si="3"/>
        <v>0</v>
      </c>
    </row>
    <row r="81" spans="1:14" ht="15.75" hidden="1" x14ac:dyDescent="0.25">
      <c r="A81" s="141"/>
      <c r="B81" s="142"/>
      <c r="C81" s="143"/>
      <c r="D81" s="148"/>
      <c r="E81" s="69"/>
      <c r="F81" s="137">
        <f t="shared" si="2"/>
        <v>0</v>
      </c>
      <c r="I81" s="141"/>
      <c r="J81" s="142"/>
      <c r="K81" s="143"/>
      <c r="L81" s="254"/>
      <c r="M81" s="69"/>
      <c r="N81" s="137">
        <f t="shared" si="3"/>
        <v>0</v>
      </c>
    </row>
    <row r="82" spans="1:14" ht="15.75" hidden="1" x14ac:dyDescent="0.25">
      <c r="A82" s="141"/>
      <c r="B82" s="142"/>
      <c r="C82" s="143"/>
      <c r="D82" s="148"/>
      <c r="E82" s="69"/>
      <c r="F82" s="137">
        <f t="shared" si="2"/>
        <v>0</v>
      </c>
      <c r="I82" s="141"/>
      <c r="J82" s="142"/>
      <c r="K82" s="143"/>
      <c r="L82" s="254"/>
      <c r="M82" s="69"/>
      <c r="N82" s="137">
        <f t="shared" si="3"/>
        <v>0</v>
      </c>
    </row>
    <row r="83" spans="1:14" ht="15.75" hidden="1" x14ac:dyDescent="0.25">
      <c r="A83" s="141"/>
      <c r="B83" s="142"/>
      <c r="C83" s="143"/>
      <c r="D83" s="148"/>
      <c r="E83" s="69"/>
      <c r="F83" s="137">
        <f t="shared" si="2"/>
        <v>0</v>
      </c>
      <c r="I83" s="141"/>
      <c r="J83" s="142"/>
      <c r="K83" s="143"/>
      <c r="L83" s="254"/>
      <c r="M83" s="69"/>
      <c r="N83" s="137">
        <f t="shared" si="3"/>
        <v>0</v>
      </c>
    </row>
    <row r="84" spans="1:14" ht="15.75" hidden="1" x14ac:dyDescent="0.25">
      <c r="A84" s="141"/>
      <c r="B84" s="142"/>
      <c r="C84" s="143"/>
      <c r="D84" s="148"/>
      <c r="E84" s="69"/>
      <c r="F84" s="137">
        <f t="shared" si="2"/>
        <v>0</v>
      </c>
      <c r="I84" s="141"/>
      <c r="J84" s="142"/>
      <c r="K84" s="143"/>
      <c r="L84" s="254"/>
      <c r="M84" s="69"/>
      <c r="N84" s="137">
        <f t="shared" si="3"/>
        <v>0</v>
      </c>
    </row>
    <row r="85" spans="1:14" ht="16.5" hidden="1" thickBot="1" x14ac:dyDescent="0.3">
      <c r="A85" s="149"/>
      <c r="B85" s="210"/>
      <c r="C85" s="34">
        <v>0</v>
      </c>
      <c r="D85" s="152"/>
      <c r="E85" s="151"/>
      <c r="F85" s="137">
        <f t="shared" si="2"/>
        <v>0</v>
      </c>
      <c r="I85" s="149"/>
      <c r="J85" s="150"/>
      <c r="K85" s="151">
        <v>0</v>
      </c>
      <c r="L85" s="255"/>
      <c r="M85" s="151"/>
      <c r="N85" s="137">
        <f t="shared" si="3"/>
        <v>0</v>
      </c>
    </row>
    <row r="86" spans="1:14" ht="18.75" x14ac:dyDescent="0.3">
      <c r="B86" s="211"/>
      <c r="C86" s="212">
        <f>SUM(C3:C85)</f>
        <v>731783.74000000022</v>
      </c>
      <c r="D86" s="97"/>
      <c r="E86" s="1"/>
      <c r="F86" s="153">
        <f>F85</f>
        <v>0</v>
      </c>
      <c r="K86" s="209">
        <f>SUM(K3:K85)</f>
        <v>164725.34</v>
      </c>
      <c r="L86" s="256"/>
      <c r="M86" s="1"/>
      <c r="N86" s="153">
        <f>N85</f>
        <v>0</v>
      </c>
    </row>
    <row r="87" spans="1:14" ht="15.75" thickBot="1" x14ac:dyDescent="0.3">
      <c r="B87" s="213"/>
      <c r="C87" s="214"/>
      <c r="D87" s="97"/>
      <c r="E87" s="3"/>
      <c r="F87" s="571" t="s">
        <v>207</v>
      </c>
      <c r="K87" s="1"/>
      <c r="L87" s="256"/>
      <c r="M87" s="3"/>
      <c r="N87" s="1"/>
    </row>
    <row r="88" spans="1:14" x14ac:dyDescent="0.25">
      <c r="B88" s="98"/>
      <c r="C88" s="1"/>
      <c r="D88" s="97"/>
      <c r="E88" s="3"/>
      <c r="F88" s="572"/>
      <c r="K88" s="1"/>
      <c r="L88" s="256"/>
      <c r="M88" s="3"/>
      <c r="N88" s="1"/>
    </row>
    <row r="89" spans="1:14" x14ac:dyDescent="0.25">
      <c r="A89"/>
      <c r="B89" s="23"/>
      <c r="D89" s="23"/>
      <c r="I89"/>
      <c r="J89" s="194"/>
    </row>
    <row r="90" spans="1:14" x14ac:dyDescent="0.25">
      <c r="A90"/>
      <c r="B90" s="23"/>
      <c r="D90" s="23"/>
      <c r="I90"/>
      <c r="J90" s="194"/>
    </row>
    <row r="91" spans="1:14" x14ac:dyDescent="0.25">
      <c r="A91"/>
      <c r="B91" s="23"/>
      <c r="D91" s="23"/>
      <c r="I91"/>
      <c r="J91" s="194"/>
    </row>
    <row r="92" spans="1:14" x14ac:dyDescent="0.25">
      <c r="A92"/>
      <c r="B92" s="23"/>
      <c r="D92" s="23"/>
      <c r="F92"/>
      <c r="I92"/>
      <c r="J92" s="194"/>
      <c r="N92"/>
    </row>
    <row r="93" spans="1:14" x14ac:dyDescent="0.25">
      <c r="A93"/>
      <c r="B93" s="23"/>
      <c r="D93" s="23"/>
      <c r="F93"/>
      <c r="I93"/>
      <c r="J93" s="194"/>
      <c r="N93"/>
    </row>
    <row r="94" spans="1:14" x14ac:dyDescent="0.25">
      <c r="A94"/>
      <c r="B94" s="23"/>
      <c r="D94" s="23"/>
      <c r="F94"/>
      <c r="I94"/>
      <c r="J94" s="194"/>
      <c r="N94"/>
    </row>
    <row r="95" spans="1:14" x14ac:dyDescent="0.25">
      <c r="A95"/>
      <c r="B95" s="23"/>
      <c r="D95" s="23"/>
      <c r="F95"/>
      <c r="I95"/>
      <c r="J95" s="194"/>
      <c r="N95"/>
    </row>
    <row r="96" spans="1:14" x14ac:dyDescent="0.25">
      <c r="A96"/>
      <c r="B96" s="23"/>
      <c r="D96" s="23"/>
      <c r="F96"/>
      <c r="I96"/>
      <c r="J96" s="194"/>
      <c r="N96"/>
    </row>
    <row r="97" spans="1:14" x14ac:dyDescent="0.25">
      <c r="A97"/>
      <c r="B97" s="23"/>
      <c r="D97" s="23"/>
      <c r="F97"/>
      <c r="I97"/>
      <c r="J97" s="194"/>
      <c r="N97"/>
    </row>
    <row r="98" spans="1:14" x14ac:dyDescent="0.25">
      <c r="A98"/>
      <c r="B98" s="23"/>
      <c r="D98" s="23"/>
      <c r="F98"/>
      <c r="I98"/>
      <c r="J98" s="194"/>
      <c r="N98"/>
    </row>
    <row r="99" spans="1:14" x14ac:dyDescent="0.25">
      <c r="A99"/>
      <c r="B99" s="23"/>
      <c r="D99" s="23"/>
      <c r="F99"/>
      <c r="I99"/>
      <c r="J99" s="194"/>
      <c r="N99"/>
    </row>
    <row r="100" spans="1:14" x14ac:dyDescent="0.25">
      <c r="A100"/>
      <c r="B100" s="23"/>
      <c r="D100" s="23"/>
      <c r="F100"/>
      <c r="I100"/>
      <c r="J100" s="194"/>
      <c r="N100"/>
    </row>
    <row r="101" spans="1:14" x14ac:dyDescent="0.25">
      <c r="A101"/>
      <c r="B101" s="23"/>
      <c r="D101" s="23"/>
      <c r="E101"/>
      <c r="F101"/>
      <c r="I101"/>
      <c r="J101" s="194"/>
      <c r="M101"/>
      <c r="N101"/>
    </row>
    <row r="102" spans="1:14" x14ac:dyDescent="0.25">
      <c r="A102"/>
      <c r="B102" s="23"/>
      <c r="D102" s="23"/>
      <c r="E102"/>
      <c r="F102"/>
      <c r="I102"/>
      <c r="J102" s="194"/>
      <c r="M102"/>
      <c r="N102"/>
    </row>
    <row r="103" spans="1:14" x14ac:dyDescent="0.25">
      <c r="A103"/>
      <c r="B103" s="23"/>
      <c r="D103" s="23"/>
      <c r="E103"/>
      <c r="F103"/>
      <c r="I103"/>
      <c r="J103" s="194"/>
      <c r="M103"/>
      <c r="N103"/>
    </row>
    <row r="104" spans="1:14" x14ac:dyDescent="0.25">
      <c r="A104"/>
      <c r="B104" s="23"/>
      <c r="D104" s="23"/>
      <c r="E104"/>
      <c r="F104"/>
      <c r="I104"/>
      <c r="J104" s="194"/>
      <c r="M104"/>
      <c r="N104"/>
    </row>
    <row r="105" spans="1:14" x14ac:dyDescent="0.25">
      <c r="A105"/>
      <c r="B105" s="23"/>
      <c r="D105" s="23"/>
      <c r="E105"/>
      <c r="F105"/>
      <c r="I105"/>
      <c r="J105" s="194"/>
      <c r="M105"/>
      <c r="N105"/>
    </row>
    <row r="106" spans="1:14" x14ac:dyDescent="0.25">
      <c r="A106"/>
      <c r="B106" s="23"/>
      <c r="D106" s="23"/>
      <c r="E106"/>
      <c r="F106"/>
      <c r="I106"/>
      <c r="J106" s="194"/>
      <c r="M106"/>
      <c r="N106"/>
    </row>
    <row r="107" spans="1:14" x14ac:dyDescent="0.25">
      <c r="B107" s="23"/>
      <c r="D107" s="23"/>
      <c r="E107"/>
      <c r="J107" s="194"/>
      <c r="M107"/>
    </row>
    <row r="108" spans="1:14" x14ac:dyDescent="0.25">
      <c r="B108" s="23"/>
      <c r="D108" s="23"/>
      <c r="E108"/>
      <c r="J108" s="194"/>
      <c r="M108"/>
    </row>
    <row r="109" spans="1:14" x14ac:dyDescent="0.25">
      <c r="B109" s="23"/>
      <c r="D109" s="23"/>
      <c r="E109"/>
      <c r="J109" s="194"/>
      <c r="M109"/>
    </row>
    <row r="110" spans="1:14" x14ac:dyDescent="0.25">
      <c r="B110" s="23"/>
      <c r="D110" s="23"/>
      <c r="E110"/>
      <c r="J110" s="194"/>
      <c r="M110"/>
    </row>
    <row r="111" spans="1:14" x14ac:dyDescent="0.25">
      <c r="B111" s="23"/>
      <c r="D111" s="23"/>
      <c r="E111"/>
      <c r="J111" s="194"/>
      <c r="M111"/>
    </row>
    <row r="112" spans="1:14" x14ac:dyDescent="0.25">
      <c r="B112" s="23"/>
      <c r="D112" s="23"/>
      <c r="E112"/>
      <c r="J112" s="194"/>
      <c r="M112"/>
    </row>
    <row r="113" spans="2:13" x14ac:dyDescent="0.25">
      <c r="B113" s="23"/>
      <c r="D113" s="23"/>
      <c r="E113"/>
      <c r="J113" s="194"/>
      <c r="M113"/>
    </row>
    <row r="114" spans="2:13" x14ac:dyDescent="0.25">
      <c r="B114" s="23"/>
      <c r="D114" s="23"/>
      <c r="E114"/>
      <c r="J114" s="194"/>
      <c r="M114"/>
    </row>
    <row r="115" spans="2:13" x14ac:dyDescent="0.25">
      <c r="B115" s="23"/>
      <c r="D115" s="23"/>
      <c r="E115"/>
      <c r="J115" s="194"/>
      <c r="M115"/>
    </row>
    <row r="116" spans="2:13" x14ac:dyDescent="0.25">
      <c r="B116" s="23"/>
      <c r="J116" s="194"/>
    </row>
    <row r="117" spans="2:13" x14ac:dyDescent="0.25">
      <c r="B117" s="23"/>
      <c r="J117" s="194"/>
    </row>
    <row r="118" spans="2:13" x14ac:dyDescent="0.25">
      <c r="B118" s="23"/>
      <c r="D118" s="23"/>
      <c r="J118" s="194"/>
    </row>
    <row r="119" spans="2:13" x14ac:dyDescent="0.25">
      <c r="B119" s="23"/>
      <c r="J119" s="194"/>
    </row>
    <row r="120" spans="2:13" x14ac:dyDescent="0.25">
      <c r="B120" s="23"/>
      <c r="J120" s="194"/>
    </row>
    <row r="121" spans="2:13" x14ac:dyDescent="0.25">
      <c r="B121" s="23"/>
      <c r="J121" s="194"/>
    </row>
    <row r="122" spans="2:13" ht="18.75" x14ac:dyDescent="0.3">
      <c r="C122" s="154"/>
      <c r="K122" s="154"/>
    </row>
  </sheetData>
  <mergeCells count="1">
    <mergeCell ref="F87:F88"/>
  </mergeCells>
  <pageMargins left="0.70866141732283472" right="0.70866141732283472" top="0.35433070866141736" bottom="0.31496062992125984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00FF"/>
  </sheetPr>
  <dimension ref="A1:Z80"/>
  <sheetViews>
    <sheetView topLeftCell="A25" workbookViewId="0">
      <selection activeCell="E51" sqref="E5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3"/>
      <c r="C1" s="535" t="s">
        <v>208</v>
      </c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5" ht="16.5" thickBot="1" x14ac:dyDescent="0.3">
      <c r="B2" s="534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  <c r="P3" s="563" t="s">
        <v>6</v>
      </c>
      <c r="R3" s="573" t="s">
        <v>216</v>
      </c>
    </row>
    <row r="4" spans="1:25" ht="32.25" thickTop="1" thickBot="1" x14ac:dyDescent="0.35">
      <c r="A4" s="15" t="s">
        <v>1</v>
      </c>
      <c r="B4" s="16"/>
      <c r="C4" s="17">
        <v>567389.35</v>
      </c>
      <c r="D4" s="18">
        <v>44507</v>
      </c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64"/>
      <c r="Q4" s="322" t="s">
        <v>217</v>
      </c>
      <c r="R4" s="574"/>
      <c r="W4" s="546" t="s">
        <v>124</v>
      </c>
      <c r="X4" s="546"/>
      <c r="Y4" s="227"/>
    </row>
    <row r="5" spans="1:25" ht="18" thickBot="1" x14ac:dyDescent="0.35">
      <c r="A5" s="23" t="s">
        <v>7</v>
      </c>
      <c r="B5" s="24">
        <v>44536</v>
      </c>
      <c r="C5" s="25">
        <v>6888</v>
      </c>
      <c r="D5" s="26" t="s">
        <v>212</v>
      </c>
      <c r="E5" s="27">
        <v>44536</v>
      </c>
      <c r="F5" s="28">
        <v>68001</v>
      </c>
      <c r="G5" s="2"/>
      <c r="H5" s="29">
        <v>44536</v>
      </c>
      <c r="I5" s="30">
        <f>129.5+500</f>
        <v>629.5</v>
      </c>
      <c r="J5" s="37">
        <v>44536</v>
      </c>
      <c r="K5" s="31" t="s">
        <v>214</v>
      </c>
      <c r="L5" s="9">
        <f>1800+857.14</f>
        <v>2657.14</v>
      </c>
      <c r="M5" s="32">
        <v>21554.5</v>
      </c>
      <c r="N5" s="33">
        <v>36272</v>
      </c>
      <c r="O5" s="318"/>
      <c r="P5" s="34">
        <f>N5+M5+L5+I5+C5</f>
        <v>68001.14</v>
      </c>
      <c r="Q5" s="325">
        <f>P5-F5</f>
        <v>0.13999999999941792</v>
      </c>
      <c r="R5" s="323">
        <v>1146750</v>
      </c>
      <c r="S5" s="324" t="s">
        <v>213</v>
      </c>
      <c r="W5" s="546"/>
      <c r="X5" s="546"/>
      <c r="Y5" s="233"/>
    </row>
    <row r="6" spans="1:25" ht="18" thickBot="1" x14ac:dyDescent="0.35">
      <c r="A6" s="23"/>
      <c r="B6" s="24">
        <v>44537</v>
      </c>
      <c r="C6" s="25">
        <v>12491</v>
      </c>
      <c r="D6" s="35" t="s">
        <v>215</v>
      </c>
      <c r="E6" s="27">
        <v>44537</v>
      </c>
      <c r="F6" s="28">
        <v>71172</v>
      </c>
      <c r="G6" s="2"/>
      <c r="H6" s="36">
        <v>44537</v>
      </c>
      <c r="I6" s="30">
        <v>700</v>
      </c>
      <c r="J6" s="37"/>
      <c r="K6" s="38"/>
      <c r="L6" s="39"/>
      <c r="M6" s="32">
        <v>22408</v>
      </c>
      <c r="N6" s="33">
        <v>35573</v>
      </c>
      <c r="O6" s="2"/>
      <c r="P6" s="39">
        <f>N6+M6+L6+I6+C6</f>
        <v>71172</v>
      </c>
      <c r="Q6" s="325">
        <f>P6-F6</f>
        <v>0</v>
      </c>
      <c r="R6" s="319">
        <v>0</v>
      </c>
      <c r="S6" s="147"/>
      <c r="U6" s="326" t="s">
        <v>223</v>
      </c>
      <c r="W6" s="234">
        <v>0</v>
      </c>
      <c r="X6" s="237"/>
      <c r="Y6" s="13"/>
    </row>
    <row r="7" spans="1:25" ht="18" thickBot="1" x14ac:dyDescent="0.35">
      <c r="A7" s="23"/>
      <c r="B7" s="24">
        <v>44538</v>
      </c>
      <c r="C7" s="25">
        <v>36189.300000000003</v>
      </c>
      <c r="D7" s="40" t="s">
        <v>218</v>
      </c>
      <c r="E7" s="27">
        <v>44538</v>
      </c>
      <c r="F7" s="28">
        <v>54679</v>
      </c>
      <c r="G7" s="2"/>
      <c r="H7" s="36">
        <v>44538</v>
      </c>
      <c r="I7" s="30">
        <v>108</v>
      </c>
      <c r="J7" s="37"/>
      <c r="K7" s="38"/>
      <c r="L7" s="39"/>
      <c r="M7" s="32">
        <v>0</v>
      </c>
      <c r="N7" s="33">
        <v>18382</v>
      </c>
      <c r="O7" s="224"/>
      <c r="P7" s="39">
        <f t="shared" ref="P7:P32" si="0">N7+M7+L7+I7+C7</f>
        <v>54679.3</v>
      </c>
      <c r="Q7" s="317">
        <f t="shared" ref="Q7:Q35" si="1">P7-F7</f>
        <v>0.30000000000291038</v>
      </c>
      <c r="R7" s="319">
        <v>0</v>
      </c>
      <c r="S7" s="147"/>
      <c r="U7" s="327">
        <v>12941.5</v>
      </c>
      <c r="W7" s="234">
        <v>0</v>
      </c>
      <c r="X7" s="237"/>
      <c r="Y7" s="13"/>
    </row>
    <row r="8" spans="1:25" ht="18" thickBot="1" x14ac:dyDescent="0.35">
      <c r="A8" s="23"/>
      <c r="B8" s="24">
        <v>44539</v>
      </c>
      <c r="C8" s="25">
        <v>34279.21</v>
      </c>
      <c r="D8" s="42" t="s">
        <v>219</v>
      </c>
      <c r="E8" s="27">
        <v>44539</v>
      </c>
      <c r="F8" s="28">
        <v>73828</v>
      </c>
      <c r="G8" s="2"/>
      <c r="H8" s="36">
        <v>44539</v>
      </c>
      <c r="I8" s="30">
        <v>120</v>
      </c>
      <c r="J8" s="43"/>
      <c r="K8" s="38"/>
      <c r="L8" s="39"/>
      <c r="M8" s="32">
        <v>0</v>
      </c>
      <c r="N8" s="33">
        <v>39429</v>
      </c>
      <c r="O8" s="2"/>
      <c r="P8" s="39">
        <f t="shared" si="0"/>
        <v>73828.209999999992</v>
      </c>
      <c r="Q8" s="317">
        <f t="shared" si="1"/>
        <v>0.20999999999185093</v>
      </c>
      <c r="R8" s="319">
        <v>0</v>
      </c>
      <c r="S8" s="147"/>
      <c r="U8" s="327">
        <v>19442</v>
      </c>
      <c r="W8" s="234">
        <v>0</v>
      </c>
      <c r="X8" s="237"/>
      <c r="Y8" s="13"/>
    </row>
    <row r="9" spans="1:25" ht="18" thickBot="1" x14ac:dyDescent="0.35">
      <c r="A9" s="23"/>
      <c r="B9" s="24">
        <v>44540</v>
      </c>
      <c r="C9" s="25">
        <v>40355</v>
      </c>
      <c r="D9" s="42" t="s">
        <v>220</v>
      </c>
      <c r="E9" s="27">
        <v>44540</v>
      </c>
      <c r="F9" s="28">
        <v>66009</v>
      </c>
      <c r="G9" s="2"/>
      <c r="H9" s="36">
        <v>44540</v>
      </c>
      <c r="I9" s="30">
        <v>60</v>
      </c>
      <c r="J9" s="37"/>
      <c r="K9" s="223"/>
      <c r="L9" s="39"/>
      <c r="M9" s="32">
        <v>2970</v>
      </c>
      <c r="N9" s="33">
        <v>22624</v>
      </c>
      <c r="O9" s="2"/>
      <c r="P9" s="39">
        <f t="shared" ref="P9:P14" si="2">N9+M9+L9+I9+C9</f>
        <v>66009</v>
      </c>
      <c r="Q9" s="317">
        <f t="shared" si="1"/>
        <v>0</v>
      </c>
      <c r="R9" s="319">
        <v>0</v>
      </c>
      <c r="S9" s="147"/>
      <c r="U9" s="327">
        <v>36844</v>
      </c>
      <c r="W9" s="234">
        <v>0</v>
      </c>
      <c r="X9" s="238"/>
      <c r="Y9" s="13"/>
    </row>
    <row r="10" spans="1:25" ht="18" thickBot="1" x14ac:dyDescent="0.35">
      <c r="A10" s="23"/>
      <c r="B10" s="24">
        <v>44541</v>
      </c>
      <c r="C10" s="25">
        <v>29815.61</v>
      </c>
      <c r="D10" s="40" t="s">
        <v>221</v>
      </c>
      <c r="E10" s="27">
        <v>44541</v>
      </c>
      <c r="F10" s="28">
        <v>71913</v>
      </c>
      <c r="G10" s="2"/>
      <c r="H10" s="36">
        <v>44541</v>
      </c>
      <c r="I10" s="30">
        <v>3640</v>
      </c>
      <c r="J10" s="37"/>
      <c r="K10" s="167"/>
      <c r="L10" s="45"/>
      <c r="M10" s="32">
        <f>9785+2665</f>
        <v>12450</v>
      </c>
      <c r="N10" s="33">
        <v>26007</v>
      </c>
      <c r="O10" s="2"/>
      <c r="P10" s="39">
        <f t="shared" si="2"/>
        <v>71912.61</v>
      </c>
      <c r="Q10" s="317">
        <f t="shared" si="1"/>
        <v>-0.38999999999941792</v>
      </c>
      <c r="R10" s="319">
        <v>0</v>
      </c>
      <c r="S10" s="147"/>
      <c r="U10" s="327">
        <v>22942</v>
      </c>
      <c r="W10" s="234">
        <v>0</v>
      </c>
      <c r="X10" s="238"/>
      <c r="Y10" s="13"/>
    </row>
    <row r="11" spans="1:25" ht="18" thickBot="1" x14ac:dyDescent="0.35">
      <c r="A11" s="23"/>
      <c r="B11" s="24">
        <v>44542</v>
      </c>
      <c r="C11" s="25">
        <v>20722</v>
      </c>
      <c r="D11" s="35" t="s">
        <v>222</v>
      </c>
      <c r="E11" s="27">
        <v>44542</v>
      </c>
      <c r="F11" s="28">
        <v>52385</v>
      </c>
      <c r="G11" s="2"/>
      <c r="H11" s="36">
        <v>44542</v>
      </c>
      <c r="I11" s="30">
        <v>3991</v>
      </c>
      <c r="J11" s="43"/>
      <c r="K11" s="168"/>
      <c r="L11" s="39"/>
      <c r="M11" s="32">
        <v>9148</v>
      </c>
      <c r="N11" s="33">
        <v>18524</v>
      </c>
      <c r="O11" s="2"/>
      <c r="P11" s="39">
        <f t="shared" si="2"/>
        <v>52385</v>
      </c>
      <c r="Q11" s="317">
        <f t="shared" si="1"/>
        <v>0</v>
      </c>
      <c r="R11" s="319">
        <v>0</v>
      </c>
      <c r="S11" s="147"/>
      <c r="U11" s="327">
        <v>15322.5</v>
      </c>
      <c r="W11" s="234">
        <v>0</v>
      </c>
      <c r="X11" s="237"/>
      <c r="Y11" s="13"/>
    </row>
    <row r="12" spans="1:25" ht="18" thickBot="1" x14ac:dyDescent="0.35">
      <c r="A12" s="23"/>
      <c r="B12" s="24">
        <v>44543</v>
      </c>
      <c r="C12" s="25">
        <v>7052</v>
      </c>
      <c r="D12" s="35" t="s">
        <v>224</v>
      </c>
      <c r="E12" s="27">
        <v>44543</v>
      </c>
      <c r="F12" s="28">
        <v>69062</v>
      </c>
      <c r="G12" s="2"/>
      <c r="H12" s="36">
        <v>44543</v>
      </c>
      <c r="I12" s="30">
        <v>0</v>
      </c>
      <c r="J12" s="37"/>
      <c r="K12" s="169"/>
      <c r="L12" s="39"/>
      <c r="M12" s="32">
        <f>31028+1388</f>
        <v>32416</v>
      </c>
      <c r="N12" s="33">
        <v>29594</v>
      </c>
      <c r="O12" s="328" t="s">
        <v>225</v>
      </c>
      <c r="P12" s="39">
        <f t="shared" si="2"/>
        <v>69062</v>
      </c>
      <c r="Q12" s="317">
        <f t="shared" si="1"/>
        <v>0</v>
      </c>
      <c r="R12" s="319">
        <v>0</v>
      </c>
      <c r="S12" s="147"/>
      <c r="U12" s="1">
        <f>SUM(U7:U11)</f>
        <v>107492</v>
      </c>
      <c r="W12" s="234">
        <v>0</v>
      </c>
      <c r="X12" s="237"/>
      <c r="Y12" s="13"/>
    </row>
    <row r="13" spans="1:25" ht="18" thickBot="1" x14ac:dyDescent="0.35">
      <c r="A13" s="23"/>
      <c r="B13" s="24">
        <v>44544</v>
      </c>
      <c r="C13" s="25">
        <v>27597.5</v>
      </c>
      <c r="D13" s="42" t="s">
        <v>226</v>
      </c>
      <c r="E13" s="27">
        <v>44544</v>
      </c>
      <c r="F13" s="28">
        <v>77884</v>
      </c>
      <c r="G13" s="2"/>
      <c r="H13" s="36">
        <v>44544</v>
      </c>
      <c r="I13" s="30">
        <v>1334</v>
      </c>
      <c r="J13" s="37"/>
      <c r="K13" s="38"/>
      <c r="L13" s="39"/>
      <c r="M13" s="32">
        <f>933+12801.5</f>
        <v>13734.5</v>
      </c>
      <c r="N13" s="33">
        <v>35218</v>
      </c>
      <c r="O13" s="2"/>
      <c r="P13" s="39">
        <f t="shared" si="2"/>
        <v>77884</v>
      </c>
      <c r="Q13" s="317">
        <f t="shared" si="1"/>
        <v>0</v>
      </c>
      <c r="R13" s="319">
        <v>0</v>
      </c>
      <c r="S13" s="316"/>
      <c r="T13" s="2"/>
      <c r="U13" s="9"/>
      <c r="W13" s="234">
        <v>0</v>
      </c>
      <c r="X13" s="237"/>
      <c r="Y13" s="13"/>
    </row>
    <row r="14" spans="1:25" ht="18" thickBot="1" x14ac:dyDescent="0.35">
      <c r="A14" s="23"/>
      <c r="B14" s="24">
        <v>44545</v>
      </c>
      <c r="C14" s="25">
        <v>13752</v>
      </c>
      <c r="D14" s="40" t="s">
        <v>227</v>
      </c>
      <c r="E14" s="27">
        <v>44545</v>
      </c>
      <c r="F14" s="28">
        <v>91827</v>
      </c>
      <c r="G14" s="2"/>
      <c r="H14" s="36">
        <v>44545</v>
      </c>
      <c r="I14" s="30">
        <v>1641</v>
      </c>
      <c r="J14" s="37"/>
      <c r="K14" s="38"/>
      <c r="L14" s="39"/>
      <c r="M14" s="32">
        <f>55316+466.8+1331</f>
        <v>57113.8</v>
      </c>
      <c r="N14" s="33">
        <v>19320</v>
      </c>
      <c r="O14" s="2"/>
      <c r="P14" s="39">
        <f t="shared" si="2"/>
        <v>91826.8</v>
      </c>
      <c r="Q14" s="317">
        <f t="shared" si="1"/>
        <v>-0.19999999999708962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44546</v>
      </c>
      <c r="C15" s="25">
        <v>15710</v>
      </c>
      <c r="D15" s="40" t="s">
        <v>228</v>
      </c>
      <c r="E15" s="27">
        <v>44546</v>
      </c>
      <c r="F15" s="28">
        <v>93120</v>
      </c>
      <c r="G15" s="2"/>
      <c r="H15" s="36">
        <v>44546</v>
      </c>
      <c r="I15" s="30">
        <v>75</v>
      </c>
      <c r="J15" s="37"/>
      <c r="K15" s="38"/>
      <c r="L15" s="39"/>
      <c r="M15" s="32">
        <f>33682+1408</f>
        <v>35090</v>
      </c>
      <c r="N15" s="33">
        <v>42245</v>
      </c>
      <c r="P15" s="39">
        <f t="shared" si="0"/>
        <v>93120</v>
      </c>
      <c r="Q15" s="317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44547</v>
      </c>
      <c r="C16" s="25">
        <v>2467</v>
      </c>
      <c r="D16" s="35" t="s">
        <v>112</v>
      </c>
      <c r="E16" s="27">
        <v>44547</v>
      </c>
      <c r="F16" s="28">
        <v>93493</v>
      </c>
      <c r="G16" s="2"/>
      <c r="H16" s="36">
        <v>44547</v>
      </c>
      <c r="I16" s="30">
        <v>240</v>
      </c>
      <c r="J16" s="37"/>
      <c r="K16" s="169"/>
      <c r="L16" s="9"/>
      <c r="M16" s="32">
        <f>58263+49100</f>
        <v>107363</v>
      </c>
      <c r="N16" s="33">
        <v>32373</v>
      </c>
      <c r="O16" s="330" t="s">
        <v>229</v>
      </c>
      <c r="P16" s="39">
        <f t="shared" si="0"/>
        <v>142443</v>
      </c>
      <c r="Q16" s="317">
        <f>P16-F16-49100</f>
        <v>-150</v>
      </c>
      <c r="R16" s="329">
        <v>49100</v>
      </c>
      <c r="S16" s="331" t="s">
        <v>229</v>
      </c>
      <c r="W16" s="234">
        <v>0</v>
      </c>
      <c r="X16" s="239"/>
      <c r="Y16" s="233"/>
    </row>
    <row r="17" spans="1:26" ht="18" thickBot="1" x14ac:dyDescent="0.35">
      <c r="A17" s="23"/>
      <c r="B17" s="24">
        <v>44548</v>
      </c>
      <c r="C17" s="25">
        <v>14695</v>
      </c>
      <c r="D17" s="42" t="s">
        <v>230</v>
      </c>
      <c r="E17" s="27">
        <v>44548</v>
      </c>
      <c r="F17" s="28">
        <v>82984</v>
      </c>
      <c r="G17" s="2"/>
      <c r="H17" s="36">
        <v>44548</v>
      </c>
      <c r="I17" s="30">
        <v>1922</v>
      </c>
      <c r="J17" s="37"/>
      <c r="K17" s="38"/>
      <c r="L17" s="45"/>
      <c r="M17" s="32">
        <f>12045+14230.5</f>
        <v>26275.5</v>
      </c>
      <c r="N17" s="33">
        <v>43377</v>
      </c>
      <c r="P17" s="39">
        <f>N17+M17+L17+I17+C17-3135</f>
        <v>83134.5</v>
      </c>
      <c r="Q17" s="325">
        <f t="shared" si="1"/>
        <v>150.5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44549</v>
      </c>
      <c r="C18" s="25">
        <v>0</v>
      </c>
      <c r="D18" s="35"/>
      <c r="E18" s="27">
        <v>44549</v>
      </c>
      <c r="F18" s="28">
        <v>57841</v>
      </c>
      <c r="G18" s="2"/>
      <c r="H18" s="36">
        <v>44549</v>
      </c>
      <c r="I18" s="30">
        <v>232</v>
      </c>
      <c r="J18" s="37"/>
      <c r="K18" s="170"/>
      <c r="L18" s="39"/>
      <c r="M18" s="32">
        <f>6150+36721</f>
        <v>42871</v>
      </c>
      <c r="N18" s="33">
        <v>14738</v>
      </c>
      <c r="P18" s="39">
        <f t="shared" si="0"/>
        <v>57841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44550</v>
      </c>
      <c r="C19" s="25">
        <v>52603.5</v>
      </c>
      <c r="D19" s="35" t="s">
        <v>231</v>
      </c>
      <c r="E19" s="27">
        <v>44550</v>
      </c>
      <c r="F19" s="28">
        <v>108528</v>
      </c>
      <c r="G19" s="2"/>
      <c r="H19" s="36">
        <v>44550</v>
      </c>
      <c r="I19" s="30">
        <v>456</v>
      </c>
      <c r="J19" s="37"/>
      <c r="K19" s="46"/>
      <c r="L19" s="47"/>
      <c r="M19" s="32">
        <v>0</v>
      </c>
      <c r="N19" s="33">
        <v>54867</v>
      </c>
      <c r="P19" s="39">
        <f t="shared" si="0"/>
        <v>107926.5</v>
      </c>
      <c r="Q19" s="317">
        <f t="shared" si="1"/>
        <v>-601.5</v>
      </c>
      <c r="R19" s="319">
        <v>0</v>
      </c>
      <c r="S19" s="147"/>
      <c r="W19" s="550">
        <f>SUM(W6:W18)</f>
        <v>0</v>
      </c>
      <c r="X19" s="240"/>
      <c r="Y19" s="233"/>
    </row>
    <row r="20" spans="1:26" ht="18" thickBot="1" x14ac:dyDescent="0.35">
      <c r="A20" s="23"/>
      <c r="B20" s="24">
        <v>44551</v>
      </c>
      <c r="C20" s="25">
        <v>4940</v>
      </c>
      <c r="D20" s="35" t="s">
        <v>232</v>
      </c>
      <c r="E20" s="27">
        <v>44551</v>
      </c>
      <c r="F20" s="28">
        <v>142911</v>
      </c>
      <c r="G20" s="2"/>
      <c r="H20" s="36">
        <v>44551</v>
      </c>
      <c r="I20" s="30">
        <v>370</v>
      </c>
      <c r="J20" s="37"/>
      <c r="K20" s="171"/>
      <c r="L20" s="45"/>
      <c r="M20" s="32">
        <v>82166</v>
      </c>
      <c r="N20" s="33">
        <v>55435</v>
      </c>
      <c r="P20" s="39">
        <f t="shared" si="0"/>
        <v>142911</v>
      </c>
      <c r="Q20" s="317">
        <f t="shared" si="1"/>
        <v>0</v>
      </c>
      <c r="R20" s="319">
        <v>0</v>
      </c>
      <c r="S20" s="147"/>
      <c r="W20" s="551"/>
      <c r="X20" s="268"/>
      <c r="Y20" s="233"/>
    </row>
    <row r="21" spans="1:26" ht="18" thickBot="1" x14ac:dyDescent="0.35">
      <c r="A21" s="23"/>
      <c r="B21" s="24">
        <v>44552</v>
      </c>
      <c r="C21" s="25">
        <v>20775.5</v>
      </c>
      <c r="D21" s="35" t="s">
        <v>233</v>
      </c>
      <c r="E21" s="27">
        <v>44552</v>
      </c>
      <c r="F21" s="28">
        <v>155180</v>
      </c>
      <c r="G21" s="2"/>
      <c r="H21" s="36">
        <v>44552</v>
      </c>
      <c r="I21" s="30">
        <v>0</v>
      </c>
      <c r="J21" s="37"/>
      <c r="K21" s="48"/>
      <c r="L21" s="45"/>
      <c r="M21" s="32">
        <v>89691.5</v>
      </c>
      <c r="N21" s="33">
        <v>44713</v>
      </c>
      <c r="P21" s="39">
        <f t="shared" si="0"/>
        <v>155180</v>
      </c>
      <c r="Q21" s="317">
        <f t="shared" si="1"/>
        <v>0</v>
      </c>
      <c r="R21" s="319">
        <v>0</v>
      </c>
      <c r="S21" s="147"/>
      <c r="W21" s="552"/>
      <c r="X21" s="552"/>
      <c r="Y21" s="233"/>
      <c r="Z21" s="128"/>
    </row>
    <row r="22" spans="1:26" ht="18" thickBot="1" x14ac:dyDescent="0.35">
      <c r="A22" s="23"/>
      <c r="B22" s="24">
        <v>44553</v>
      </c>
      <c r="C22" s="25">
        <v>8716.5</v>
      </c>
      <c r="D22" s="35" t="s">
        <v>234</v>
      </c>
      <c r="E22" s="27">
        <v>44553</v>
      </c>
      <c r="F22" s="28">
        <v>213653</v>
      </c>
      <c r="G22" s="2"/>
      <c r="H22" s="36">
        <v>44553</v>
      </c>
      <c r="I22" s="30">
        <v>75</v>
      </c>
      <c r="J22" s="37"/>
      <c r="K22" s="31"/>
      <c r="L22" s="49"/>
      <c r="M22" s="32">
        <f>128519.5+3120</f>
        <v>131639.5</v>
      </c>
      <c r="N22" s="33">
        <v>73222</v>
      </c>
      <c r="P22" s="39">
        <f t="shared" si="0"/>
        <v>213653</v>
      </c>
      <c r="Q22" s="317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44554</v>
      </c>
      <c r="C23" s="25">
        <v>5940</v>
      </c>
      <c r="D23" s="35" t="s">
        <v>235</v>
      </c>
      <c r="E23" s="27">
        <v>44554</v>
      </c>
      <c r="F23" s="28">
        <v>86805</v>
      </c>
      <c r="G23" s="2"/>
      <c r="H23" s="36">
        <v>44554</v>
      </c>
      <c r="I23" s="30">
        <v>4912</v>
      </c>
      <c r="J23" s="50"/>
      <c r="K23" s="172"/>
      <c r="L23" s="45"/>
      <c r="M23" s="32">
        <f>14230.5+40060.5</f>
        <v>54291</v>
      </c>
      <c r="N23" s="33">
        <v>21662</v>
      </c>
      <c r="P23" s="39">
        <f t="shared" si="0"/>
        <v>86805</v>
      </c>
      <c r="Q23" s="317">
        <f t="shared" si="1"/>
        <v>0</v>
      </c>
      <c r="R23" s="319">
        <v>0</v>
      </c>
      <c r="S23" s="147"/>
      <c r="W23" s="553"/>
      <c r="X23" s="553"/>
      <c r="Y23" s="233"/>
      <c r="Z23" s="128"/>
    </row>
    <row r="24" spans="1:26" ht="18" thickBot="1" x14ac:dyDescent="0.35">
      <c r="A24" s="23"/>
      <c r="B24" s="24">
        <v>44555</v>
      </c>
      <c r="C24" s="161">
        <v>0</v>
      </c>
      <c r="D24" s="332" t="s">
        <v>236</v>
      </c>
      <c r="E24" s="27">
        <v>44555</v>
      </c>
      <c r="F24" s="159">
        <v>0</v>
      </c>
      <c r="G24" s="2"/>
      <c r="H24" s="36">
        <v>44555</v>
      </c>
      <c r="I24" s="160">
        <v>0</v>
      </c>
      <c r="J24" s="333" t="s">
        <v>236</v>
      </c>
      <c r="K24" s="173"/>
      <c r="L24" s="52"/>
      <c r="M24" s="334">
        <v>0</v>
      </c>
      <c r="N24" s="335">
        <v>0</v>
      </c>
      <c r="P24" s="39">
        <f t="shared" si="0"/>
        <v>0</v>
      </c>
      <c r="Q24" s="317">
        <f t="shared" si="1"/>
        <v>0</v>
      </c>
      <c r="R24" s="319">
        <v>0</v>
      </c>
      <c r="S24" s="147"/>
      <c r="W24" s="553"/>
      <c r="X24" s="553"/>
      <c r="Y24" s="233"/>
      <c r="Z24" s="128"/>
    </row>
    <row r="25" spans="1:26" ht="19.5" thickBot="1" x14ac:dyDescent="0.35">
      <c r="A25" s="23"/>
      <c r="B25" s="24">
        <v>44556</v>
      </c>
      <c r="C25" s="25">
        <v>0</v>
      </c>
      <c r="D25" s="35"/>
      <c r="E25" s="27">
        <v>44556</v>
      </c>
      <c r="F25" s="28">
        <v>27315</v>
      </c>
      <c r="G25" s="2"/>
      <c r="H25" s="36">
        <v>44556</v>
      </c>
      <c r="I25" s="30">
        <v>90</v>
      </c>
      <c r="J25" s="53"/>
      <c r="K25" s="38"/>
      <c r="L25" s="54"/>
      <c r="M25" s="32">
        <v>16314</v>
      </c>
      <c r="N25" s="33">
        <v>10911</v>
      </c>
      <c r="P25" s="283">
        <f t="shared" si="0"/>
        <v>27315</v>
      </c>
      <c r="Q25" s="317">
        <f t="shared" si="1"/>
        <v>0</v>
      </c>
      <c r="R25" s="319">
        <v>0</v>
      </c>
      <c r="W25" s="554"/>
      <c r="X25" s="554"/>
      <c r="Y25" s="233"/>
      <c r="Z25" s="128"/>
    </row>
    <row r="26" spans="1:26" ht="19.5" thickBot="1" x14ac:dyDescent="0.35">
      <c r="A26" s="23"/>
      <c r="B26" s="24">
        <v>44557</v>
      </c>
      <c r="C26" s="25">
        <v>2700</v>
      </c>
      <c r="D26" s="35" t="s">
        <v>237</v>
      </c>
      <c r="E26" s="27">
        <v>44557</v>
      </c>
      <c r="F26" s="28">
        <v>61027</v>
      </c>
      <c r="G26" s="2"/>
      <c r="H26" s="36">
        <v>44557</v>
      </c>
      <c r="I26" s="30">
        <v>500</v>
      </c>
      <c r="J26" s="37"/>
      <c r="K26" s="173"/>
      <c r="L26" s="45"/>
      <c r="M26" s="32">
        <v>36875</v>
      </c>
      <c r="N26" s="33">
        <v>20952</v>
      </c>
      <c r="P26" s="284">
        <f t="shared" si="0"/>
        <v>61027</v>
      </c>
      <c r="Q26" s="317">
        <f t="shared" si="1"/>
        <v>0</v>
      </c>
      <c r="R26" s="319">
        <v>0</v>
      </c>
      <c r="W26" s="554"/>
      <c r="X26" s="554"/>
      <c r="Y26" s="233"/>
      <c r="Z26" s="128"/>
    </row>
    <row r="27" spans="1:26" ht="18" thickBot="1" x14ac:dyDescent="0.35">
      <c r="A27" s="23"/>
      <c r="B27" s="24">
        <v>44558</v>
      </c>
      <c r="C27" s="25">
        <v>11676</v>
      </c>
      <c r="D27" s="42" t="s">
        <v>238</v>
      </c>
      <c r="E27" s="27">
        <v>44558</v>
      </c>
      <c r="F27" s="28">
        <v>84044</v>
      </c>
      <c r="G27" s="2"/>
      <c r="H27" s="36">
        <v>44558</v>
      </c>
      <c r="I27" s="30">
        <v>4008</v>
      </c>
      <c r="J27" s="55">
        <v>44558</v>
      </c>
      <c r="K27" s="174" t="s">
        <v>239</v>
      </c>
      <c r="L27" s="54">
        <v>24500</v>
      </c>
      <c r="M27" s="32">
        <v>0</v>
      </c>
      <c r="N27" s="33">
        <v>43860</v>
      </c>
      <c r="P27" s="39">
        <f t="shared" si="0"/>
        <v>84044</v>
      </c>
      <c r="Q27" s="317">
        <f t="shared" si="1"/>
        <v>0</v>
      </c>
      <c r="R27" s="319">
        <v>0</v>
      </c>
      <c r="U27" s="1">
        <v>4102</v>
      </c>
      <c r="V27" t="s">
        <v>240</v>
      </c>
      <c r="W27" s="547"/>
      <c r="X27" s="548"/>
      <c r="Y27" s="549"/>
      <c r="Z27" s="128"/>
    </row>
    <row r="28" spans="1:26" ht="18" thickBot="1" x14ac:dyDescent="0.35">
      <c r="A28" s="23"/>
      <c r="B28" s="24">
        <v>44559</v>
      </c>
      <c r="C28" s="25">
        <v>16027</v>
      </c>
      <c r="D28" s="42" t="s">
        <v>241</v>
      </c>
      <c r="E28" s="27">
        <v>44559</v>
      </c>
      <c r="F28" s="28">
        <v>131821</v>
      </c>
      <c r="G28" s="2"/>
      <c r="H28" s="36">
        <v>44559</v>
      </c>
      <c r="I28" s="30">
        <v>108</v>
      </c>
      <c r="J28" s="56"/>
      <c r="K28" s="57"/>
      <c r="L28" s="54"/>
      <c r="M28" s="32">
        <f>5253+45500</f>
        <v>50753</v>
      </c>
      <c r="N28" s="33">
        <v>64936</v>
      </c>
      <c r="P28" s="34">
        <f t="shared" si="0"/>
        <v>131824</v>
      </c>
      <c r="Q28" s="337">
        <f t="shared" si="1"/>
        <v>3</v>
      </c>
      <c r="R28" s="319">
        <v>0</v>
      </c>
      <c r="U28" s="1">
        <v>60</v>
      </c>
      <c r="V28" t="s">
        <v>240</v>
      </c>
      <c r="W28" s="548"/>
      <c r="X28" s="548"/>
      <c r="Y28" s="549"/>
      <c r="Z28" s="128"/>
    </row>
    <row r="29" spans="1:26" ht="18" thickBot="1" x14ac:dyDescent="0.35">
      <c r="A29" s="23"/>
      <c r="B29" s="24">
        <v>44560</v>
      </c>
      <c r="C29" s="25">
        <v>3756</v>
      </c>
      <c r="D29" s="58" t="s">
        <v>242</v>
      </c>
      <c r="E29" s="27">
        <v>44560</v>
      </c>
      <c r="F29" s="28">
        <v>214178</v>
      </c>
      <c r="G29" s="2"/>
      <c r="H29" s="36">
        <v>44560</v>
      </c>
      <c r="I29" s="30">
        <v>0</v>
      </c>
      <c r="J29" s="59"/>
      <c r="K29" s="175"/>
      <c r="L29" s="54"/>
      <c r="M29" s="32">
        <f>126122+5824</f>
        <v>131946</v>
      </c>
      <c r="N29" s="33">
        <v>78476</v>
      </c>
      <c r="P29" s="34">
        <f t="shared" si="0"/>
        <v>214178</v>
      </c>
      <c r="Q29" s="317">
        <f t="shared" si="1"/>
        <v>0</v>
      </c>
      <c r="R29" s="319">
        <v>0</v>
      </c>
      <c r="U29" s="336">
        <v>3499</v>
      </c>
      <c r="V29" t="s">
        <v>240</v>
      </c>
      <c r="W29" s="128"/>
      <c r="X29" s="310"/>
      <c r="Y29" s="311"/>
      <c r="Z29" s="128"/>
    </row>
    <row r="30" spans="1:26" ht="18" thickBot="1" x14ac:dyDescent="0.35">
      <c r="A30" s="23"/>
      <c r="B30" s="24">
        <v>44561</v>
      </c>
      <c r="C30" s="25">
        <v>5781</v>
      </c>
      <c r="D30" s="58" t="s">
        <v>244</v>
      </c>
      <c r="E30" s="27">
        <v>44561</v>
      </c>
      <c r="F30" s="28">
        <v>152930</v>
      </c>
      <c r="G30" s="2"/>
      <c r="H30" s="36">
        <v>44561</v>
      </c>
      <c r="I30" s="30">
        <v>5837</v>
      </c>
      <c r="J30" s="60">
        <v>44561</v>
      </c>
      <c r="K30" s="41" t="s">
        <v>245</v>
      </c>
      <c r="L30" s="61">
        <v>14230</v>
      </c>
      <c r="M30" s="32">
        <f>62000+6968</f>
        <v>68968</v>
      </c>
      <c r="N30" s="33">
        <v>44449</v>
      </c>
      <c r="O30">
        <v>0</v>
      </c>
      <c r="P30" s="34">
        <f t="shared" si="0"/>
        <v>139265</v>
      </c>
      <c r="Q30" s="385">
        <f t="shared" si="1"/>
        <v>-13665</v>
      </c>
      <c r="R30" s="320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44562</v>
      </c>
      <c r="C31" s="161">
        <v>0</v>
      </c>
      <c r="D31" s="344" t="s">
        <v>236</v>
      </c>
      <c r="E31" s="338">
        <v>44562</v>
      </c>
      <c r="F31" s="345">
        <v>0</v>
      </c>
      <c r="G31" s="339"/>
      <c r="H31" s="340">
        <v>44562</v>
      </c>
      <c r="I31" s="346">
        <v>0</v>
      </c>
      <c r="J31" s="341" t="s">
        <v>236</v>
      </c>
      <c r="K31" s="342"/>
      <c r="L31" s="343"/>
      <c r="M31" s="334">
        <v>0</v>
      </c>
      <c r="N31" s="335">
        <v>0</v>
      </c>
      <c r="P31" s="34">
        <f t="shared" si="0"/>
        <v>0</v>
      </c>
      <c r="Q31" s="287">
        <f t="shared" si="1"/>
        <v>0</v>
      </c>
      <c r="R31" s="321"/>
    </row>
    <row r="32" spans="1:26" ht="18" thickBot="1" x14ac:dyDescent="0.35">
      <c r="A32" s="23"/>
      <c r="B32" s="24">
        <v>44563</v>
      </c>
      <c r="C32" s="25">
        <v>269</v>
      </c>
      <c r="D32" s="64" t="s">
        <v>243</v>
      </c>
      <c r="E32" s="27">
        <v>44563</v>
      </c>
      <c r="F32" s="28">
        <v>41325</v>
      </c>
      <c r="G32" s="2"/>
      <c r="H32" s="36">
        <v>44563</v>
      </c>
      <c r="I32" s="30">
        <v>64</v>
      </c>
      <c r="J32" s="60"/>
      <c r="K32" s="41"/>
      <c r="L32" s="61"/>
      <c r="M32" s="32">
        <f>8736+23017</f>
        <v>31753</v>
      </c>
      <c r="N32" s="33">
        <v>9239</v>
      </c>
      <c r="P32" s="34">
        <f t="shared" si="0"/>
        <v>41325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246</v>
      </c>
      <c r="K33" s="247" t="s">
        <v>245</v>
      </c>
      <c r="L33" s="66">
        <v>18251.11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44540</v>
      </c>
      <c r="C34" s="25">
        <v>218111.1</v>
      </c>
      <c r="D34" s="64" t="s">
        <v>315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/>
      <c r="K36" s="250"/>
      <c r="L36" s="44"/>
      <c r="M36" s="565">
        <f>SUM(M5:M35)</f>
        <v>1077791.3</v>
      </c>
      <c r="N36" s="567">
        <f>SUM(N5:N35)</f>
        <v>936398</v>
      </c>
      <c r="O36" s="276"/>
      <c r="P36" s="277">
        <v>0</v>
      </c>
      <c r="Q36" s="569">
        <f>SUM(Q5:Q35)</f>
        <v>-14262.940000000002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/>
      <c r="K37" s="41"/>
      <c r="L37" s="61"/>
      <c r="M37" s="566"/>
      <c r="N37" s="568"/>
      <c r="O37" s="276"/>
      <c r="P37" s="277">
        <v>0</v>
      </c>
      <c r="Q37" s="570"/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2478752.06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613309.22</v>
      </c>
      <c r="D50" s="88"/>
      <c r="E50" s="89" t="s">
        <v>8</v>
      </c>
      <c r="F50" s="90">
        <f>SUM(F5:F49)</f>
        <v>2443915</v>
      </c>
      <c r="G50" s="88"/>
      <c r="H50" s="91" t="s">
        <v>9</v>
      </c>
      <c r="I50" s="92">
        <f>SUM(I5:I49)</f>
        <v>31112.5</v>
      </c>
      <c r="J50" s="93"/>
      <c r="K50" s="94" t="s">
        <v>10</v>
      </c>
      <c r="L50" s="95">
        <f>SUM(L5:L49)</f>
        <v>59638.25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0" t="s">
        <v>11</v>
      </c>
      <c r="I52" s="521"/>
      <c r="J52" s="100"/>
      <c r="K52" s="522">
        <f>I50+L50</f>
        <v>90750.75</v>
      </c>
      <c r="L52" s="555"/>
      <c r="M52" s="272"/>
      <c r="N52" s="272"/>
      <c r="P52" s="34"/>
      <c r="Q52" s="13"/>
    </row>
    <row r="53" spans="1:17" ht="16.5" thickBot="1" x14ac:dyDescent="0.3">
      <c r="D53" s="526" t="s">
        <v>12</v>
      </c>
      <c r="E53" s="526"/>
      <c r="F53" s="312">
        <f>F50-K52-C50</f>
        <v>1739855.03</v>
      </c>
      <c r="I53" s="102"/>
      <c r="J53" s="103"/>
    </row>
    <row r="54" spans="1:17" ht="18.75" x14ac:dyDescent="0.3">
      <c r="D54" s="556" t="s">
        <v>95</v>
      </c>
      <c r="E54" s="556"/>
      <c r="F54" s="111">
        <v>-1567070.66</v>
      </c>
      <c r="I54" s="527" t="s">
        <v>13</v>
      </c>
      <c r="J54" s="528"/>
      <c r="K54" s="529">
        <f>F56+F57+F58</f>
        <v>703192.8600000001</v>
      </c>
      <c r="L54" s="529"/>
      <c r="M54" s="557" t="s">
        <v>211</v>
      </c>
      <c r="N54" s="558"/>
      <c r="O54" s="558"/>
      <c r="P54" s="558"/>
      <c r="Q54" s="559"/>
    </row>
    <row r="55" spans="1:17" ht="19.5" thickBot="1" x14ac:dyDescent="0.35">
      <c r="D55" s="313" t="s">
        <v>94</v>
      </c>
      <c r="E55" s="314"/>
      <c r="F55" s="315">
        <v>-590104.74</v>
      </c>
      <c r="I55" s="105"/>
      <c r="J55" s="106"/>
      <c r="K55" s="178"/>
      <c r="L55" s="107"/>
      <c r="M55" s="560"/>
      <c r="N55" s="561"/>
      <c r="O55" s="561"/>
      <c r="P55" s="561"/>
      <c r="Q55" s="562"/>
    </row>
    <row r="56" spans="1:17" ht="19.5" thickTop="1" x14ac:dyDescent="0.3">
      <c r="C56" s="4" t="s">
        <v>7</v>
      </c>
      <c r="E56" s="98" t="s">
        <v>14</v>
      </c>
      <c r="F56" s="96">
        <f>SUM(F53:F55)</f>
        <v>-417320.36999999988</v>
      </c>
      <c r="H56" s="23"/>
      <c r="I56" s="108" t="s">
        <v>15</v>
      </c>
      <c r="J56" s="109"/>
      <c r="K56" s="531">
        <f>-C4</f>
        <v>-567389.35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366370</v>
      </c>
    </row>
    <row r="58" spans="1:17" ht="20.25" thickTop="1" thickBot="1" x14ac:dyDescent="0.35">
      <c r="C58" s="112">
        <v>44563</v>
      </c>
      <c r="D58" s="509" t="s">
        <v>18</v>
      </c>
      <c r="E58" s="510"/>
      <c r="F58" s="113">
        <v>754143.23</v>
      </c>
      <c r="I58" s="511" t="s">
        <v>198</v>
      </c>
      <c r="J58" s="512"/>
      <c r="K58" s="513">
        <f>K54+K56</f>
        <v>135803.51000000013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B1:B2"/>
    <mergeCell ref="C1:M1"/>
    <mergeCell ref="B3:C3"/>
    <mergeCell ref="H3:I3"/>
    <mergeCell ref="P3:P4"/>
    <mergeCell ref="E4:F4"/>
    <mergeCell ref="H4:I4"/>
    <mergeCell ref="H52:I52"/>
    <mergeCell ref="K52:L52"/>
    <mergeCell ref="W4:X5"/>
    <mergeCell ref="W19:W20"/>
    <mergeCell ref="W21:X21"/>
    <mergeCell ref="W23:X24"/>
    <mergeCell ref="W25:X25"/>
    <mergeCell ref="W26:X26"/>
    <mergeCell ref="R3:R4"/>
    <mergeCell ref="M54:Q55"/>
    <mergeCell ref="K56:L56"/>
    <mergeCell ref="W27:X28"/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N110"/>
  <sheetViews>
    <sheetView topLeftCell="A19" workbookViewId="0">
      <selection activeCell="F85" sqref="F85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290" t="s">
        <v>90</v>
      </c>
      <c r="B1" s="291"/>
      <c r="C1" s="292"/>
      <c r="D1" s="371"/>
      <c r="E1" s="292"/>
      <c r="F1" s="378" t="s">
        <v>314</v>
      </c>
      <c r="I1" s="301" t="s">
        <v>91</v>
      </c>
      <c r="J1" s="302"/>
      <c r="K1" s="303"/>
      <c r="L1" s="367"/>
      <c r="M1" s="303"/>
      <c r="N1" s="377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354" t="s">
        <v>195</v>
      </c>
      <c r="B3" s="355" t="s">
        <v>266</v>
      </c>
      <c r="C3" s="96">
        <v>7068.6</v>
      </c>
      <c r="D3" s="372">
        <v>44560</v>
      </c>
      <c r="E3" s="96">
        <v>7068.6</v>
      </c>
      <c r="F3" s="183">
        <f>C3-E3</f>
        <v>0</v>
      </c>
      <c r="I3" s="348" t="s">
        <v>195</v>
      </c>
      <c r="J3" s="347">
        <v>7950</v>
      </c>
      <c r="K3" s="349">
        <v>563.79999999999995</v>
      </c>
      <c r="L3" s="399">
        <v>44580</v>
      </c>
      <c r="M3" s="401">
        <v>563.79999999999995</v>
      </c>
      <c r="N3" s="183">
        <f>K3-M3</f>
        <v>0</v>
      </c>
    </row>
    <row r="4" spans="1:14" ht="18.75" x14ac:dyDescent="0.3">
      <c r="A4" s="354" t="s">
        <v>195</v>
      </c>
      <c r="B4" s="355" t="s">
        <v>267</v>
      </c>
      <c r="C4" s="96">
        <v>11495.4</v>
      </c>
      <c r="D4" s="372">
        <v>44560</v>
      </c>
      <c r="E4" s="96">
        <v>11495.4</v>
      </c>
      <c r="F4" s="137">
        <f>F3+C4-E4</f>
        <v>0</v>
      </c>
      <c r="G4" s="138"/>
      <c r="I4" s="348" t="s">
        <v>195</v>
      </c>
      <c r="J4" s="347">
        <v>7944</v>
      </c>
      <c r="K4" s="349">
        <v>2032.08</v>
      </c>
      <c r="L4" s="400">
        <v>44580</v>
      </c>
      <c r="M4" s="401">
        <v>2032.08</v>
      </c>
      <c r="N4" s="137">
        <f>N3+K4-M4</f>
        <v>0</v>
      </c>
    </row>
    <row r="5" spans="1:14" ht="15.75" x14ac:dyDescent="0.25">
      <c r="A5" s="354" t="s">
        <v>247</v>
      </c>
      <c r="B5" s="355" t="s">
        <v>268</v>
      </c>
      <c r="C5" s="96">
        <v>276755.14</v>
      </c>
      <c r="D5" s="372">
        <v>44560</v>
      </c>
      <c r="E5" s="96">
        <v>276755.14</v>
      </c>
      <c r="F5" s="137">
        <f t="shared" ref="F5:F68" si="0">F4+C5-E5</f>
        <v>0</v>
      </c>
      <c r="I5" s="348" t="s">
        <v>195</v>
      </c>
      <c r="J5" s="347">
        <v>7952</v>
      </c>
      <c r="K5" s="349">
        <v>1756.48</v>
      </c>
      <c r="L5" s="400">
        <v>44580</v>
      </c>
      <c r="M5" s="401">
        <v>1756.48</v>
      </c>
      <c r="N5" s="137">
        <f t="shared" ref="N5:N56" si="1">N4+K5-M5</f>
        <v>0</v>
      </c>
    </row>
    <row r="6" spans="1:14" ht="15.75" x14ac:dyDescent="0.25">
      <c r="A6" s="354" t="s">
        <v>247</v>
      </c>
      <c r="B6" s="355" t="s">
        <v>269</v>
      </c>
      <c r="C6" s="96">
        <v>62881.4</v>
      </c>
      <c r="D6" s="372">
        <v>44560</v>
      </c>
      <c r="E6" s="96">
        <v>62881.4</v>
      </c>
      <c r="F6" s="137">
        <f t="shared" si="0"/>
        <v>0</v>
      </c>
      <c r="I6" s="348" t="s">
        <v>195</v>
      </c>
      <c r="J6" s="347">
        <v>7951</v>
      </c>
      <c r="K6" s="349">
        <v>7340.96</v>
      </c>
      <c r="L6" s="400">
        <v>44580</v>
      </c>
      <c r="M6" s="401">
        <v>7340.96</v>
      </c>
      <c r="N6" s="137">
        <f t="shared" si="1"/>
        <v>0</v>
      </c>
    </row>
    <row r="7" spans="1:14" ht="15.75" x14ac:dyDescent="0.25">
      <c r="A7" s="354" t="s">
        <v>248</v>
      </c>
      <c r="B7" s="355" t="s">
        <v>270</v>
      </c>
      <c r="C7" s="96">
        <v>7868.1</v>
      </c>
      <c r="D7" s="372">
        <v>44560</v>
      </c>
      <c r="E7" s="96">
        <v>7868.1</v>
      </c>
      <c r="F7" s="137">
        <f t="shared" si="0"/>
        <v>0</v>
      </c>
      <c r="I7" s="348" t="s">
        <v>247</v>
      </c>
      <c r="J7" s="347">
        <v>7956</v>
      </c>
      <c r="K7" s="349">
        <v>1744.64</v>
      </c>
      <c r="L7" s="400">
        <v>44580</v>
      </c>
      <c r="M7" s="401">
        <v>1744.64</v>
      </c>
      <c r="N7" s="137">
        <f t="shared" si="1"/>
        <v>0</v>
      </c>
    </row>
    <row r="8" spans="1:14" ht="15.75" x14ac:dyDescent="0.25">
      <c r="A8" s="354" t="s">
        <v>249</v>
      </c>
      <c r="B8" s="355" t="s">
        <v>271</v>
      </c>
      <c r="C8" s="96">
        <v>22425</v>
      </c>
      <c r="D8" s="372">
        <v>44560</v>
      </c>
      <c r="E8" s="96">
        <v>22425</v>
      </c>
      <c r="F8" s="137">
        <f t="shared" si="0"/>
        <v>0</v>
      </c>
      <c r="I8" s="348" t="s">
        <v>248</v>
      </c>
      <c r="J8" s="347">
        <v>7961</v>
      </c>
      <c r="K8" s="349">
        <v>6212.5</v>
      </c>
      <c r="L8" s="400">
        <v>44580</v>
      </c>
      <c r="M8" s="401">
        <v>6212.5</v>
      </c>
      <c r="N8" s="137">
        <f t="shared" si="1"/>
        <v>0</v>
      </c>
    </row>
    <row r="9" spans="1:14" ht="15.75" x14ac:dyDescent="0.25">
      <c r="A9" s="354" t="s">
        <v>250</v>
      </c>
      <c r="B9" s="355" t="s">
        <v>272</v>
      </c>
      <c r="C9" s="96">
        <v>46727.4</v>
      </c>
      <c r="D9" s="372">
        <v>44560</v>
      </c>
      <c r="E9" s="96">
        <v>46727.4</v>
      </c>
      <c r="F9" s="137">
        <f t="shared" si="0"/>
        <v>0</v>
      </c>
      <c r="I9" s="348" t="s">
        <v>249</v>
      </c>
      <c r="J9" s="347">
        <v>7971</v>
      </c>
      <c r="K9" s="349">
        <v>11903.89</v>
      </c>
      <c r="L9" s="400">
        <v>44580</v>
      </c>
      <c r="M9" s="401">
        <v>11903.89</v>
      </c>
      <c r="N9" s="137">
        <f t="shared" si="1"/>
        <v>0</v>
      </c>
    </row>
    <row r="10" spans="1:14" ht="18.75" x14ac:dyDescent="0.3">
      <c r="A10" s="354" t="s">
        <v>250</v>
      </c>
      <c r="B10" s="355" t="s">
        <v>273</v>
      </c>
      <c r="C10" s="96">
        <v>8457.5</v>
      </c>
      <c r="D10" s="372">
        <v>44560</v>
      </c>
      <c r="E10" s="96">
        <v>8457.5</v>
      </c>
      <c r="F10" s="137">
        <f t="shared" si="0"/>
        <v>0</v>
      </c>
      <c r="G10" s="138"/>
      <c r="I10" s="348" t="s">
        <v>249</v>
      </c>
      <c r="J10" s="347">
        <v>7972</v>
      </c>
      <c r="K10" s="349">
        <v>36560.6</v>
      </c>
      <c r="L10" s="400">
        <v>44580</v>
      </c>
      <c r="M10" s="401">
        <v>36560.6</v>
      </c>
      <c r="N10" s="137">
        <f t="shared" si="1"/>
        <v>0</v>
      </c>
    </row>
    <row r="11" spans="1:14" ht="15.75" x14ac:dyDescent="0.25">
      <c r="A11" s="354" t="s">
        <v>251</v>
      </c>
      <c r="B11" s="355" t="s">
        <v>274</v>
      </c>
      <c r="C11" s="96">
        <v>112011.05</v>
      </c>
      <c r="D11" s="372">
        <v>44560</v>
      </c>
      <c r="E11" s="96">
        <v>112011.05</v>
      </c>
      <c r="F11" s="137">
        <f t="shared" si="0"/>
        <v>0</v>
      </c>
      <c r="I11" s="348" t="s">
        <v>250</v>
      </c>
      <c r="J11" s="347">
        <v>7975</v>
      </c>
      <c r="K11" s="349">
        <v>3349.24</v>
      </c>
      <c r="L11" s="400">
        <v>44580</v>
      </c>
      <c r="M11" s="401">
        <v>3349.24</v>
      </c>
      <c r="N11" s="137">
        <f t="shared" si="1"/>
        <v>0</v>
      </c>
    </row>
    <row r="12" spans="1:14" ht="15.75" x14ac:dyDescent="0.25">
      <c r="A12" s="354" t="s">
        <v>275</v>
      </c>
      <c r="B12" s="355" t="s">
        <v>276</v>
      </c>
      <c r="C12" s="96">
        <v>5206.45</v>
      </c>
      <c r="D12" s="372">
        <v>44560</v>
      </c>
      <c r="E12" s="96">
        <v>5206.45</v>
      </c>
      <c r="F12" s="137">
        <f t="shared" si="0"/>
        <v>0</v>
      </c>
      <c r="I12" s="348" t="s">
        <v>250</v>
      </c>
      <c r="J12" s="347">
        <v>7979</v>
      </c>
      <c r="K12" s="349">
        <v>2755.76</v>
      </c>
      <c r="L12" s="400">
        <v>44580</v>
      </c>
      <c r="M12" s="401">
        <v>2755.76</v>
      </c>
      <c r="N12" s="137">
        <f t="shared" si="1"/>
        <v>0</v>
      </c>
    </row>
    <row r="13" spans="1:14" ht="15.75" x14ac:dyDescent="0.25">
      <c r="A13" s="354" t="s">
        <v>252</v>
      </c>
      <c r="B13" s="355" t="s">
        <v>277</v>
      </c>
      <c r="C13" s="96">
        <v>38821.5</v>
      </c>
      <c r="D13" s="372">
        <v>44560</v>
      </c>
      <c r="E13" s="96">
        <v>38821.5</v>
      </c>
      <c r="F13" s="137">
        <f t="shared" si="0"/>
        <v>0</v>
      </c>
      <c r="I13" s="348" t="s">
        <v>251</v>
      </c>
      <c r="J13" s="347">
        <v>7984</v>
      </c>
      <c r="K13" s="349">
        <v>19135.14</v>
      </c>
      <c r="L13" s="400">
        <v>44580</v>
      </c>
      <c r="M13" s="401">
        <v>19135.14</v>
      </c>
      <c r="N13" s="137">
        <f t="shared" si="1"/>
        <v>0</v>
      </c>
    </row>
    <row r="14" spans="1:14" ht="15.75" x14ac:dyDescent="0.25">
      <c r="A14" s="354" t="s">
        <v>252</v>
      </c>
      <c r="B14" s="355" t="s">
        <v>278</v>
      </c>
      <c r="C14" s="96">
        <v>14425.6</v>
      </c>
      <c r="D14" s="372">
        <v>44560</v>
      </c>
      <c r="E14" s="96">
        <v>14425.6</v>
      </c>
      <c r="F14" s="137">
        <f t="shared" si="0"/>
        <v>0</v>
      </c>
      <c r="I14" s="348" t="s">
        <v>252</v>
      </c>
      <c r="J14" s="347">
        <v>7996</v>
      </c>
      <c r="K14" s="349">
        <v>4500.16</v>
      </c>
      <c r="L14" s="400">
        <v>44580</v>
      </c>
      <c r="M14" s="401">
        <v>4500.16</v>
      </c>
      <c r="N14" s="137">
        <f t="shared" si="1"/>
        <v>0</v>
      </c>
    </row>
    <row r="15" spans="1:14" ht="15.75" x14ac:dyDescent="0.25">
      <c r="A15" s="354" t="s">
        <v>252</v>
      </c>
      <c r="B15" s="355" t="s">
        <v>279</v>
      </c>
      <c r="C15" s="96">
        <v>9421.7000000000007</v>
      </c>
      <c r="D15" s="372">
        <v>44560</v>
      </c>
      <c r="E15" s="96">
        <v>9421.7000000000007</v>
      </c>
      <c r="F15" s="137">
        <f t="shared" si="0"/>
        <v>0</v>
      </c>
      <c r="I15" s="348" t="s">
        <v>252</v>
      </c>
      <c r="J15" s="347">
        <v>8002</v>
      </c>
      <c r="K15" s="349">
        <v>7744</v>
      </c>
      <c r="L15" s="400">
        <v>44580</v>
      </c>
      <c r="M15" s="401">
        <v>7744</v>
      </c>
      <c r="N15" s="137">
        <f t="shared" si="1"/>
        <v>0</v>
      </c>
    </row>
    <row r="16" spans="1:14" ht="15.75" x14ac:dyDescent="0.25">
      <c r="A16" s="354" t="s">
        <v>252</v>
      </c>
      <c r="B16" s="355" t="s">
        <v>280</v>
      </c>
      <c r="C16" s="96">
        <v>9069.5</v>
      </c>
      <c r="D16" s="372">
        <v>44560</v>
      </c>
      <c r="E16" s="96">
        <v>9069.5</v>
      </c>
      <c r="F16" s="137">
        <f t="shared" si="0"/>
        <v>0</v>
      </c>
      <c r="I16" s="348" t="s">
        <v>253</v>
      </c>
      <c r="J16" s="347">
        <v>8009</v>
      </c>
      <c r="K16" s="349">
        <v>933.1</v>
      </c>
      <c r="L16" s="400">
        <v>44580</v>
      </c>
      <c r="M16" s="401">
        <v>933.1</v>
      </c>
      <c r="N16" s="137">
        <f t="shared" si="1"/>
        <v>0</v>
      </c>
    </row>
    <row r="17" spans="1:14" ht="15.75" x14ac:dyDescent="0.25">
      <c r="A17" s="354" t="s">
        <v>252</v>
      </c>
      <c r="B17" s="355" t="s">
        <v>281</v>
      </c>
      <c r="C17" s="96">
        <v>60</v>
      </c>
      <c r="D17" s="372">
        <v>44560</v>
      </c>
      <c r="E17" s="96">
        <v>60</v>
      </c>
      <c r="F17" s="137">
        <f t="shared" si="0"/>
        <v>0</v>
      </c>
      <c r="I17" s="348" t="s">
        <v>253</v>
      </c>
      <c r="J17" s="347">
        <v>8011</v>
      </c>
      <c r="K17" s="349">
        <v>2610</v>
      </c>
      <c r="L17" s="400">
        <v>44580</v>
      </c>
      <c r="M17" s="401">
        <v>2610</v>
      </c>
      <c r="N17" s="137">
        <f t="shared" si="1"/>
        <v>0</v>
      </c>
    </row>
    <row r="18" spans="1:14" ht="15.75" x14ac:dyDescent="0.25">
      <c r="A18" s="354" t="s">
        <v>252</v>
      </c>
      <c r="B18" s="355" t="s">
        <v>282</v>
      </c>
      <c r="C18" s="96">
        <v>16107.5</v>
      </c>
      <c r="D18" s="372">
        <v>44560</v>
      </c>
      <c r="E18" s="96">
        <v>16107.5</v>
      </c>
      <c r="F18" s="137">
        <f t="shared" si="0"/>
        <v>0</v>
      </c>
      <c r="I18" s="348" t="s">
        <v>254</v>
      </c>
      <c r="J18" s="347">
        <v>8019</v>
      </c>
      <c r="K18" s="349">
        <v>3554.2</v>
      </c>
      <c r="L18" s="400">
        <v>44580</v>
      </c>
      <c r="M18" s="401">
        <v>3554.2</v>
      </c>
      <c r="N18" s="137">
        <f t="shared" si="1"/>
        <v>0</v>
      </c>
    </row>
    <row r="19" spans="1:14" ht="15.75" x14ac:dyDescent="0.25">
      <c r="A19" s="354" t="s">
        <v>253</v>
      </c>
      <c r="B19" s="355" t="s">
        <v>283</v>
      </c>
      <c r="C19" s="96">
        <v>45709</v>
      </c>
      <c r="D19" s="372">
        <v>44560</v>
      </c>
      <c r="E19" s="96">
        <v>45709</v>
      </c>
      <c r="F19" s="137">
        <f t="shared" si="0"/>
        <v>0</v>
      </c>
      <c r="I19" s="348" t="s">
        <v>254</v>
      </c>
      <c r="J19" s="347">
        <v>8024</v>
      </c>
      <c r="K19" s="349">
        <v>92636.2</v>
      </c>
      <c r="L19" s="400">
        <v>44580</v>
      </c>
      <c r="M19" s="401">
        <v>92636.2</v>
      </c>
      <c r="N19" s="137">
        <f t="shared" si="1"/>
        <v>0</v>
      </c>
    </row>
    <row r="20" spans="1:14" ht="15.75" x14ac:dyDescent="0.25">
      <c r="A20" s="354" t="s">
        <v>254</v>
      </c>
      <c r="B20" s="355" t="s">
        <v>284</v>
      </c>
      <c r="C20" s="96">
        <v>0</v>
      </c>
      <c r="D20" s="372" t="s">
        <v>310</v>
      </c>
      <c r="E20" s="96">
        <v>0</v>
      </c>
      <c r="F20" s="137">
        <f t="shared" si="0"/>
        <v>0</v>
      </c>
      <c r="I20" s="348" t="s">
        <v>255</v>
      </c>
      <c r="J20" s="347">
        <v>8027</v>
      </c>
      <c r="K20" s="349">
        <v>9327.4</v>
      </c>
      <c r="L20" s="400">
        <v>44580</v>
      </c>
      <c r="M20" s="401">
        <v>9327.4</v>
      </c>
      <c r="N20" s="137">
        <f t="shared" si="1"/>
        <v>0</v>
      </c>
    </row>
    <row r="21" spans="1:14" ht="15.75" x14ac:dyDescent="0.25">
      <c r="A21" s="354" t="s">
        <v>254</v>
      </c>
      <c r="B21" s="355" t="s">
        <v>285</v>
      </c>
      <c r="C21" s="96">
        <v>58310.5</v>
      </c>
      <c r="D21" s="372">
        <v>44560</v>
      </c>
      <c r="E21" s="96">
        <v>58310.5</v>
      </c>
      <c r="F21" s="137">
        <f t="shared" si="0"/>
        <v>0</v>
      </c>
      <c r="I21" s="348" t="s">
        <v>255</v>
      </c>
      <c r="J21" s="347">
        <v>8028</v>
      </c>
      <c r="K21" s="349">
        <v>428.16</v>
      </c>
      <c r="L21" s="400">
        <v>44580</v>
      </c>
      <c r="M21" s="401">
        <v>428.16</v>
      </c>
      <c r="N21" s="137">
        <f t="shared" si="1"/>
        <v>0</v>
      </c>
    </row>
    <row r="22" spans="1:14" ht="18.75" x14ac:dyDescent="0.3">
      <c r="A22" s="354" t="s">
        <v>254</v>
      </c>
      <c r="B22" s="355" t="s">
        <v>286</v>
      </c>
      <c r="C22" s="96">
        <v>2844.3</v>
      </c>
      <c r="D22" s="372">
        <v>44560</v>
      </c>
      <c r="E22" s="96">
        <v>2844.3</v>
      </c>
      <c r="F22" s="137">
        <f t="shared" si="0"/>
        <v>0</v>
      </c>
      <c r="G22" s="138"/>
      <c r="I22" s="348" t="s">
        <v>256</v>
      </c>
      <c r="J22" s="347">
        <v>8044</v>
      </c>
      <c r="K22" s="349">
        <v>2709.6</v>
      </c>
      <c r="L22" s="400">
        <v>44580</v>
      </c>
      <c r="M22" s="401">
        <v>2709.6</v>
      </c>
      <c r="N22" s="137">
        <f t="shared" si="1"/>
        <v>0</v>
      </c>
    </row>
    <row r="23" spans="1:14" ht="15.75" x14ac:dyDescent="0.25">
      <c r="A23" s="354" t="s">
        <v>255</v>
      </c>
      <c r="B23" s="355" t="s">
        <v>287</v>
      </c>
      <c r="C23" s="96">
        <v>60433.2</v>
      </c>
      <c r="D23" s="372">
        <v>44560</v>
      </c>
      <c r="E23" s="96">
        <v>60433.2</v>
      </c>
      <c r="F23" s="137">
        <f t="shared" si="0"/>
        <v>0</v>
      </c>
      <c r="I23" s="348" t="s">
        <v>257</v>
      </c>
      <c r="J23" s="347">
        <v>8050</v>
      </c>
      <c r="K23" s="349">
        <v>1768.48</v>
      </c>
      <c r="L23" s="400">
        <v>44580</v>
      </c>
      <c r="M23" s="401">
        <v>1768.48</v>
      </c>
      <c r="N23" s="137">
        <f t="shared" si="1"/>
        <v>0</v>
      </c>
    </row>
    <row r="24" spans="1:14" ht="15.75" x14ac:dyDescent="0.25">
      <c r="A24" s="354" t="s">
        <v>256</v>
      </c>
      <c r="B24" s="355" t="s">
        <v>288</v>
      </c>
      <c r="C24" s="96">
        <v>78786.3</v>
      </c>
      <c r="D24" s="372">
        <v>44560</v>
      </c>
      <c r="E24" s="96">
        <v>78786.3</v>
      </c>
      <c r="F24" s="137">
        <f t="shared" si="0"/>
        <v>0</v>
      </c>
      <c r="I24" s="348" t="s">
        <v>257</v>
      </c>
      <c r="J24" s="347">
        <v>8056</v>
      </c>
      <c r="K24" s="349">
        <v>45385.8</v>
      </c>
      <c r="L24" s="400">
        <v>44580</v>
      </c>
      <c r="M24" s="401">
        <v>45385.8</v>
      </c>
      <c r="N24" s="137">
        <f t="shared" si="1"/>
        <v>0</v>
      </c>
    </row>
    <row r="25" spans="1:14" ht="15.75" x14ac:dyDescent="0.25">
      <c r="A25" s="354" t="s">
        <v>257</v>
      </c>
      <c r="B25" s="355" t="s">
        <v>289</v>
      </c>
      <c r="C25" s="96">
        <v>36160.1</v>
      </c>
      <c r="D25" s="372">
        <v>44560</v>
      </c>
      <c r="E25" s="96">
        <v>36160.1</v>
      </c>
      <c r="F25" s="137">
        <f t="shared" si="0"/>
        <v>0</v>
      </c>
      <c r="I25" s="348" t="s">
        <v>258</v>
      </c>
      <c r="J25" s="347">
        <v>8065</v>
      </c>
      <c r="K25" s="349">
        <v>6545.88</v>
      </c>
      <c r="L25" s="400">
        <v>44580</v>
      </c>
      <c r="M25" s="401">
        <v>6545.88</v>
      </c>
      <c r="N25" s="137">
        <f t="shared" si="1"/>
        <v>0</v>
      </c>
    </row>
    <row r="26" spans="1:14" ht="15.75" x14ac:dyDescent="0.25">
      <c r="A26" s="354" t="s">
        <v>257</v>
      </c>
      <c r="B26" s="355" t="s">
        <v>290</v>
      </c>
      <c r="C26" s="96">
        <v>2104.4</v>
      </c>
      <c r="D26" s="372">
        <v>44560</v>
      </c>
      <c r="E26" s="96">
        <v>2104.4</v>
      </c>
      <c r="F26" s="137">
        <f t="shared" si="0"/>
        <v>0</v>
      </c>
      <c r="I26" s="348" t="s">
        <v>258</v>
      </c>
      <c r="J26" s="347">
        <v>8073</v>
      </c>
      <c r="K26" s="349">
        <v>7998.1</v>
      </c>
      <c r="L26" s="400">
        <v>44580</v>
      </c>
      <c r="M26" s="401">
        <v>7998.1</v>
      </c>
      <c r="N26" s="137">
        <f t="shared" si="1"/>
        <v>0</v>
      </c>
    </row>
    <row r="27" spans="1:14" ht="15.75" x14ac:dyDescent="0.25">
      <c r="A27" s="354" t="s">
        <v>258</v>
      </c>
      <c r="B27" s="355" t="s">
        <v>291</v>
      </c>
      <c r="C27" s="96">
        <v>634.5</v>
      </c>
      <c r="D27" s="376">
        <v>44550</v>
      </c>
      <c r="E27" s="96">
        <v>634.5</v>
      </c>
      <c r="F27" s="137">
        <f t="shared" si="0"/>
        <v>0</v>
      </c>
      <c r="I27" s="348" t="s">
        <v>259</v>
      </c>
      <c r="J27" s="347">
        <v>8080</v>
      </c>
      <c r="K27" s="349">
        <v>887.52</v>
      </c>
      <c r="L27" s="400">
        <v>44580</v>
      </c>
      <c r="M27" s="401">
        <v>887.52</v>
      </c>
      <c r="N27" s="137">
        <f t="shared" si="1"/>
        <v>0</v>
      </c>
    </row>
    <row r="28" spans="1:14" ht="15.75" x14ac:dyDescent="0.25">
      <c r="A28" s="354" t="s">
        <v>258</v>
      </c>
      <c r="B28" s="355" t="s">
        <v>292</v>
      </c>
      <c r="C28" s="96">
        <v>47894.06</v>
      </c>
      <c r="D28" s="372">
        <v>44560</v>
      </c>
      <c r="E28" s="96">
        <v>47894.06</v>
      </c>
      <c r="F28" s="137">
        <f t="shared" si="0"/>
        <v>0</v>
      </c>
      <c r="I28" s="348" t="s">
        <v>259</v>
      </c>
      <c r="J28" s="347">
        <v>8083</v>
      </c>
      <c r="K28" s="349">
        <v>571.6</v>
      </c>
      <c r="L28" s="400">
        <v>44580</v>
      </c>
      <c r="M28" s="401">
        <v>571.6</v>
      </c>
      <c r="N28" s="137">
        <f t="shared" si="1"/>
        <v>0</v>
      </c>
    </row>
    <row r="29" spans="1:14" ht="15.75" x14ac:dyDescent="0.25">
      <c r="A29" s="354" t="s">
        <v>259</v>
      </c>
      <c r="B29" s="355" t="s">
        <v>293</v>
      </c>
      <c r="C29" s="96">
        <v>48036.26</v>
      </c>
      <c r="D29" s="372">
        <v>44560</v>
      </c>
      <c r="E29" s="96">
        <v>48036.26</v>
      </c>
      <c r="F29" s="137">
        <f t="shared" si="0"/>
        <v>0</v>
      </c>
      <c r="I29" s="348" t="s">
        <v>259</v>
      </c>
      <c r="J29" s="347">
        <v>8090</v>
      </c>
      <c r="K29" s="349">
        <v>23079</v>
      </c>
      <c r="L29" s="400">
        <v>44580</v>
      </c>
      <c r="M29" s="401">
        <v>23079</v>
      </c>
      <c r="N29" s="137">
        <f t="shared" si="1"/>
        <v>0</v>
      </c>
    </row>
    <row r="30" spans="1:14" ht="18.75" x14ac:dyDescent="0.3">
      <c r="A30" s="354" t="s">
        <v>260</v>
      </c>
      <c r="B30" s="355" t="s">
        <v>294</v>
      </c>
      <c r="C30" s="96">
        <v>61444</v>
      </c>
      <c r="D30" s="372">
        <v>44560</v>
      </c>
      <c r="E30" s="96">
        <v>61444</v>
      </c>
      <c r="F30" s="137">
        <f t="shared" si="0"/>
        <v>0</v>
      </c>
      <c r="G30" s="138"/>
      <c r="I30" s="348" t="s">
        <v>260</v>
      </c>
      <c r="J30" s="347">
        <v>8095</v>
      </c>
      <c r="K30" s="349">
        <v>0</v>
      </c>
      <c r="L30" s="400">
        <v>44580</v>
      </c>
      <c r="M30" s="401">
        <v>0</v>
      </c>
      <c r="N30" s="137">
        <f t="shared" si="1"/>
        <v>0</v>
      </c>
    </row>
    <row r="31" spans="1:14" ht="15.75" x14ac:dyDescent="0.25">
      <c r="A31" s="354" t="s">
        <v>260</v>
      </c>
      <c r="B31" s="355" t="s">
        <v>295</v>
      </c>
      <c r="C31" s="96">
        <v>134636</v>
      </c>
      <c r="D31" s="373">
        <v>44564</v>
      </c>
      <c r="E31" s="374">
        <v>134636</v>
      </c>
      <c r="F31" s="137">
        <f>F30+C31-E31</f>
        <v>0</v>
      </c>
      <c r="I31" s="348" t="s">
        <v>260</v>
      </c>
      <c r="J31" s="347">
        <v>8097</v>
      </c>
      <c r="K31" s="349">
        <v>288</v>
      </c>
      <c r="L31" s="400">
        <v>44580</v>
      </c>
      <c r="M31" s="401">
        <v>288</v>
      </c>
      <c r="N31" s="137">
        <f>N30+K31-M31</f>
        <v>0</v>
      </c>
    </row>
    <row r="32" spans="1:14" ht="15.75" x14ac:dyDescent="0.25">
      <c r="A32" s="354" t="s">
        <v>260</v>
      </c>
      <c r="B32" s="355" t="s">
        <v>296</v>
      </c>
      <c r="C32" s="96">
        <v>2496</v>
      </c>
      <c r="D32" s="373">
        <v>44564</v>
      </c>
      <c r="E32" s="374">
        <v>2496</v>
      </c>
      <c r="F32" s="137">
        <f t="shared" si="0"/>
        <v>0</v>
      </c>
      <c r="I32" s="348" t="s">
        <v>260</v>
      </c>
      <c r="J32" s="347">
        <v>8099</v>
      </c>
      <c r="K32" s="349">
        <v>0</v>
      </c>
      <c r="L32" s="400">
        <v>44580</v>
      </c>
      <c r="M32" s="401">
        <v>0</v>
      </c>
      <c r="N32" s="137">
        <f t="shared" si="1"/>
        <v>0</v>
      </c>
    </row>
    <row r="33" spans="1:14" ht="15.75" x14ac:dyDescent="0.25">
      <c r="A33" s="354" t="s">
        <v>260</v>
      </c>
      <c r="B33" s="355" t="s">
        <v>297</v>
      </c>
      <c r="C33" s="96">
        <v>1835.32</v>
      </c>
      <c r="D33" s="373">
        <v>44564</v>
      </c>
      <c r="E33" s="374">
        <v>1835.32</v>
      </c>
      <c r="F33" s="137">
        <f t="shared" si="0"/>
        <v>0</v>
      </c>
      <c r="I33" s="348" t="s">
        <v>260</v>
      </c>
      <c r="J33" s="347">
        <v>8102</v>
      </c>
      <c r="K33" s="349">
        <v>16973.12</v>
      </c>
      <c r="L33" s="400">
        <v>44580</v>
      </c>
      <c r="M33" s="401">
        <v>16973.12</v>
      </c>
      <c r="N33" s="137">
        <f t="shared" si="1"/>
        <v>0</v>
      </c>
    </row>
    <row r="34" spans="1:14" ht="15.75" x14ac:dyDescent="0.25">
      <c r="A34" s="354" t="s">
        <v>261</v>
      </c>
      <c r="B34" s="355" t="s">
        <v>298</v>
      </c>
      <c r="C34" s="96">
        <v>37820</v>
      </c>
      <c r="D34" s="373">
        <v>44564</v>
      </c>
      <c r="E34" s="374">
        <v>37820</v>
      </c>
      <c r="F34" s="137">
        <f t="shared" si="0"/>
        <v>0</v>
      </c>
      <c r="I34" s="348" t="s">
        <v>261</v>
      </c>
      <c r="J34" s="347">
        <v>8104</v>
      </c>
      <c r="K34" s="349">
        <v>614.24</v>
      </c>
      <c r="L34" s="400">
        <v>44580</v>
      </c>
      <c r="M34" s="401">
        <v>614.24</v>
      </c>
      <c r="N34" s="137">
        <f t="shared" si="1"/>
        <v>0</v>
      </c>
    </row>
    <row r="35" spans="1:14" ht="15.75" x14ac:dyDescent="0.25">
      <c r="A35" s="354" t="s">
        <v>261</v>
      </c>
      <c r="B35" s="355" t="s">
        <v>299</v>
      </c>
      <c r="C35" s="96">
        <v>20355.400000000001</v>
      </c>
      <c r="D35" s="373">
        <v>44564</v>
      </c>
      <c r="E35" s="374">
        <v>20355.400000000001</v>
      </c>
      <c r="F35" s="137">
        <f t="shared" si="0"/>
        <v>0</v>
      </c>
      <c r="I35" s="348" t="s">
        <v>261</v>
      </c>
      <c r="J35" s="347">
        <v>8105</v>
      </c>
      <c r="K35" s="349">
        <v>216</v>
      </c>
      <c r="L35" s="400">
        <v>44580</v>
      </c>
      <c r="M35" s="401">
        <v>216</v>
      </c>
      <c r="N35" s="137">
        <f t="shared" si="1"/>
        <v>0</v>
      </c>
    </row>
    <row r="36" spans="1:14" ht="15.75" x14ac:dyDescent="0.25">
      <c r="A36" s="354" t="s">
        <v>300</v>
      </c>
      <c r="B36" s="355" t="s">
        <v>301</v>
      </c>
      <c r="C36" s="96">
        <v>37968.800000000003</v>
      </c>
      <c r="D36" s="396">
        <v>44580</v>
      </c>
      <c r="E36" s="398">
        <v>37968.800000000003</v>
      </c>
      <c r="F36" s="137">
        <f t="shared" si="0"/>
        <v>0</v>
      </c>
      <c r="I36" s="348" t="s">
        <v>261</v>
      </c>
      <c r="J36" s="347">
        <v>8110</v>
      </c>
      <c r="K36" s="349">
        <v>0</v>
      </c>
      <c r="L36" s="400">
        <v>44580</v>
      </c>
      <c r="M36" s="401">
        <v>0</v>
      </c>
      <c r="N36" s="137">
        <f t="shared" si="1"/>
        <v>0</v>
      </c>
    </row>
    <row r="37" spans="1:14" ht="15.75" x14ac:dyDescent="0.25">
      <c r="A37" s="354" t="s">
        <v>262</v>
      </c>
      <c r="B37" s="355" t="s">
        <v>302</v>
      </c>
      <c r="C37" s="96">
        <v>38370.6</v>
      </c>
      <c r="D37" s="396">
        <v>44580</v>
      </c>
      <c r="E37" s="398">
        <v>38370.6</v>
      </c>
      <c r="F37" s="137">
        <f t="shared" si="0"/>
        <v>0</v>
      </c>
      <c r="I37" s="358" t="s">
        <v>261</v>
      </c>
      <c r="J37" s="359">
        <v>8114</v>
      </c>
      <c r="K37" s="360">
        <v>78024.399999999994</v>
      </c>
      <c r="L37" s="400">
        <v>44580</v>
      </c>
      <c r="M37" s="402">
        <v>78024.399999999994</v>
      </c>
      <c r="N37" s="361">
        <f t="shared" si="1"/>
        <v>0</v>
      </c>
    </row>
    <row r="38" spans="1:14" ht="15.75" x14ac:dyDescent="0.25">
      <c r="A38" s="354" t="s">
        <v>262</v>
      </c>
      <c r="B38" s="355" t="s">
        <v>303</v>
      </c>
      <c r="C38" s="96">
        <v>2250</v>
      </c>
      <c r="D38" s="396">
        <v>44580</v>
      </c>
      <c r="E38" s="398">
        <v>2250</v>
      </c>
      <c r="F38" s="137">
        <f t="shared" si="0"/>
        <v>0</v>
      </c>
      <c r="I38" s="362" t="s">
        <v>262</v>
      </c>
      <c r="J38" s="38">
        <v>8133</v>
      </c>
      <c r="K38" s="69">
        <v>7344.28</v>
      </c>
      <c r="L38" s="400">
        <v>44580</v>
      </c>
      <c r="M38" s="397">
        <v>7344.28</v>
      </c>
      <c r="N38" s="363">
        <f t="shared" si="1"/>
        <v>0</v>
      </c>
    </row>
    <row r="39" spans="1:14" ht="15" customHeight="1" thickBot="1" x14ac:dyDescent="0.3">
      <c r="A39" s="354" t="s">
        <v>263</v>
      </c>
      <c r="B39" s="355" t="s">
        <v>304</v>
      </c>
      <c r="C39" s="96">
        <v>36332.379999999997</v>
      </c>
      <c r="D39" s="396">
        <v>44580</v>
      </c>
      <c r="E39" s="398">
        <v>36332.379999999997</v>
      </c>
      <c r="F39" s="137">
        <f t="shared" si="0"/>
        <v>0</v>
      </c>
      <c r="I39" s="350" t="s">
        <v>263</v>
      </c>
      <c r="J39" s="351">
        <v>8144</v>
      </c>
      <c r="K39" s="352">
        <v>0</v>
      </c>
      <c r="L39" s="400">
        <v>44580</v>
      </c>
      <c r="M39" s="403">
        <v>0</v>
      </c>
      <c r="N39" s="353">
        <f t="shared" si="1"/>
        <v>0</v>
      </c>
    </row>
    <row r="40" spans="1:14" ht="17.25" thickTop="1" thickBot="1" x14ac:dyDescent="0.3">
      <c r="A40" s="354" t="s">
        <v>263</v>
      </c>
      <c r="B40" s="355" t="s">
        <v>305</v>
      </c>
      <c r="C40" s="96">
        <v>31011.599999999999</v>
      </c>
      <c r="D40" s="396">
        <v>44580</v>
      </c>
      <c r="E40" s="398">
        <v>31011.599999999999</v>
      </c>
      <c r="F40" s="137">
        <f t="shared" si="0"/>
        <v>0</v>
      </c>
      <c r="I40" s="348" t="s">
        <v>263</v>
      </c>
      <c r="J40" s="347">
        <v>8145</v>
      </c>
      <c r="K40" s="349">
        <v>2592.81</v>
      </c>
      <c r="L40" s="400">
        <v>44580</v>
      </c>
      <c r="M40" s="401">
        <v>2592.81</v>
      </c>
      <c r="N40" s="353">
        <f t="shared" si="1"/>
        <v>0</v>
      </c>
    </row>
    <row r="41" spans="1:14" ht="17.25" thickTop="1" thickBot="1" x14ac:dyDescent="0.3">
      <c r="A41" s="354" t="s">
        <v>306</v>
      </c>
      <c r="B41" s="355" t="s">
        <v>307</v>
      </c>
      <c r="C41" s="96">
        <v>95276.3</v>
      </c>
      <c r="D41" s="396">
        <v>44580</v>
      </c>
      <c r="E41" s="398">
        <v>95276.3</v>
      </c>
      <c r="F41" s="137">
        <f t="shared" si="0"/>
        <v>0</v>
      </c>
      <c r="I41" s="348" t="s">
        <v>263</v>
      </c>
      <c r="J41" s="347">
        <v>8148</v>
      </c>
      <c r="K41" s="349">
        <v>89838.6</v>
      </c>
      <c r="L41" s="400">
        <v>44580</v>
      </c>
      <c r="M41" s="401">
        <v>89838.6</v>
      </c>
      <c r="N41" s="353">
        <f t="shared" si="1"/>
        <v>0</v>
      </c>
    </row>
    <row r="42" spans="1:14" ht="17.25" thickTop="1" thickBot="1" x14ac:dyDescent="0.3">
      <c r="A42" s="354" t="s">
        <v>306</v>
      </c>
      <c r="B42" s="355" t="s">
        <v>308</v>
      </c>
      <c r="C42" s="96">
        <v>4262.3999999999996</v>
      </c>
      <c r="D42" s="396">
        <v>44580</v>
      </c>
      <c r="E42" s="398">
        <v>4262.3999999999996</v>
      </c>
      <c r="F42" s="137">
        <f t="shared" si="0"/>
        <v>0</v>
      </c>
      <c r="I42" s="348" t="s">
        <v>264</v>
      </c>
      <c r="J42" s="347">
        <v>8164</v>
      </c>
      <c r="K42" s="349">
        <v>10475.799999999999</v>
      </c>
      <c r="L42" s="400">
        <v>44580</v>
      </c>
      <c r="M42" s="401">
        <v>10475.799999999999</v>
      </c>
      <c r="N42" s="353">
        <f t="shared" si="1"/>
        <v>0</v>
      </c>
    </row>
    <row r="43" spans="1:14" ht="17.25" thickTop="1" thickBot="1" x14ac:dyDescent="0.3">
      <c r="A43" s="354" t="s">
        <v>264</v>
      </c>
      <c r="B43" s="355" t="s">
        <v>309</v>
      </c>
      <c r="C43" s="96">
        <v>33297.4</v>
      </c>
      <c r="D43" s="396">
        <v>44580</v>
      </c>
      <c r="E43" s="398">
        <v>33297.4</v>
      </c>
      <c r="F43" s="137">
        <f t="shared" si="0"/>
        <v>0</v>
      </c>
      <c r="I43" s="348" t="s">
        <v>264</v>
      </c>
      <c r="J43" s="347">
        <v>8169</v>
      </c>
      <c r="K43" s="349">
        <v>21719.4</v>
      </c>
      <c r="L43" s="400">
        <v>44580</v>
      </c>
      <c r="M43" s="401">
        <v>21719.4</v>
      </c>
      <c r="N43" s="353">
        <f t="shared" si="1"/>
        <v>0</v>
      </c>
    </row>
    <row r="44" spans="1:14" ht="17.25" thickTop="1" thickBot="1" x14ac:dyDescent="0.3">
      <c r="A44" s="134"/>
      <c r="B44" s="139"/>
      <c r="C44" s="69"/>
      <c r="D44" s="253"/>
      <c r="E44" s="69"/>
      <c r="F44" s="137">
        <f t="shared" si="0"/>
        <v>0</v>
      </c>
      <c r="I44" s="348" t="s">
        <v>264</v>
      </c>
      <c r="J44" s="347">
        <v>8170</v>
      </c>
      <c r="K44" s="349">
        <v>57983.8</v>
      </c>
      <c r="L44" s="400">
        <v>44580</v>
      </c>
      <c r="M44" s="401">
        <v>57983.8</v>
      </c>
      <c r="N44" s="353">
        <f t="shared" si="1"/>
        <v>0</v>
      </c>
    </row>
    <row r="45" spans="1:14" ht="16.5" thickTop="1" x14ac:dyDescent="0.25">
      <c r="A45" s="134"/>
      <c r="B45" s="139"/>
      <c r="C45" s="69"/>
      <c r="D45" s="253"/>
      <c r="E45" s="69"/>
      <c r="F45" s="137">
        <f t="shared" si="0"/>
        <v>0</v>
      </c>
      <c r="I45" s="134"/>
      <c r="J45" s="139"/>
      <c r="K45" s="69"/>
      <c r="L45" s="253"/>
      <c r="M45" s="69">
        <v>0</v>
      </c>
      <c r="N45" s="137">
        <f t="shared" si="1"/>
        <v>0</v>
      </c>
    </row>
    <row r="46" spans="1:14" ht="15.75" hidden="1" x14ac:dyDescent="0.25">
      <c r="A46" s="134"/>
      <c r="B46" s="139"/>
      <c r="C46" s="69"/>
      <c r="D46" s="253"/>
      <c r="E46" s="69"/>
      <c r="F46" s="137">
        <f t="shared" si="0"/>
        <v>0</v>
      </c>
      <c r="I46" s="134"/>
      <c r="J46" s="139"/>
      <c r="K46" s="69"/>
      <c r="L46" s="253"/>
      <c r="M46" s="69"/>
      <c r="N46" s="137">
        <f t="shared" si="1"/>
        <v>0</v>
      </c>
    </row>
    <row r="47" spans="1:14" ht="15.75" hidden="1" x14ac:dyDescent="0.25">
      <c r="A47" s="134"/>
      <c r="B47" s="139"/>
      <c r="C47" s="69"/>
      <c r="D47" s="253"/>
      <c r="E47" s="69"/>
      <c r="F47" s="137">
        <f t="shared" si="0"/>
        <v>0</v>
      </c>
      <c r="I47" s="134"/>
      <c r="J47" s="139"/>
      <c r="K47" s="69"/>
      <c r="L47" s="253"/>
      <c r="M47" s="69"/>
      <c r="N47" s="137">
        <f t="shared" si="1"/>
        <v>0</v>
      </c>
    </row>
    <row r="48" spans="1:14" ht="15.75" hidden="1" x14ac:dyDescent="0.25">
      <c r="A48" s="134"/>
      <c r="B48" s="139"/>
      <c r="C48" s="69"/>
      <c r="D48" s="253"/>
      <c r="E48" s="69"/>
      <c r="F48" s="137">
        <f t="shared" si="0"/>
        <v>0</v>
      </c>
      <c r="I48" s="134"/>
      <c r="J48" s="139"/>
      <c r="K48" s="69"/>
      <c r="L48" s="253"/>
      <c r="M48" s="69"/>
      <c r="N48" s="137">
        <f t="shared" si="1"/>
        <v>0</v>
      </c>
    </row>
    <row r="49" spans="1:14" ht="15.75" hidden="1" x14ac:dyDescent="0.25">
      <c r="A49" s="134"/>
      <c r="B49" s="139"/>
      <c r="C49" s="69"/>
      <c r="D49" s="253"/>
      <c r="E49" s="69"/>
      <c r="F49" s="137">
        <f t="shared" si="0"/>
        <v>0</v>
      </c>
      <c r="I49" s="134"/>
      <c r="J49" s="139"/>
      <c r="K49" s="69"/>
      <c r="L49" s="253"/>
      <c r="M49" s="69"/>
      <c r="N49" s="137">
        <f t="shared" si="1"/>
        <v>0</v>
      </c>
    </row>
    <row r="50" spans="1:14" ht="15.75" hidden="1" x14ac:dyDescent="0.25">
      <c r="A50" s="134"/>
      <c r="B50" s="139"/>
      <c r="C50" s="69"/>
      <c r="D50" s="253"/>
      <c r="E50" s="69"/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0"/>
        <v>0</v>
      </c>
      <c r="I51" s="134"/>
      <c r="J51" s="139"/>
      <c r="K51" s="69"/>
      <c r="L51" s="253"/>
      <c r="M51" s="69"/>
      <c r="N51" s="137">
        <f t="shared" si="1"/>
        <v>0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0"/>
        <v>0</v>
      </c>
      <c r="I52" s="134"/>
      <c r="J52" s="139"/>
      <c r="K52" s="69"/>
      <c r="L52" s="253"/>
      <c r="M52" s="69"/>
      <c r="N52" s="137">
        <f t="shared" si="1"/>
        <v>0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0"/>
        <v>0</v>
      </c>
      <c r="I53" s="134"/>
      <c r="J53" s="139"/>
      <c r="K53" s="69"/>
      <c r="L53" s="253"/>
      <c r="M53" s="69"/>
      <c r="N53" s="137">
        <f t="shared" si="1"/>
        <v>0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0"/>
        <v>0</v>
      </c>
      <c r="I54" s="134"/>
      <c r="J54" s="139"/>
      <c r="K54" s="69"/>
      <c r="L54" s="253"/>
      <c r="M54" s="69"/>
      <c r="N54" s="137">
        <f t="shared" si="1"/>
        <v>0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0"/>
        <v>0</v>
      </c>
      <c r="I55" s="134"/>
      <c r="J55" s="139"/>
      <c r="K55" s="69"/>
      <c r="L55" s="253"/>
      <c r="M55" s="69"/>
      <c r="N55" s="137">
        <f t="shared" si="1"/>
        <v>0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0"/>
        <v>0</v>
      </c>
      <c r="I56" s="134"/>
      <c r="J56" s="139"/>
      <c r="K56" s="69"/>
      <c r="L56" s="253"/>
      <c r="M56" s="69"/>
      <c r="N56" s="137">
        <f t="shared" si="1"/>
        <v>0</v>
      </c>
    </row>
    <row r="57" spans="1:14" ht="15.75" hidden="1" x14ac:dyDescent="0.25">
      <c r="A57" s="134"/>
      <c r="B57" s="139"/>
      <c r="C57" s="69"/>
      <c r="D57" s="254"/>
      <c r="E57" s="69"/>
      <c r="F57" s="137">
        <f t="shared" si="0"/>
        <v>0</v>
      </c>
      <c r="I57" s="356"/>
      <c r="J57" s="357"/>
      <c r="K57" s="34"/>
      <c r="L57" s="118"/>
      <c r="M57" s="34"/>
      <c r="N57" s="137">
        <f t="shared" ref="N57:N73" si="2">N56+K57-M57</f>
        <v>0</v>
      </c>
    </row>
    <row r="58" spans="1:14" ht="15.75" hidden="1" x14ac:dyDescent="0.25">
      <c r="A58" s="134"/>
      <c r="B58" s="139"/>
      <c r="C58" s="69"/>
      <c r="D58" s="254"/>
      <c r="E58" s="69"/>
      <c r="F58" s="137">
        <f t="shared" si="0"/>
        <v>0</v>
      </c>
      <c r="I58" s="356"/>
      <c r="J58" s="357"/>
      <c r="K58" s="34"/>
      <c r="L58" s="118"/>
      <c r="M58" s="34"/>
      <c r="N58" s="137">
        <f t="shared" si="2"/>
        <v>0</v>
      </c>
    </row>
    <row r="59" spans="1:14" ht="15.75" hidden="1" x14ac:dyDescent="0.25">
      <c r="A59" s="134"/>
      <c r="B59" s="139"/>
      <c r="C59" s="69"/>
      <c r="D59" s="254"/>
      <c r="E59" s="69"/>
      <c r="F59" s="137">
        <f t="shared" si="0"/>
        <v>0</v>
      </c>
      <c r="I59" s="356"/>
      <c r="J59" s="357"/>
      <c r="K59" s="34"/>
      <c r="L59" s="118"/>
      <c r="M59" s="34"/>
      <c r="N59" s="137">
        <f t="shared" si="2"/>
        <v>0</v>
      </c>
    </row>
    <row r="60" spans="1:14" ht="15.75" hidden="1" x14ac:dyDescent="0.25">
      <c r="A60" s="134"/>
      <c r="B60" s="139"/>
      <c r="C60" s="69"/>
      <c r="D60" s="254"/>
      <c r="E60" s="69"/>
      <c r="F60" s="137">
        <f t="shared" si="0"/>
        <v>0</v>
      </c>
      <c r="I60" s="356"/>
      <c r="J60" s="357"/>
      <c r="K60" s="34"/>
      <c r="L60" s="118"/>
      <c r="M60" s="34"/>
      <c r="N60" s="137">
        <f t="shared" si="2"/>
        <v>0</v>
      </c>
    </row>
    <row r="61" spans="1:14" ht="15.75" hidden="1" x14ac:dyDescent="0.25">
      <c r="A61" s="134"/>
      <c r="B61" s="139"/>
      <c r="C61" s="69"/>
      <c r="D61" s="254"/>
      <c r="E61" s="69"/>
      <c r="F61" s="137">
        <f t="shared" si="0"/>
        <v>0</v>
      </c>
      <c r="I61" s="356"/>
      <c r="J61" s="357"/>
      <c r="K61" s="34"/>
      <c r="L61" s="118"/>
      <c r="M61" s="34"/>
      <c r="N61" s="137">
        <f t="shared" si="2"/>
        <v>0</v>
      </c>
    </row>
    <row r="62" spans="1:14" ht="15.75" hidden="1" x14ac:dyDescent="0.25">
      <c r="A62" s="356"/>
      <c r="B62" s="357"/>
      <c r="C62" s="34"/>
      <c r="D62" s="118"/>
      <c r="E62" s="34"/>
      <c r="F62" s="137">
        <f t="shared" si="0"/>
        <v>0</v>
      </c>
      <c r="I62" s="356"/>
      <c r="J62" s="357"/>
      <c r="K62" s="34"/>
      <c r="L62" s="118"/>
      <c r="M62" s="34"/>
      <c r="N62" s="137">
        <f t="shared" si="2"/>
        <v>0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0"/>
        <v>0</v>
      </c>
      <c r="I63" s="134"/>
      <c r="J63" s="139"/>
      <c r="K63" s="69"/>
      <c r="L63" s="254"/>
      <c r="M63" s="69"/>
      <c r="N63" s="137">
        <f t="shared" si="2"/>
        <v>0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0"/>
        <v>0</v>
      </c>
      <c r="I64" s="134"/>
      <c r="J64" s="139"/>
      <c r="K64" s="69"/>
      <c r="L64" s="254"/>
      <c r="M64" s="69"/>
      <c r="N64" s="137">
        <f t="shared" si="2"/>
        <v>0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0"/>
        <v>0</v>
      </c>
      <c r="I65" s="134"/>
      <c r="J65" s="139"/>
      <c r="K65" s="69"/>
      <c r="L65" s="254"/>
      <c r="M65" s="69"/>
      <c r="N65" s="137">
        <f t="shared" si="2"/>
        <v>0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0"/>
        <v>0</v>
      </c>
      <c r="I66" s="134"/>
      <c r="J66" s="139"/>
      <c r="K66" s="69"/>
      <c r="L66" s="254"/>
      <c r="M66" s="69"/>
      <c r="N66" s="137">
        <f t="shared" si="2"/>
        <v>0</v>
      </c>
    </row>
    <row r="67" spans="1:14" ht="15.75" hidden="1" x14ac:dyDescent="0.25">
      <c r="A67" s="134"/>
      <c r="B67" s="139"/>
      <c r="C67" s="69"/>
      <c r="D67" s="254"/>
      <c r="E67" s="69"/>
      <c r="F67" s="137">
        <f t="shared" si="0"/>
        <v>0</v>
      </c>
      <c r="I67" s="134"/>
      <c r="J67" s="139"/>
      <c r="K67" s="69"/>
      <c r="L67" s="254"/>
      <c r="M67" s="69"/>
      <c r="N67" s="137">
        <f t="shared" si="2"/>
        <v>0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0"/>
        <v>0</v>
      </c>
      <c r="I68" s="134"/>
      <c r="J68" s="139"/>
      <c r="K68" s="69"/>
      <c r="L68" s="254"/>
      <c r="M68" s="69"/>
      <c r="N68" s="137">
        <f t="shared" si="2"/>
        <v>0</v>
      </c>
    </row>
    <row r="69" spans="1:14" ht="15.75" hidden="1" x14ac:dyDescent="0.25">
      <c r="A69" s="134"/>
      <c r="B69" s="139"/>
      <c r="C69" s="69"/>
      <c r="D69" s="254"/>
      <c r="E69" s="69"/>
      <c r="F69" s="137">
        <f>F68+C69-E69</f>
        <v>0</v>
      </c>
      <c r="I69" s="134"/>
      <c r="J69" s="139"/>
      <c r="K69" s="69"/>
      <c r="L69" s="254"/>
      <c r="M69" s="69"/>
      <c r="N69" s="137">
        <f t="shared" si="2"/>
        <v>0</v>
      </c>
    </row>
    <row r="70" spans="1:14" ht="15.75" hidden="1" x14ac:dyDescent="0.25">
      <c r="A70" s="134"/>
      <c r="B70" s="139"/>
      <c r="C70" s="69"/>
      <c r="D70" s="254"/>
      <c r="E70" s="69"/>
      <c r="F70" s="137">
        <f>F69+C70-E70</f>
        <v>0</v>
      </c>
      <c r="I70" s="134"/>
      <c r="J70" s="139"/>
      <c r="K70" s="69"/>
      <c r="L70" s="254"/>
      <c r="M70" s="69"/>
      <c r="N70" s="137">
        <f t="shared" si="2"/>
        <v>0</v>
      </c>
    </row>
    <row r="71" spans="1:14" ht="15.75" hidden="1" x14ac:dyDescent="0.25">
      <c r="A71" s="134"/>
      <c r="B71" s="139"/>
      <c r="C71" s="69"/>
      <c r="D71" s="254"/>
      <c r="E71" s="69"/>
      <c r="F71" s="137">
        <f>F70+C71-E71</f>
        <v>0</v>
      </c>
      <c r="I71" s="134"/>
      <c r="J71" s="139"/>
      <c r="K71" s="69"/>
      <c r="L71" s="254"/>
      <c r="M71" s="69"/>
      <c r="N71" s="137">
        <f t="shared" si="2"/>
        <v>0</v>
      </c>
    </row>
    <row r="72" spans="1:14" ht="15.75" hidden="1" x14ac:dyDescent="0.25">
      <c r="A72" s="134"/>
      <c r="B72" s="139"/>
      <c r="C72" s="69"/>
      <c r="D72" s="254"/>
      <c r="E72" s="69"/>
      <c r="F72" s="137">
        <f>F71+C72-E72</f>
        <v>0</v>
      </c>
      <c r="I72" s="134"/>
      <c r="J72" s="139"/>
      <c r="K72" s="69"/>
      <c r="L72" s="254"/>
      <c r="M72" s="69"/>
      <c r="N72" s="137">
        <f t="shared" si="2"/>
        <v>0</v>
      </c>
    </row>
    <row r="73" spans="1:14" ht="16.5" thickBot="1" x14ac:dyDescent="0.3">
      <c r="A73" s="149"/>
      <c r="B73" s="210"/>
      <c r="C73" s="34">
        <v>0</v>
      </c>
      <c r="D73" s="255"/>
      <c r="E73" s="151"/>
      <c r="F73" s="137">
        <f>F72+C73-E73</f>
        <v>0</v>
      </c>
      <c r="I73" s="149"/>
      <c r="J73" s="150"/>
      <c r="K73" s="151">
        <v>0</v>
      </c>
      <c r="L73" s="255"/>
      <c r="M73" s="151">
        <v>0</v>
      </c>
      <c r="N73" s="137">
        <f t="shared" si="2"/>
        <v>0</v>
      </c>
    </row>
    <row r="74" spans="1:14" ht="19.5" thickTop="1" x14ac:dyDescent="0.3">
      <c r="B74" s="211"/>
      <c r="C74" s="212">
        <f>SUM(C3:C73)</f>
        <v>1567070.66</v>
      </c>
      <c r="D74" s="256"/>
      <c r="E74" s="1"/>
      <c r="F74" s="153">
        <f>F73</f>
        <v>0</v>
      </c>
      <c r="K74" s="209">
        <f>SUM(K3:K73)</f>
        <v>590104.74</v>
      </c>
      <c r="L74" s="256"/>
      <c r="M74" s="1">
        <f>SUM(M3:M73)</f>
        <v>590104.74</v>
      </c>
      <c r="N74" s="153">
        <f>K74-M74</f>
        <v>0</v>
      </c>
    </row>
    <row r="75" spans="1:14" ht="15.75" thickBot="1" x14ac:dyDescent="0.3">
      <c r="B75" s="213"/>
      <c r="C75" s="214"/>
      <c r="D75" s="256"/>
      <c r="E75" s="3"/>
      <c r="F75" s="571" t="s">
        <v>207</v>
      </c>
      <c r="K75" s="1"/>
      <c r="L75" s="256"/>
      <c r="M75" s="3"/>
      <c r="N75" s="1"/>
    </row>
    <row r="76" spans="1:14" x14ac:dyDescent="0.25">
      <c r="B76" s="98"/>
      <c r="C76" s="1"/>
      <c r="D76" s="256"/>
      <c r="E76" s="3"/>
      <c r="F76" s="572"/>
      <c r="K76" s="1"/>
      <c r="L76" s="256"/>
      <c r="M76" s="3"/>
      <c r="N76" s="1"/>
    </row>
    <row r="77" spans="1:14" x14ac:dyDescent="0.25">
      <c r="A77"/>
      <c r="B77" s="23"/>
      <c r="I77"/>
      <c r="J77" s="194"/>
    </row>
    <row r="78" spans="1:14" x14ac:dyDescent="0.25">
      <c r="A78"/>
      <c r="B78" s="23"/>
      <c r="I78"/>
      <c r="J78" s="194"/>
    </row>
    <row r="79" spans="1:14" x14ac:dyDescent="0.25">
      <c r="A79"/>
      <c r="B79" s="23"/>
      <c r="I79"/>
      <c r="J79" s="194"/>
    </row>
    <row r="80" spans="1:14" ht="15.75" x14ac:dyDescent="0.25">
      <c r="A80"/>
      <c r="B80" s="23"/>
      <c r="C80" s="96"/>
      <c r="F80"/>
      <c r="I80"/>
      <c r="J80" s="194"/>
      <c r="N80"/>
    </row>
    <row r="81" spans="1:14" ht="15.75" x14ac:dyDescent="0.25">
      <c r="A81"/>
      <c r="B81" s="23"/>
      <c r="C81" s="96"/>
      <c r="F81"/>
      <c r="I81"/>
      <c r="J81" s="194"/>
      <c r="N81"/>
    </row>
    <row r="82" spans="1:14" ht="15.75" x14ac:dyDescent="0.25">
      <c r="A82"/>
      <c r="B82" s="23"/>
      <c r="C82" s="96"/>
      <c r="F82"/>
      <c r="I82"/>
      <c r="J82" s="194"/>
      <c r="N82"/>
    </row>
    <row r="83" spans="1:14" ht="15.75" x14ac:dyDescent="0.25">
      <c r="A83"/>
      <c r="B83" s="23"/>
      <c r="C83" s="96"/>
      <c r="F83"/>
      <c r="I83"/>
      <c r="J83" s="194"/>
      <c r="N83"/>
    </row>
    <row r="84" spans="1:14" ht="15.75" x14ac:dyDescent="0.25">
      <c r="A84"/>
      <c r="B84" s="23"/>
      <c r="C84" s="96"/>
      <c r="F84"/>
      <c r="I84"/>
      <c r="J84" s="194"/>
      <c r="N84"/>
    </row>
    <row r="85" spans="1:14" ht="15.75" x14ac:dyDescent="0.25">
      <c r="A85"/>
      <c r="B85" s="23"/>
      <c r="C85" s="96"/>
      <c r="F85"/>
      <c r="I85"/>
      <c r="J85" s="194"/>
      <c r="N85"/>
    </row>
    <row r="86" spans="1:14" ht="15.75" x14ac:dyDescent="0.25">
      <c r="A86"/>
      <c r="B86" s="23"/>
      <c r="C86" s="96"/>
      <c r="F86"/>
      <c r="I86"/>
      <c r="J86" s="194"/>
      <c r="N86"/>
    </row>
    <row r="87" spans="1:14" ht="15.75" x14ac:dyDescent="0.25">
      <c r="A87"/>
      <c r="B87" s="23"/>
      <c r="C87" s="96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E89"/>
      <c r="F89"/>
      <c r="I89"/>
      <c r="J89" s="194"/>
      <c r="M89"/>
      <c r="N89"/>
    </row>
    <row r="90" spans="1:14" x14ac:dyDescent="0.25">
      <c r="A90"/>
      <c r="B90" s="23"/>
      <c r="E90"/>
      <c r="F90"/>
      <c r="I90"/>
      <c r="J90" s="194"/>
      <c r="M90"/>
      <c r="N90"/>
    </row>
    <row r="91" spans="1:14" x14ac:dyDescent="0.25">
      <c r="A91"/>
      <c r="B91" s="23"/>
      <c r="E91"/>
      <c r="F91"/>
      <c r="I91"/>
      <c r="J91" s="194"/>
      <c r="M91"/>
      <c r="N91"/>
    </row>
    <row r="92" spans="1:14" x14ac:dyDescent="0.25">
      <c r="A92"/>
      <c r="B92" s="23"/>
      <c r="E92"/>
      <c r="F92"/>
      <c r="I92"/>
      <c r="J92" s="194"/>
      <c r="M92"/>
      <c r="N92"/>
    </row>
    <row r="93" spans="1:14" x14ac:dyDescent="0.25">
      <c r="A93"/>
      <c r="B93" s="23"/>
      <c r="E93"/>
      <c r="F93"/>
      <c r="I93"/>
      <c r="J93" s="194"/>
      <c r="M93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B95" s="23"/>
      <c r="E95"/>
      <c r="J95" s="194"/>
      <c r="M95"/>
    </row>
    <row r="96" spans="1:14" x14ac:dyDescent="0.25">
      <c r="B96" s="23"/>
      <c r="E96"/>
      <c r="J96" s="194"/>
      <c r="M96"/>
    </row>
    <row r="97" spans="2:13" x14ac:dyDescent="0.25">
      <c r="B97" s="23"/>
      <c r="E97"/>
      <c r="J97" s="194"/>
      <c r="M97"/>
    </row>
    <row r="98" spans="2:13" x14ac:dyDescent="0.25">
      <c r="B98" s="23"/>
      <c r="E98"/>
      <c r="J98" s="194"/>
      <c r="M98"/>
    </row>
    <row r="99" spans="2:13" x14ac:dyDescent="0.25">
      <c r="B99" s="23"/>
      <c r="E99"/>
      <c r="J99" s="194"/>
      <c r="M99"/>
    </row>
    <row r="100" spans="2:13" x14ac:dyDescent="0.25">
      <c r="B100" s="23"/>
      <c r="E100"/>
      <c r="J100" s="194"/>
      <c r="M100"/>
    </row>
    <row r="101" spans="2:13" x14ac:dyDescent="0.25">
      <c r="B101" s="23"/>
      <c r="E101"/>
      <c r="J101" s="194"/>
      <c r="M101"/>
    </row>
    <row r="102" spans="2:13" x14ac:dyDescent="0.25">
      <c r="B102" s="23"/>
      <c r="E102"/>
      <c r="J102" s="194"/>
      <c r="M102"/>
    </row>
    <row r="103" spans="2:13" x14ac:dyDescent="0.25">
      <c r="B103" s="23"/>
      <c r="E103"/>
      <c r="J103" s="194"/>
      <c r="M103"/>
    </row>
    <row r="104" spans="2:13" x14ac:dyDescent="0.25">
      <c r="B104" s="23"/>
      <c r="J104" s="194"/>
    </row>
    <row r="105" spans="2:13" x14ac:dyDescent="0.25">
      <c r="B105" s="23"/>
      <c r="J105" s="194"/>
    </row>
    <row r="106" spans="2:13" x14ac:dyDescent="0.25">
      <c r="B106" s="23"/>
      <c r="J106" s="194"/>
    </row>
    <row r="107" spans="2:13" x14ac:dyDescent="0.25">
      <c r="B107" s="23"/>
      <c r="J107" s="194"/>
    </row>
    <row r="108" spans="2:13" x14ac:dyDescent="0.25">
      <c r="B108" s="23"/>
      <c r="J108" s="194"/>
    </row>
    <row r="109" spans="2:13" x14ac:dyDescent="0.25">
      <c r="B109" s="23"/>
      <c r="J109" s="194"/>
    </row>
    <row r="110" spans="2:13" ht="18.75" x14ac:dyDescent="0.3">
      <c r="C110" s="154"/>
      <c r="K110" s="154"/>
    </row>
  </sheetData>
  <mergeCells count="1">
    <mergeCell ref="F75:F76"/>
  </mergeCells>
  <pageMargins left="0.35433070866141736" right="0.23622047244094491" top="0.43307086614173229" bottom="0.35433070866141736" header="0.31496062992125984" footer="0.31496062992125984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Z80"/>
  <sheetViews>
    <sheetView topLeftCell="A43" workbookViewId="0">
      <selection activeCell="F61" sqref="F6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3"/>
      <c r="C1" s="575" t="s">
        <v>316</v>
      </c>
      <c r="D1" s="576"/>
      <c r="E1" s="576"/>
      <c r="F1" s="576"/>
      <c r="G1" s="576"/>
      <c r="H1" s="576"/>
      <c r="I1" s="576"/>
      <c r="J1" s="576"/>
      <c r="K1" s="576"/>
      <c r="L1" s="576"/>
      <c r="M1" s="576"/>
    </row>
    <row r="2" spans="1:25" ht="16.5" thickBot="1" x14ac:dyDescent="0.3">
      <c r="B2" s="534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  <c r="P3" s="563" t="s">
        <v>6</v>
      </c>
      <c r="R3" s="573" t="s">
        <v>216</v>
      </c>
    </row>
    <row r="4" spans="1:25" ht="32.25" thickTop="1" thickBot="1" x14ac:dyDescent="0.35">
      <c r="A4" s="15" t="s">
        <v>1</v>
      </c>
      <c r="B4" s="16"/>
      <c r="C4" s="17">
        <v>754143.23</v>
      </c>
      <c r="D4" s="18">
        <v>44563</v>
      </c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64"/>
      <c r="Q4" s="322" t="s">
        <v>217</v>
      </c>
      <c r="R4" s="574"/>
      <c r="W4" s="546" t="s">
        <v>124</v>
      </c>
      <c r="X4" s="546"/>
      <c r="Y4" s="227"/>
    </row>
    <row r="5" spans="1:25" ht="18" thickBot="1" x14ac:dyDescent="0.35">
      <c r="A5" s="23" t="s">
        <v>7</v>
      </c>
      <c r="B5" s="24">
        <v>44564</v>
      </c>
      <c r="C5" s="25">
        <v>23303</v>
      </c>
      <c r="D5" s="26" t="s">
        <v>319</v>
      </c>
      <c r="E5" s="27">
        <v>44564</v>
      </c>
      <c r="F5" s="28">
        <v>65610</v>
      </c>
      <c r="G5" s="2"/>
      <c r="H5" s="29">
        <v>44564</v>
      </c>
      <c r="I5" s="30">
        <v>80</v>
      </c>
      <c r="J5" s="37"/>
      <c r="K5" s="31"/>
      <c r="L5" s="9"/>
      <c r="M5" s="32">
        <v>15563</v>
      </c>
      <c r="N5" s="33">
        <v>26664</v>
      </c>
      <c r="O5" s="318"/>
      <c r="P5" s="34">
        <f>N5+M5+L5+I5+C5</f>
        <v>65610</v>
      </c>
      <c r="Q5" s="325">
        <f>P5-F5</f>
        <v>0</v>
      </c>
      <c r="R5" s="379">
        <v>0</v>
      </c>
      <c r="S5" s="324"/>
      <c r="W5" s="546"/>
      <c r="X5" s="546"/>
      <c r="Y5" s="233"/>
    </row>
    <row r="6" spans="1:25" ht="18" thickBot="1" x14ac:dyDescent="0.35">
      <c r="A6" s="23"/>
      <c r="B6" s="24">
        <v>44565</v>
      </c>
      <c r="C6" s="25">
        <v>9203</v>
      </c>
      <c r="D6" s="35" t="s">
        <v>320</v>
      </c>
      <c r="E6" s="27">
        <v>44565</v>
      </c>
      <c r="F6" s="28">
        <v>48050</v>
      </c>
      <c r="G6" s="2"/>
      <c r="H6" s="36">
        <v>44565</v>
      </c>
      <c r="I6" s="30">
        <v>492.5</v>
      </c>
      <c r="J6" s="37"/>
      <c r="K6" s="38"/>
      <c r="L6" s="39"/>
      <c r="M6" s="32">
        <v>25940.5</v>
      </c>
      <c r="N6" s="33">
        <v>12414</v>
      </c>
      <c r="O6" s="2"/>
      <c r="P6" s="39">
        <f>N6+M6+L6+I6+C6</f>
        <v>48050</v>
      </c>
      <c r="Q6" s="325">
        <f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44566</v>
      </c>
      <c r="C7" s="25">
        <v>42261</v>
      </c>
      <c r="D7" s="40" t="s">
        <v>322</v>
      </c>
      <c r="E7" s="27">
        <v>44566</v>
      </c>
      <c r="F7" s="28">
        <v>66006</v>
      </c>
      <c r="G7" s="2"/>
      <c r="H7" s="36">
        <v>44566</v>
      </c>
      <c r="I7" s="30">
        <v>1544</v>
      </c>
      <c r="J7" s="37"/>
      <c r="K7" s="38"/>
      <c r="L7" s="39">
        <v>0</v>
      </c>
      <c r="M7" s="32">
        <v>0</v>
      </c>
      <c r="N7" s="33">
        <v>22201</v>
      </c>
      <c r="O7" s="224"/>
      <c r="P7" s="39">
        <f t="shared" ref="P7:P32" si="0">N7+M7+L7+I7+C7</f>
        <v>66006</v>
      </c>
      <c r="Q7" s="317">
        <f t="shared" ref="Q7:Q35" si="1">P7-F7</f>
        <v>0</v>
      </c>
      <c r="R7" s="319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44567</v>
      </c>
      <c r="C8" s="25">
        <v>10121</v>
      </c>
      <c r="D8" s="42" t="s">
        <v>321</v>
      </c>
      <c r="E8" s="27">
        <v>44567</v>
      </c>
      <c r="F8" s="28">
        <v>86406</v>
      </c>
      <c r="G8" s="2"/>
      <c r="H8" s="36">
        <v>44567</v>
      </c>
      <c r="I8" s="30">
        <v>659</v>
      </c>
      <c r="J8" s="43"/>
      <c r="K8" s="38"/>
      <c r="L8" s="39"/>
      <c r="M8" s="32">
        <f>37571+8820</f>
        <v>46391</v>
      </c>
      <c r="N8" s="33">
        <v>29235</v>
      </c>
      <c r="O8" s="2"/>
      <c r="P8" s="39">
        <f t="shared" si="0"/>
        <v>86406</v>
      </c>
      <c r="Q8" s="317">
        <f t="shared" si="1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44568</v>
      </c>
      <c r="C9" s="25">
        <v>4910</v>
      </c>
      <c r="D9" s="42" t="s">
        <v>323</v>
      </c>
      <c r="E9" s="27">
        <v>44568</v>
      </c>
      <c r="F9" s="28">
        <v>75592</v>
      </c>
      <c r="G9" s="2"/>
      <c r="H9" s="36">
        <v>44568</v>
      </c>
      <c r="I9" s="30">
        <v>596</v>
      </c>
      <c r="J9" s="37"/>
      <c r="K9" s="223"/>
      <c r="L9" s="39"/>
      <c r="M9" s="32">
        <v>39085</v>
      </c>
      <c r="N9" s="33">
        <v>30992</v>
      </c>
      <c r="O9" s="2"/>
      <c r="P9" s="39">
        <f t="shared" ref="P9:P14" si="2">N9+M9+L9+I9+C9</f>
        <v>75583</v>
      </c>
      <c r="Q9" s="337">
        <f t="shared" si="1"/>
        <v>-9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44569</v>
      </c>
      <c r="C10" s="25">
        <v>12108</v>
      </c>
      <c r="D10" s="40" t="s">
        <v>324</v>
      </c>
      <c r="E10" s="27">
        <v>44569</v>
      </c>
      <c r="F10" s="28">
        <v>86693</v>
      </c>
      <c r="G10" s="2"/>
      <c r="H10" s="36">
        <v>44569</v>
      </c>
      <c r="I10" s="30">
        <v>2848.5</v>
      </c>
      <c r="J10" s="37">
        <v>44569</v>
      </c>
      <c r="K10" s="167" t="s">
        <v>245</v>
      </c>
      <c r="L10" s="45">
        <v>12544.83</v>
      </c>
      <c r="M10" s="32">
        <f>1881+18712</f>
        <v>20593</v>
      </c>
      <c r="N10" s="33">
        <v>40489</v>
      </c>
      <c r="O10" s="2"/>
      <c r="P10" s="39">
        <f t="shared" si="2"/>
        <v>88583.33</v>
      </c>
      <c r="Q10" s="317">
        <v>0</v>
      </c>
      <c r="R10" s="388">
        <v>1891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44570</v>
      </c>
      <c r="C11" s="25">
        <v>0</v>
      </c>
      <c r="D11" s="35"/>
      <c r="E11" s="27">
        <v>44570</v>
      </c>
      <c r="F11" s="28">
        <v>62715</v>
      </c>
      <c r="G11" s="2"/>
      <c r="H11" s="36">
        <v>44570</v>
      </c>
      <c r="I11" s="30">
        <v>880</v>
      </c>
      <c r="J11" s="43"/>
      <c r="K11" s="168"/>
      <c r="L11" s="39"/>
      <c r="M11" s="32">
        <v>39250</v>
      </c>
      <c r="N11" s="33">
        <v>22585</v>
      </c>
      <c r="O11" s="2"/>
      <c r="P11" s="39">
        <f t="shared" si="2"/>
        <v>62715</v>
      </c>
      <c r="Q11" s="317">
        <f t="shared" si="1"/>
        <v>0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44571</v>
      </c>
      <c r="C12" s="25">
        <v>20407</v>
      </c>
      <c r="D12" s="35" t="s">
        <v>326</v>
      </c>
      <c r="E12" s="27">
        <v>44571</v>
      </c>
      <c r="F12" s="28">
        <v>63623</v>
      </c>
      <c r="G12" s="2"/>
      <c r="H12" s="36">
        <v>44571</v>
      </c>
      <c r="I12" s="30">
        <v>2154</v>
      </c>
      <c r="J12" s="37"/>
      <c r="K12" s="169"/>
      <c r="L12" s="39"/>
      <c r="M12" s="32">
        <v>14290</v>
      </c>
      <c r="N12" s="33">
        <v>26772</v>
      </c>
      <c r="O12" s="328"/>
      <c r="P12" s="39">
        <f t="shared" si="2"/>
        <v>63623</v>
      </c>
      <c r="Q12" s="317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44572</v>
      </c>
      <c r="C13" s="25">
        <v>9161</v>
      </c>
      <c r="D13" s="42" t="s">
        <v>327</v>
      </c>
      <c r="E13" s="27">
        <v>44572</v>
      </c>
      <c r="F13" s="28">
        <v>66645</v>
      </c>
      <c r="G13" s="2"/>
      <c r="H13" s="36">
        <v>44572</v>
      </c>
      <c r="I13" s="30">
        <v>1722.4</v>
      </c>
      <c r="J13" s="37"/>
      <c r="K13" s="38"/>
      <c r="L13" s="39"/>
      <c r="M13" s="32">
        <v>42101</v>
      </c>
      <c r="N13" s="33">
        <v>13661</v>
      </c>
      <c r="O13" s="2"/>
      <c r="P13" s="39">
        <f t="shared" si="2"/>
        <v>66645.399999999994</v>
      </c>
      <c r="Q13" s="317">
        <f t="shared" si="1"/>
        <v>0.39999999999417923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44573</v>
      </c>
      <c r="C14" s="25">
        <v>6572.5</v>
      </c>
      <c r="D14" s="40" t="s">
        <v>328</v>
      </c>
      <c r="E14" s="27">
        <v>44573</v>
      </c>
      <c r="F14" s="28">
        <v>70058</v>
      </c>
      <c r="G14" s="2"/>
      <c r="H14" s="36">
        <v>44573</v>
      </c>
      <c r="I14" s="30">
        <v>991</v>
      </c>
      <c r="J14" s="37"/>
      <c r="K14" s="38"/>
      <c r="L14" s="39"/>
      <c r="M14" s="32">
        <v>34617.5</v>
      </c>
      <c r="N14" s="33">
        <v>27877</v>
      </c>
      <c r="O14" s="2"/>
      <c r="P14" s="39">
        <f t="shared" si="2"/>
        <v>70058</v>
      </c>
      <c r="Q14" s="386">
        <f t="shared" si="1"/>
        <v>0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44574</v>
      </c>
      <c r="C15" s="25">
        <v>7387.5</v>
      </c>
      <c r="D15" s="40" t="s">
        <v>329</v>
      </c>
      <c r="E15" s="27">
        <v>44574</v>
      </c>
      <c r="F15" s="28">
        <v>60979</v>
      </c>
      <c r="G15" s="2"/>
      <c r="H15" s="36">
        <v>44574</v>
      </c>
      <c r="I15" s="30">
        <v>1815</v>
      </c>
      <c r="J15" s="37"/>
      <c r="K15" s="38"/>
      <c r="L15" s="39"/>
      <c r="M15" s="32">
        <f>2150+34222.5</f>
        <v>36372.5</v>
      </c>
      <c r="N15" s="33">
        <v>15404</v>
      </c>
      <c r="P15" s="39">
        <f t="shared" si="0"/>
        <v>60979</v>
      </c>
      <c r="Q15" s="386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44575</v>
      </c>
      <c r="C16" s="25">
        <v>12884</v>
      </c>
      <c r="D16" s="35" t="s">
        <v>330</v>
      </c>
      <c r="E16" s="27">
        <v>44575</v>
      </c>
      <c r="F16" s="28">
        <v>90379</v>
      </c>
      <c r="G16" s="2"/>
      <c r="H16" s="36">
        <v>44575</v>
      </c>
      <c r="I16" s="30">
        <v>1748</v>
      </c>
      <c r="J16" s="37"/>
      <c r="K16" s="169"/>
      <c r="L16" s="9"/>
      <c r="M16" s="32">
        <v>55872</v>
      </c>
      <c r="N16" s="33">
        <v>19875</v>
      </c>
      <c r="O16" s="330"/>
      <c r="P16" s="39">
        <f t="shared" si="0"/>
        <v>90379</v>
      </c>
      <c r="Q16" s="317">
        <f t="shared" si="1"/>
        <v>0</v>
      </c>
      <c r="R16" s="382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44576</v>
      </c>
      <c r="C17" s="25">
        <v>4430</v>
      </c>
      <c r="D17" s="42" t="s">
        <v>112</v>
      </c>
      <c r="E17" s="27">
        <v>44576</v>
      </c>
      <c r="F17" s="28">
        <v>101926</v>
      </c>
      <c r="G17" s="2"/>
      <c r="H17" s="36">
        <v>44576</v>
      </c>
      <c r="I17" s="30">
        <v>9042</v>
      </c>
      <c r="J17" s="37">
        <v>44576</v>
      </c>
      <c r="K17" s="38" t="s">
        <v>325</v>
      </c>
      <c r="L17" s="45">
        <f>12714+1607</f>
        <v>14321</v>
      </c>
      <c r="M17" s="32">
        <f>2319+22277</f>
        <v>24596</v>
      </c>
      <c r="N17" s="33">
        <v>49537</v>
      </c>
      <c r="P17" s="39">
        <f t="shared" si="0"/>
        <v>101926</v>
      </c>
      <c r="Q17" s="317" t="s">
        <v>7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44577</v>
      </c>
      <c r="C18" s="25">
        <v>0</v>
      </c>
      <c r="D18" s="35"/>
      <c r="E18" s="27">
        <v>44577</v>
      </c>
      <c r="F18" s="28">
        <v>75392</v>
      </c>
      <c r="G18" s="2"/>
      <c r="H18" s="36">
        <v>44577</v>
      </c>
      <c r="I18" s="30">
        <v>414</v>
      </c>
      <c r="J18" s="37"/>
      <c r="K18" s="170"/>
      <c r="L18" s="39"/>
      <c r="M18" s="32">
        <f>50200+2694</f>
        <v>52894</v>
      </c>
      <c r="N18" s="33">
        <v>22084</v>
      </c>
      <c r="P18" s="39">
        <f t="shared" si="0"/>
        <v>75392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44578</v>
      </c>
      <c r="C19" s="25">
        <v>10953</v>
      </c>
      <c r="D19" s="35" t="s">
        <v>333</v>
      </c>
      <c r="E19" s="27">
        <v>44578</v>
      </c>
      <c r="F19" s="28">
        <v>75369</v>
      </c>
      <c r="G19" s="2"/>
      <c r="H19" s="36">
        <v>44578</v>
      </c>
      <c r="I19" s="30">
        <v>283.5</v>
      </c>
      <c r="J19" s="37"/>
      <c r="K19" s="46"/>
      <c r="L19" s="47"/>
      <c r="M19" s="32">
        <v>32043.5</v>
      </c>
      <c r="N19" s="33">
        <v>32089</v>
      </c>
      <c r="P19" s="39">
        <f t="shared" si="0"/>
        <v>75369</v>
      </c>
      <c r="Q19" s="317">
        <f t="shared" si="1"/>
        <v>0</v>
      </c>
      <c r="R19" s="319">
        <v>0</v>
      </c>
      <c r="S19" s="147"/>
      <c r="W19" s="550">
        <f>SUM(W6:W18)</f>
        <v>0</v>
      </c>
      <c r="X19" s="240"/>
      <c r="Y19" s="233"/>
    </row>
    <row r="20" spans="1:26" ht="18" thickBot="1" x14ac:dyDescent="0.35">
      <c r="A20" s="23"/>
      <c r="B20" s="24">
        <v>44579</v>
      </c>
      <c r="C20" s="25">
        <v>9987.68</v>
      </c>
      <c r="D20" s="35" t="s">
        <v>334</v>
      </c>
      <c r="E20" s="27">
        <v>44579</v>
      </c>
      <c r="F20" s="28">
        <v>80067</v>
      </c>
      <c r="G20" s="2"/>
      <c r="H20" s="36">
        <v>44579</v>
      </c>
      <c r="I20" s="30">
        <v>2777</v>
      </c>
      <c r="J20" s="37"/>
      <c r="K20" s="171"/>
      <c r="L20" s="45"/>
      <c r="M20" s="32">
        <f>6300+40345</f>
        <v>46645</v>
      </c>
      <c r="N20" s="33">
        <v>20658</v>
      </c>
      <c r="P20" s="39">
        <f t="shared" si="0"/>
        <v>80067.679999999993</v>
      </c>
      <c r="Q20" s="317">
        <f t="shared" si="1"/>
        <v>0.67999999999301508</v>
      </c>
      <c r="R20" s="319">
        <v>0</v>
      </c>
      <c r="S20" s="147"/>
      <c r="W20" s="551"/>
      <c r="X20" s="268"/>
      <c r="Y20" s="233"/>
    </row>
    <row r="21" spans="1:26" ht="19.5" thickBot="1" x14ac:dyDescent="0.35">
      <c r="A21" s="23"/>
      <c r="B21" s="24">
        <v>44580</v>
      </c>
      <c r="C21" s="25">
        <v>19604</v>
      </c>
      <c r="D21" s="35" t="s">
        <v>336</v>
      </c>
      <c r="E21" s="27">
        <v>44580</v>
      </c>
      <c r="F21" s="28">
        <v>74086</v>
      </c>
      <c r="G21" s="2"/>
      <c r="H21" s="36">
        <v>44580</v>
      </c>
      <c r="I21" s="30">
        <v>3492</v>
      </c>
      <c r="J21" s="37"/>
      <c r="K21" s="48"/>
      <c r="L21" s="45"/>
      <c r="M21" s="32">
        <f>19176+306848+58407+12019.66+3238.65+2807.56</f>
        <v>402496.87</v>
      </c>
      <c r="N21" s="33">
        <v>25767</v>
      </c>
      <c r="P21" s="39">
        <f t="shared" si="0"/>
        <v>451359.87</v>
      </c>
      <c r="Q21" s="387">
        <v>0</v>
      </c>
      <c r="R21" s="389">
        <v>377273.87</v>
      </c>
      <c r="S21" s="147"/>
      <c r="W21" s="552"/>
      <c r="X21" s="552"/>
      <c r="Y21" s="233"/>
      <c r="Z21" s="128"/>
    </row>
    <row r="22" spans="1:26" ht="18" thickBot="1" x14ac:dyDescent="0.35">
      <c r="A22" s="23"/>
      <c r="B22" s="24">
        <v>44581</v>
      </c>
      <c r="C22" s="25">
        <v>7528</v>
      </c>
      <c r="D22" s="35" t="s">
        <v>335</v>
      </c>
      <c r="E22" s="27">
        <v>44581</v>
      </c>
      <c r="F22" s="28">
        <v>74975</v>
      </c>
      <c r="G22" s="2"/>
      <c r="H22" s="36">
        <v>44581</v>
      </c>
      <c r="I22" s="30">
        <v>1194</v>
      </c>
      <c r="J22" s="37"/>
      <c r="K22" s="31"/>
      <c r="L22" s="49"/>
      <c r="M22" s="32">
        <v>43604</v>
      </c>
      <c r="N22" s="33">
        <v>22649</v>
      </c>
      <c r="P22" s="39">
        <f t="shared" si="0"/>
        <v>74975</v>
      </c>
      <c r="Q22" s="317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44582</v>
      </c>
      <c r="C23" s="25">
        <v>5287</v>
      </c>
      <c r="D23" s="35" t="s">
        <v>328</v>
      </c>
      <c r="E23" s="27">
        <v>44582</v>
      </c>
      <c r="F23" s="28">
        <v>100402</v>
      </c>
      <c r="G23" s="2"/>
      <c r="H23" s="36">
        <v>44582</v>
      </c>
      <c r="I23" s="30">
        <v>3015</v>
      </c>
      <c r="J23" s="50"/>
      <c r="K23" s="172"/>
      <c r="L23" s="45"/>
      <c r="M23" s="32">
        <f>67068+6145</f>
        <v>73213</v>
      </c>
      <c r="N23" s="33">
        <v>18887</v>
      </c>
      <c r="P23" s="39">
        <f t="shared" si="0"/>
        <v>100402</v>
      </c>
      <c r="Q23" s="317">
        <f t="shared" si="1"/>
        <v>0</v>
      </c>
      <c r="R23" s="319">
        <v>0</v>
      </c>
      <c r="S23" s="147"/>
      <c r="W23" s="553"/>
      <c r="X23" s="553"/>
      <c r="Y23" s="233"/>
      <c r="Z23" s="128"/>
    </row>
    <row r="24" spans="1:26" ht="18" thickBot="1" x14ac:dyDescent="0.35">
      <c r="A24" s="23"/>
      <c r="B24" s="24">
        <v>44583</v>
      </c>
      <c r="C24" s="25">
        <v>14793</v>
      </c>
      <c r="D24" s="42" t="s">
        <v>338</v>
      </c>
      <c r="E24" s="27">
        <v>44583</v>
      </c>
      <c r="F24" s="28">
        <v>101068</v>
      </c>
      <c r="G24" s="2"/>
      <c r="H24" s="36">
        <v>44583</v>
      </c>
      <c r="I24" s="30">
        <v>1622</v>
      </c>
      <c r="J24" s="51">
        <v>44583</v>
      </c>
      <c r="K24" s="173" t="s">
        <v>345</v>
      </c>
      <c r="L24" s="52">
        <v>12971.14</v>
      </c>
      <c r="M24" s="32">
        <v>34971</v>
      </c>
      <c r="N24" s="33">
        <v>36711</v>
      </c>
      <c r="P24" s="39">
        <f t="shared" si="0"/>
        <v>101068.14</v>
      </c>
      <c r="Q24" s="317">
        <f t="shared" si="1"/>
        <v>0.13999999999941792</v>
      </c>
      <c r="R24" s="319">
        <v>0</v>
      </c>
      <c r="S24" s="147"/>
      <c r="W24" s="553"/>
      <c r="X24" s="553"/>
      <c r="Y24" s="233"/>
      <c r="Z24" s="128"/>
    </row>
    <row r="25" spans="1:26" ht="19.5" thickBot="1" x14ac:dyDescent="0.35">
      <c r="A25" s="23"/>
      <c r="B25" s="24">
        <v>44584</v>
      </c>
      <c r="C25" s="25">
        <v>0</v>
      </c>
      <c r="D25" s="35"/>
      <c r="E25" s="27">
        <v>44584</v>
      </c>
      <c r="F25" s="28">
        <v>76044</v>
      </c>
      <c r="G25" s="2"/>
      <c r="H25" s="36">
        <v>44584</v>
      </c>
      <c r="I25" s="30">
        <v>1589</v>
      </c>
      <c r="J25" s="50"/>
      <c r="K25" s="38"/>
      <c r="L25" s="54"/>
      <c r="M25" s="32">
        <v>47007</v>
      </c>
      <c r="N25" s="33">
        <v>27448</v>
      </c>
      <c r="P25" s="283">
        <f t="shared" si="0"/>
        <v>76044</v>
      </c>
      <c r="Q25" s="317" t="s">
        <v>7</v>
      </c>
      <c r="R25" s="319">
        <v>0</v>
      </c>
      <c r="W25" s="554"/>
      <c r="X25" s="554"/>
      <c r="Y25" s="233"/>
      <c r="Z25" s="128"/>
    </row>
    <row r="26" spans="1:26" ht="19.5" thickBot="1" x14ac:dyDescent="0.35">
      <c r="A26" s="23"/>
      <c r="B26" s="24">
        <v>44585</v>
      </c>
      <c r="C26" s="25">
        <v>8574</v>
      </c>
      <c r="D26" s="35" t="s">
        <v>339</v>
      </c>
      <c r="E26" s="27">
        <v>44585</v>
      </c>
      <c r="F26" s="28">
        <v>97059</v>
      </c>
      <c r="G26" s="2"/>
      <c r="H26" s="36">
        <v>44585</v>
      </c>
      <c r="I26" s="30">
        <v>145</v>
      </c>
      <c r="J26" s="37"/>
      <c r="K26" s="173"/>
      <c r="L26" s="45"/>
      <c r="M26" s="32">
        <v>42595</v>
      </c>
      <c r="N26" s="33">
        <v>45745</v>
      </c>
      <c r="P26" s="284">
        <f t="shared" si="0"/>
        <v>97059</v>
      </c>
      <c r="Q26" s="317">
        <f t="shared" si="1"/>
        <v>0</v>
      </c>
      <c r="R26" s="319">
        <v>0</v>
      </c>
      <c r="W26" s="554"/>
      <c r="X26" s="554"/>
      <c r="Y26" s="233"/>
      <c r="Z26" s="128"/>
    </row>
    <row r="27" spans="1:26" ht="18" thickBot="1" x14ac:dyDescent="0.35">
      <c r="A27" s="23"/>
      <c r="B27" s="24">
        <v>44586</v>
      </c>
      <c r="C27" s="25">
        <v>6964.5</v>
      </c>
      <c r="D27" s="42" t="s">
        <v>340</v>
      </c>
      <c r="E27" s="27">
        <v>44586</v>
      </c>
      <c r="F27" s="28">
        <v>72776</v>
      </c>
      <c r="G27" s="2"/>
      <c r="H27" s="36">
        <v>44586</v>
      </c>
      <c r="I27" s="30">
        <v>2041</v>
      </c>
      <c r="J27" s="55"/>
      <c r="K27" s="174"/>
      <c r="L27" s="54"/>
      <c r="M27" s="32">
        <v>39912</v>
      </c>
      <c r="N27" s="33">
        <v>23859</v>
      </c>
      <c r="P27" s="39">
        <f t="shared" si="0"/>
        <v>72776.5</v>
      </c>
      <c r="Q27" s="317">
        <f t="shared" si="1"/>
        <v>0.5</v>
      </c>
      <c r="R27" s="319">
        <v>0</v>
      </c>
      <c r="U27" s="1">
        <v>4102</v>
      </c>
      <c r="V27" t="s">
        <v>240</v>
      </c>
      <c r="W27" s="547"/>
      <c r="X27" s="548"/>
      <c r="Y27" s="549"/>
      <c r="Z27" s="128"/>
    </row>
    <row r="28" spans="1:26" ht="18" thickBot="1" x14ac:dyDescent="0.35">
      <c r="A28" s="23"/>
      <c r="B28" s="24">
        <v>44587</v>
      </c>
      <c r="C28" s="25">
        <v>24487</v>
      </c>
      <c r="D28" s="42" t="s">
        <v>341</v>
      </c>
      <c r="E28" s="27">
        <v>44587</v>
      </c>
      <c r="F28" s="28">
        <v>61066</v>
      </c>
      <c r="G28" s="2"/>
      <c r="H28" s="36">
        <v>44587</v>
      </c>
      <c r="I28" s="30">
        <v>1697</v>
      </c>
      <c r="J28" s="56"/>
      <c r="K28" s="57"/>
      <c r="L28" s="54"/>
      <c r="M28" s="32">
        <f>8682+3282</f>
        <v>11964</v>
      </c>
      <c r="N28" s="33">
        <v>22918</v>
      </c>
      <c r="P28" s="34">
        <f t="shared" si="0"/>
        <v>61066</v>
      </c>
      <c r="Q28" s="317">
        <f t="shared" si="1"/>
        <v>0</v>
      </c>
      <c r="R28" s="319">
        <v>0</v>
      </c>
      <c r="U28" s="1">
        <v>60</v>
      </c>
      <c r="V28" t="s">
        <v>240</v>
      </c>
      <c r="W28" s="548"/>
      <c r="X28" s="548"/>
      <c r="Y28" s="549"/>
      <c r="Z28" s="128"/>
    </row>
    <row r="29" spans="1:26" ht="18" thickBot="1" x14ac:dyDescent="0.35">
      <c r="A29" s="23"/>
      <c r="B29" s="24">
        <v>44588</v>
      </c>
      <c r="C29" s="25">
        <v>1751</v>
      </c>
      <c r="D29" s="58" t="s">
        <v>342</v>
      </c>
      <c r="E29" s="27">
        <v>44588</v>
      </c>
      <c r="F29" s="28">
        <v>487994</v>
      </c>
      <c r="G29" s="2"/>
      <c r="H29" s="36">
        <v>44588</v>
      </c>
      <c r="I29" s="30">
        <v>1541</v>
      </c>
      <c r="J29" s="59"/>
      <c r="K29" s="175"/>
      <c r="L29" s="54"/>
      <c r="M29" s="32">
        <f>62811+1115+395460.57+7891.79</f>
        <v>467278.36</v>
      </c>
      <c r="N29" s="33">
        <v>18538</v>
      </c>
      <c r="P29" s="34">
        <f t="shared" si="0"/>
        <v>489108.36</v>
      </c>
      <c r="Q29" s="317">
        <v>0</v>
      </c>
      <c r="R29" s="388">
        <v>1115</v>
      </c>
      <c r="U29" s="336">
        <v>3499</v>
      </c>
      <c r="V29" t="s">
        <v>240</v>
      </c>
      <c r="W29" s="128"/>
      <c r="X29" s="310"/>
      <c r="Y29" s="311"/>
      <c r="Z29" s="128"/>
    </row>
    <row r="30" spans="1:26" ht="18" thickBot="1" x14ac:dyDescent="0.35">
      <c r="A30" s="23"/>
      <c r="B30" s="24">
        <v>44589</v>
      </c>
      <c r="C30" s="25">
        <v>26995.5</v>
      </c>
      <c r="D30" s="58" t="s">
        <v>343</v>
      </c>
      <c r="E30" s="27">
        <v>44589</v>
      </c>
      <c r="F30" s="28">
        <v>93818</v>
      </c>
      <c r="G30" s="2"/>
      <c r="H30" s="36">
        <v>44589</v>
      </c>
      <c r="I30" s="30">
        <v>2252.5</v>
      </c>
      <c r="J30" s="60"/>
      <c r="K30" s="41"/>
      <c r="L30" s="61"/>
      <c r="M30" s="32">
        <v>40300</v>
      </c>
      <c r="N30" s="33">
        <v>24270</v>
      </c>
      <c r="P30" s="34">
        <f t="shared" si="0"/>
        <v>93818</v>
      </c>
      <c r="Q30" s="317">
        <f t="shared" si="1"/>
        <v>0</v>
      </c>
      <c r="R30" s="320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44590</v>
      </c>
      <c r="C31" s="25">
        <v>5625</v>
      </c>
      <c r="D31" s="65" t="s">
        <v>328</v>
      </c>
      <c r="E31" s="27">
        <v>44590</v>
      </c>
      <c r="F31" s="383">
        <v>93087</v>
      </c>
      <c r="G31" s="2"/>
      <c r="H31" s="36">
        <v>44590</v>
      </c>
      <c r="I31" s="384">
        <v>3104.5</v>
      </c>
      <c r="J31" s="60">
        <v>44590</v>
      </c>
      <c r="K31" s="41" t="s">
        <v>344</v>
      </c>
      <c r="L31" s="63">
        <v>12295</v>
      </c>
      <c r="M31" s="32">
        <v>40509.5</v>
      </c>
      <c r="N31" s="33">
        <v>31553</v>
      </c>
      <c r="P31" s="34">
        <f t="shared" si="0"/>
        <v>93087</v>
      </c>
      <c r="Q31" s="287">
        <f t="shared" si="1"/>
        <v>0</v>
      </c>
      <c r="R31" s="321"/>
    </row>
    <row r="32" spans="1:26" ht="18" thickBot="1" x14ac:dyDescent="0.35">
      <c r="A32" s="23"/>
      <c r="B32" s="24">
        <v>44591</v>
      </c>
      <c r="C32" s="25">
        <v>7440</v>
      </c>
      <c r="D32" s="64" t="s">
        <v>347</v>
      </c>
      <c r="E32" s="27">
        <v>44591</v>
      </c>
      <c r="F32" s="28">
        <v>85273</v>
      </c>
      <c r="G32" s="2"/>
      <c r="H32" s="36">
        <v>44591</v>
      </c>
      <c r="I32" s="30">
        <v>1360</v>
      </c>
      <c r="J32" s="60"/>
      <c r="K32" s="41"/>
      <c r="L32" s="61"/>
      <c r="M32" s="32">
        <f>41306+7035</f>
        <v>48341</v>
      </c>
      <c r="N32" s="33">
        <v>28132</v>
      </c>
      <c r="P32" s="34">
        <f t="shared" si="0"/>
        <v>85273</v>
      </c>
      <c r="Q32" s="287">
        <f t="shared" si="1"/>
        <v>0</v>
      </c>
      <c r="R32" s="228">
        <v>2</v>
      </c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44591</v>
      </c>
      <c r="C34" s="25">
        <v>43151.45</v>
      </c>
      <c r="D34" s="64" t="s">
        <v>577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 t="s">
        <v>119</v>
      </c>
      <c r="K36" s="250" t="s">
        <v>346</v>
      </c>
      <c r="L36" s="44">
        <v>13275.84</v>
      </c>
      <c r="M36" s="565">
        <f>SUM(M5:M35)</f>
        <v>1818445.73</v>
      </c>
      <c r="N36" s="567">
        <f>SUM(N5:N35)</f>
        <v>739014</v>
      </c>
      <c r="O36" s="276"/>
      <c r="P36" s="277">
        <v>0</v>
      </c>
      <c r="Q36" s="569">
        <f>SUM(Q5:Q35)</f>
        <v>-7.2800000000133878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119</v>
      </c>
      <c r="K37" s="41" t="s">
        <v>337</v>
      </c>
      <c r="L37" s="61">
        <v>15060.32</v>
      </c>
      <c r="M37" s="566"/>
      <c r="N37" s="568"/>
      <c r="O37" s="276"/>
      <c r="P37" s="277">
        <v>0</v>
      </c>
      <c r="Q37" s="570"/>
      <c r="R37" s="227" t="s">
        <v>7</v>
      </c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 t="s">
        <v>575</v>
      </c>
      <c r="K39" s="177" t="s">
        <v>576</v>
      </c>
      <c r="L39" s="61">
        <v>13803.92</v>
      </c>
      <c r="M39" s="278"/>
      <c r="N39" s="278"/>
      <c r="P39" s="34">
        <f>SUM(P5:P38)</f>
        <v>2973429.28</v>
      </c>
      <c r="Q39" s="275"/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 t="s">
        <v>332</v>
      </c>
      <c r="K42" s="173" t="s">
        <v>325</v>
      </c>
      <c r="L42" s="52">
        <v>6175</v>
      </c>
      <c r="M42" s="269"/>
      <c r="N42" s="269"/>
      <c r="P42" s="34"/>
      <c r="Q42" s="13"/>
    </row>
    <row r="43" spans="1:18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 t="s">
        <v>332</v>
      </c>
      <c r="K43" s="38" t="s">
        <v>331</v>
      </c>
      <c r="L43" s="54">
        <v>7251.17</v>
      </c>
      <c r="M43" s="269"/>
      <c r="N43" s="269"/>
      <c r="P43" s="34"/>
      <c r="Q43" s="13"/>
    </row>
    <row r="44" spans="1:18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355889.13</v>
      </c>
      <c r="D50" s="88"/>
      <c r="E50" s="89" t="s">
        <v>8</v>
      </c>
      <c r="F50" s="90">
        <f>SUM(F5:F49)</f>
        <v>2593158</v>
      </c>
      <c r="G50" s="88"/>
      <c r="H50" s="91" t="s">
        <v>9</v>
      </c>
      <c r="I50" s="92">
        <f>SUM(I5:I49)</f>
        <v>51099.9</v>
      </c>
      <c r="J50" s="93"/>
      <c r="K50" s="94" t="s">
        <v>10</v>
      </c>
      <c r="L50" s="95">
        <f>SUM(L5:L49)</f>
        <v>107698.22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0" t="s">
        <v>11</v>
      </c>
      <c r="I52" s="521"/>
      <c r="J52" s="100"/>
      <c r="K52" s="522">
        <f>I50+L50</f>
        <v>158798.12</v>
      </c>
      <c r="L52" s="555"/>
      <c r="M52" s="272"/>
      <c r="N52" s="272"/>
      <c r="P52" s="34"/>
      <c r="Q52" s="13"/>
    </row>
    <row r="53" spans="1:17" x14ac:dyDescent="0.25">
      <c r="D53" s="526" t="s">
        <v>12</v>
      </c>
      <c r="E53" s="526"/>
      <c r="F53" s="312">
        <f>F50-K52-C50</f>
        <v>2078470.75</v>
      </c>
      <c r="I53" s="102"/>
      <c r="J53" s="103"/>
    </row>
    <row r="54" spans="1:17" ht="18.75" x14ac:dyDescent="0.3">
      <c r="D54" s="556" t="s">
        <v>95</v>
      </c>
      <c r="E54" s="556"/>
      <c r="F54" s="111">
        <v>-1448401.2</v>
      </c>
      <c r="I54" s="527" t="s">
        <v>13</v>
      </c>
      <c r="J54" s="528"/>
      <c r="K54" s="529">
        <f>F56+F57+F58</f>
        <v>1025960.7</v>
      </c>
      <c r="L54" s="529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-909001.26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-278931.70999999996</v>
      </c>
      <c r="H56" s="23"/>
      <c r="I56" s="108" t="s">
        <v>15</v>
      </c>
      <c r="J56" s="109"/>
      <c r="K56" s="531">
        <f>-C4</f>
        <v>-754143.23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155152</v>
      </c>
    </row>
    <row r="58" spans="1:17" ht="20.25" thickTop="1" thickBot="1" x14ac:dyDescent="0.35">
      <c r="C58" s="112">
        <v>44591</v>
      </c>
      <c r="D58" s="509" t="s">
        <v>18</v>
      </c>
      <c r="E58" s="510"/>
      <c r="F58" s="113">
        <v>1149740.4099999999</v>
      </c>
      <c r="I58" s="511" t="s">
        <v>198</v>
      </c>
      <c r="J58" s="512"/>
      <c r="K58" s="513">
        <f>K54+K56</f>
        <v>271817.46999999997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  <mergeCell ref="K56:L56"/>
    <mergeCell ref="H52:I52"/>
    <mergeCell ref="K52:L52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15"/>
  <sheetViews>
    <sheetView topLeftCell="C28" workbookViewId="0">
      <selection activeCell="M46" sqref="M4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6" bestFit="1" customWidth="1"/>
    <col min="13" max="13" width="15.140625" style="4" bestFit="1" customWidth="1"/>
    <col min="14" max="14" width="19.5703125" style="3" bestFit="1" customWidth="1"/>
    <col min="17" max="17" width="13.85546875" bestFit="1" customWidth="1"/>
  </cols>
  <sheetData>
    <row r="1" spans="1:14" ht="43.5" thickTop="1" thickBot="1" x14ac:dyDescent="0.3">
      <c r="A1" s="290" t="s">
        <v>317</v>
      </c>
      <c r="B1" s="291"/>
      <c r="C1" s="292"/>
      <c r="D1" s="371"/>
      <c r="E1" s="292"/>
      <c r="F1" s="378" t="s">
        <v>314</v>
      </c>
      <c r="I1" s="301" t="s">
        <v>318</v>
      </c>
      <c r="J1" s="302"/>
      <c r="K1" s="303"/>
      <c r="L1" s="468"/>
      <c r="M1" s="303"/>
      <c r="N1" s="377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393" t="s">
        <v>348</v>
      </c>
      <c r="B3" s="394" t="s">
        <v>374</v>
      </c>
      <c r="C3" s="392">
        <v>52139.3</v>
      </c>
      <c r="D3" s="405">
        <v>44589</v>
      </c>
      <c r="E3" s="392">
        <v>52139.3</v>
      </c>
      <c r="F3" s="392">
        <f>C3-E3</f>
        <v>0</v>
      </c>
      <c r="I3" s="390" t="s">
        <v>348</v>
      </c>
      <c r="J3" s="391">
        <v>8177</v>
      </c>
      <c r="K3" s="392">
        <v>594.17999999999995</v>
      </c>
      <c r="L3" s="469">
        <v>44593</v>
      </c>
      <c r="M3" s="392">
        <v>594.17999999999995</v>
      </c>
      <c r="N3" s="183">
        <f>K3-M3</f>
        <v>0</v>
      </c>
    </row>
    <row r="4" spans="1:14" ht="18.75" x14ac:dyDescent="0.3">
      <c r="A4" s="393" t="s">
        <v>348</v>
      </c>
      <c r="B4" s="394" t="s">
        <v>375</v>
      </c>
      <c r="C4" s="392">
        <v>22993.599999999999</v>
      </c>
      <c r="D4" s="405">
        <v>44589</v>
      </c>
      <c r="E4" s="392">
        <v>22993.599999999999</v>
      </c>
      <c r="F4" s="392">
        <f t="shared" ref="F4:F46" si="0">C4-E4</f>
        <v>0</v>
      </c>
      <c r="G4" s="138"/>
      <c r="I4" s="390" t="s">
        <v>348</v>
      </c>
      <c r="J4" s="391">
        <v>8176</v>
      </c>
      <c r="K4" s="392">
        <v>388.8</v>
      </c>
      <c r="L4" s="469">
        <v>44593</v>
      </c>
      <c r="M4" s="392">
        <v>388.8</v>
      </c>
      <c r="N4" s="137">
        <f>N3+K4-M4</f>
        <v>0</v>
      </c>
    </row>
    <row r="5" spans="1:14" ht="15.75" x14ac:dyDescent="0.25">
      <c r="A5" s="393" t="s">
        <v>350</v>
      </c>
      <c r="B5" s="394" t="s">
        <v>376</v>
      </c>
      <c r="C5" s="392">
        <v>12157.4</v>
      </c>
      <c r="D5" s="405">
        <v>44589</v>
      </c>
      <c r="E5" s="392">
        <v>12157.4</v>
      </c>
      <c r="F5" s="392">
        <f t="shared" si="0"/>
        <v>0</v>
      </c>
      <c r="I5" s="390" t="s">
        <v>348</v>
      </c>
      <c r="J5" s="391">
        <v>8179</v>
      </c>
      <c r="K5" s="392">
        <v>19510.8</v>
      </c>
      <c r="L5" s="469">
        <v>44593</v>
      </c>
      <c r="M5" s="392">
        <v>19510.8</v>
      </c>
      <c r="N5" s="137">
        <f t="shared" ref="N5:N73" si="1">N4+K5-M5</f>
        <v>0</v>
      </c>
    </row>
    <row r="6" spans="1:14" ht="15.75" x14ac:dyDescent="0.25">
      <c r="A6" s="393" t="s">
        <v>351</v>
      </c>
      <c r="B6" s="394" t="s">
        <v>377</v>
      </c>
      <c r="C6" s="392">
        <v>39663.4</v>
      </c>
      <c r="D6" s="405">
        <v>44589</v>
      </c>
      <c r="E6" s="392">
        <v>39663.4</v>
      </c>
      <c r="F6" s="392">
        <f t="shared" si="0"/>
        <v>0</v>
      </c>
      <c r="I6" s="390" t="s">
        <v>350</v>
      </c>
      <c r="J6" s="391">
        <v>8193</v>
      </c>
      <c r="K6" s="392">
        <v>1380.6</v>
      </c>
      <c r="L6" s="469">
        <v>44593</v>
      </c>
      <c r="M6" s="392">
        <v>1380.6</v>
      </c>
      <c r="N6" s="137">
        <f t="shared" si="1"/>
        <v>0</v>
      </c>
    </row>
    <row r="7" spans="1:14" ht="15.75" x14ac:dyDescent="0.25">
      <c r="A7" s="393" t="s">
        <v>351</v>
      </c>
      <c r="B7" s="394" t="s">
        <v>378</v>
      </c>
      <c r="C7" s="392">
        <v>16690</v>
      </c>
      <c r="D7" s="405">
        <v>44589</v>
      </c>
      <c r="E7" s="392">
        <v>16690</v>
      </c>
      <c r="F7" s="392">
        <f t="shared" si="0"/>
        <v>0</v>
      </c>
      <c r="I7" s="390" t="s">
        <v>350</v>
      </c>
      <c r="J7" s="391">
        <v>8194</v>
      </c>
      <c r="K7" s="392">
        <v>247.32</v>
      </c>
      <c r="L7" s="469">
        <v>44593</v>
      </c>
      <c r="M7" s="392">
        <v>247.32</v>
      </c>
      <c r="N7" s="137">
        <f t="shared" si="1"/>
        <v>0</v>
      </c>
    </row>
    <row r="8" spans="1:14" ht="15.75" x14ac:dyDescent="0.25">
      <c r="A8" s="393" t="s">
        <v>352</v>
      </c>
      <c r="B8" s="394" t="s">
        <v>379</v>
      </c>
      <c r="C8" s="392">
        <v>16161</v>
      </c>
      <c r="D8" s="405">
        <v>44589</v>
      </c>
      <c r="E8" s="392">
        <v>16161</v>
      </c>
      <c r="F8" s="392">
        <f t="shared" si="0"/>
        <v>0</v>
      </c>
      <c r="I8" s="390" t="s">
        <v>350</v>
      </c>
      <c r="J8" s="391">
        <v>8196</v>
      </c>
      <c r="K8" s="392">
        <v>80126.8</v>
      </c>
      <c r="L8" s="469">
        <v>44593</v>
      </c>
      <c r="M8" s="392">
        <v>80126.8</v>
      </c>
      <c r="N8" s="137">
        <f t="shared" si="1"/>
        <v>0</v>
      </c>
    </row>
    <row r="9" spans="1:14" ht="15.75" x14ac:dyDescent="0.25">
      <c r="A9" s="393" t="s">
        <v>352</v>
      </c>
      <c r="B9" s="394" t="s">
        <v>380</v>
      </c>
      <c r="C9" s="392">
        <v>4375</v>
      </c>
      <c r="D9" s="405">
        <v>44589</v>
      </c>
      <c r="E9" s="392">
        <v>4375</v>
      </c>
      <c r="F9" s="392">
        <f t="shared" si="0"/>
        <v>0</v>
      </c>
      <c r="I9" s="390" t="s">
        <v>351</v>
      </c>
      <c r="J9" s="391">
        <v>8200</v>
      </c>
      <c r="K9" s="392">
        <v>5165.9799999999996</v>
      </c>
      <c r="L9" s="469">
        <v>44593</v>
      </c>
      <c r="M9" s="392">
        <v>5165.9799999999996</v>
      </c>
      <c r="N9" s="137">
        <f t="shared" si="1"/>
        <v>0</v>
      </c>
    </row>
    <row r="10" spans="1:14" ht="18.75" x14ac:dyDescent="0.3">
      <c r="A10" s="393" t="s">
        <v>353</v>
      </c>
      <c r="B10" s="394" t="s">
        <v>381</v>
      </c>
      <c r="C10" s="392">
        <v>88022.6</v>
      </c>
      <c r="D10" s="405">
        <v>44589</v>
      </c>
      <c r="E10" s="392">
        <v>88022.6</v>
      </c>
      <c r="F10" s="392">
        <f t="shared" si="0"/>
        <v>0</v>
      </c>
      <c r="G10" s="138"/>
      <c r="I10" s="390" t="s">
        <v>351</v>
      </c>
      <c r="J10" s="391">
        <v>8204</v>
      </c>
      <c r="K10" s="392">
        <v>3258.1</v>
      </c>
      <c r="L10" s="469">
        <v>44593</v>
      </c>
      <c r="M10" s="392">
        <v>3258.1</v>
      </c>
      <c r="N10" s="137">
        <f t="shared" si="1"/>
        <v>0</v>
      </c>
    </row>
    <row r="11" spans="1:14" ht="15.75" x14ac:dyDescent="0.25">
      <c r="A11" s="393" t="s">
        <v>353</v>
      </c>
      <c r="B11" s="394" t="s">
        <v>382</v>
      </c>
      <c r="C11" s="392">
        <v>6223.4</v>
      </c>
      <c r="D11" s="405">
        <v>44589</v>
      </c>
      <c r="E11" s="392">
        <v>6223.4</v>
      </c>
      <c r="F11" s="392">
        <f t="shared" si="0"/>
        <v>0</v>
      </c>
      <c r="I11" s="390" t="s">
        <v>351</v>
      </c>
      <c r="J11" s="391">
        <v>8205</v>
      </c>
      <c r="K11" s="392">
        <v>472</v>
      </c>
      <c r="L11" s="469">
        <v>44593</v>
      </c>
      <c r="M11" s="392">
        <v>472</v>
      </c>
      <c r="N11" s="137">
        <f t="shared" si="1"/>
        <v>0</v>
      </c>
    </row>
    <row r="12" spans="1:14" ht="15.75" x14ac:dyDescent="0.25">
      <c r="A12" s="393" t="s">
        <v>354</v>
      </c>
      <c r="B12" s="394" t="s">
        <v>383</v>
      </c>
      <c r="C12" s="392">
        <v>1350</v>
      </c>
      <c r="D12" s="405">
        <v>44589</v>
      </c>
      <c r="E12" s="392">
        <v>1350</v>
      </c>
      <c r="F12" s="392">
        <f t="shared" si="0"/>
        <v>0</v>
      </c>
      <c r="I12" s="390" t="s">
        <v>352</v>
      </c>
      <c r="J12" s="391">
        <v>8208</v>
      </c>
      <c r="K12" s="392">
        <v>2558.1799999999998</v>
      </c>
      <c r="L12" s="469">
        <v>44593</v>
      </c>
      <c r="M12" s="392">
        <v>2558.1799999999998</v>
      </c>
      <c r="N12" s="137">
        <f t="shared" si="1"/>
        <v>0</v>
      </c>
    </row>
    <row r="13" spans="1:14" ht="15.75" x14ac:dyDescent="0.25">
      <c r="A13" s="393" t="s">
        <v>354</v>
      </c>
      <c r="B13" s="394" t="s">
        <v>384</v>
      </c>
      <c r="C13" s="392">
        <v>54930.2</v>
      </c>
      <c r="D13" s="405">
        <v>44589</v>
      </c>
      <c r="E13" s="392">
        <v>54930.2</v>
      </c>
      <c r="F13" s="392">
        <f t="shared" si="0"/>
        <v>0</v>
      </c>
      <c r="I13" s="390" t="s">
        <v>353</v>
      </c>
      <c r="J13" s="391">
        <v>8216</v>
      </c>
      <c r="K13" s="392">
        <v>11429.6</v>
      </c>
      <c r="L13" s="469">
        <v>44593</v>
      </c>
      <c r="M13" s="392">
        <v>11429.6</v>
      </c>
      <c r="N13" s="137">
        <f t="shared" si="1"/>
        <v>0</v>
      </c>
    </row>
    <row r="14" spans="1:14" ht="15.75" x14ac:dyDescent="0.25">
      <c r="A14" s="393" t="s">
        <v>354</v>
      </c>
      <c r="B14" s="394" t="s">
        <v>385</v>
      </c>
      <c r="C14" s="392">
        <v>381</v>
      </c>
      <c r="D14" s="405">
        <v>44589</v>
      </c>
      <c r="E14" s="392">
        <v>381</v>
      </c>
      <c r="F14" s="392">
        <f t="shared" si="0"/>
        <v>0</v>
      </c>
      <c r="I14" s="390" t="s">
        <v>354</v>
      </c>
      <c r="J14" s="391">
        <v>8228</v>
      </c>
      <c r="K14" s="392">
        <v>1470</v>
      </c>
      <c r="L14" s="469">
        <v>44593</v>
      </c>
      <c r="M14" s="392">
        <v>1470</v>
      </c>
      <c r="N14" s="137">
        <f t="shared" si="1"/>
        <v>0</v>
      </c>
    </row>
    <row r="15" spans="1:14" ht="15.75" x14ac:dyDescent="0.25">
      <c r="A15" s="393" t="s">
        <v>354</v>
      </c>
      <c r="B15" s="394" t="s">
        <v>386</v>
      </c>
      <c r="C15" s="392">
        <v>32571.32</v>
      </c>
      <c r="D15" s="405">
        <v>44589</v>
      </c>
      <c r="E15" s="392">
        <v>32571.32</v>
      </c>
      <c r="F15" s="392">
        <f t="shared" si="0"/>
        <v>0</v>
      </c>
      <c r="I15" s="390" t="s">
        <v>355</v>
      </c>
      <c r="J15" s="391">
        <v>8240</v>
      </c>
      <c r="K15" s="392">
        <v>1407</v>
      </c>
      <c r="L15" s="469">
        <v>44593</v>
      </c>
      <c r="M15" s="392">
        <v>1407</v>
      </c>
      <c r="N15" s="137">
        <f t="shared" si="1"/>
        <v>0</v>
      </c>
    </row>
    <row r="16" spans="1:14" ht="15.75" x14ac:dyDescent="0.25">
      <c r="A16" s="393" t="s">
        <v>355</v>
      </c>
      <c r="B16" s="394" t="s">
        <v>387</v>
      </c>
      <c r="C16" s="392">
        <v>40306.14</v>
      </c>
      <c r="D16" s="405">
        <v>44589</v>
      </c>
      <c r="E16" s="392">
        <v>40306.14</v>
      </c>
      <c r="F16" s="392">
        <f t="shared" si="0"/>
        <v>0</v>
      </c>
      <c r="I16" s="390" t="s">
        <v>355</v>
      </c>
      <c r="J16" s="391">
        <v>8245</v>
      </c>
      <c r="K16" s="392">
        <v>120922.4</v>
      </c>
      <c r="L16" s="469">
        <v>44593</v>
      </c>
      <c r="M16" s="392">
        <v>120922.4</v>
      </c>
      <c r="N16" s="137">
        <f t="shared" si="1"/>
        <v>0</v>
      </c>
    </row>
    <row r="17" spans="1:17" ht="15.75" x14ac:dyDescent="0.25">
      <c r="A17" s="393" t="s">
        <v>356</v>
      </c>
      <c r="B17" s="394" t="s">
        <v>388</v>
      </c>
      <c r="C17" s="392">
        <v>0</v>
      </c>
      <c r="D17" s="406" t="s">
        <v>412</v>
      </c>
      <c r="E17" s="392">
        <v>0</v>
      </c>
      <c r="F17" s="392">
        <f t="shared" si="0"/>
        <v>0</v>
      </c>
      <c r="I17" s="390" t="s">
        <v>355</v>
      </c>
      <c r="J17" s="391">
        <v>8247</v>
      </c>
      <c r="K17" s="392">
        <v>4686.3999999999996</v>
      </c>
      <c r="L17" s="469">
        <v>44593</v>
      </c>
      <c r="M17" s="392">
        <v>4686.3999999999996</v>
      </c>
      <c r="N17" s="137">
        <f t="shared" si="1"/>
        <v>0</v>
      </c>
    </row>
    <row r="18" spans="1:17" ht="15.75" x14ac:dyDescent="0.25">
      <c r="A18" s="393" t="s">
        <v>356</v>
      </c>
      <c r="B18" s="394" t="s">
        <v>389</v>
      </c>
      <c r="C18" s="392">
        <v>87756.3</v>
      </c>
      <c r="D18" s="405">
        <v>44589</v>
      </c>
      <c r="E18" s="392">
        <v>87756.3</v>
      </c>
      <c r="F18" s="392">
        <f t="shared" si="0"/>
        <v>0</v>
      </c>
      <c r="I18" s="390" t="s">
        <v>356</v>
      </c>
      <c r="J18" s="391">
        <v>8249</v>
      </c>
      <c r="K18" s="392">
        <v>5822.6</v>
      </c>
      <c r="L18" s="469">
        <v>44593</v>
      </c>
      <c r="M18" s="392">
        <v>5822.6</v>
      </c>
      <c r="N18" s="137">
        <f t="shared" si="1"/>
        <v>0</v>
      </c>
    </row>
    <row r="19" spans="1:17" ht="15.75" x14ac:dyDescent="0.25">
      <c r="A19" s="393" t="s">
        <v>357</v>
      </c>
      <c r="B19" s="394" t="s">
        <v>390</v>
      </c>
      <c r="C19" s="392">
        <v>92082.85</v>
      </c>
      <c r="D19" s="405">
        <v>44589</v>
      </c>
      <c r="E19" s="392">
        <v>92082.85</v>
      </c>
      <c r="F19" s="392">
        <f t="shared" si="0"/>
        <v>0</v>
      </c>
      <c r="I19" s="390" t="s">
        <v>356</v>
      </c>
      <c r="J19" s="391">
        <v>8251</v>
      </c>
      <c r="K19" s="392">
        <v>1530.8</v>
      </c>
      <c r="L19" s="469">
        <v>44593</v>
      </c>
      <c r="M19" s="392">
        <v>1530.8</v>
      </c>
      <c r="N19" s="137">
        <f t="shared" si="1"/>
        <v>0</v>
      </c>
    </row>
    <row r="20" spans="1:17" ht="15.75" x14ac:dyDescent="0.25">
      <c r="A20" s="393" t="s">
        <v>358</v>
      </c>
      <c r="B20" s="394" t="s">
        <v>391</v>
      </c>
      <c r="C20" s="392">
        <v>28628.81</v>
      </c>
      <c r="D20" s="405">
        <v>44589</v>
      </c>
      <c r="E20" s="392">
        <v>28628.81</v>
      </c>
      <c r="F20" s="392">
        <f t="shared" si="0"/>
        <v>0</v>
      </c>
      <c r="I20" s="390" t="s">
        <v>357</v>
      </c>
      <c r="J20" s="391">
        <v>8256</v>
      </c>
      <c r="K20" s="392">
        <v>10637</v>
      </c>
      <c r="L20" s="469">
        <v>44593</v>
      </c>
      <c r="M20" s="392">
        <v>10637</v>
      </c>
      <c r="N20" s="137">
        <f t="shared" si="1"/>
        <v>0</v>
      </c>
    </row>
    <row r="21" spans="1:17" ht="15.75" x14ac:dyDescent="0.25">
      <c r="A21" s="393" t="s">
        <v>358</v>
      </c>
      <c r="B21" s="394" t="s">
        <v>392</v>
      </c>
      <c r="C21" s="392">
        <v>214.8</v>
      </c>
      <c r="D21" s="405">
        <v>44589</v>
      </c>
      <c r="E21" s="392">
        <v>214.8</v>
      </c>
      <c r="F21" s="392">
        <f t="shared" si="0"/>
        <v>0</v>
      </c>
      <c r="I21" s="390" t="s">
        <v>358</v>
      </c>
      <c r="J21" s="391">
        <v>8270</v>
      </c>
      <c r="K21" s="392">
        <v>1146.2</v>
      </c>
      <c r="L21" s="469">
        <v>44593</v>
      </c>
      <c r="M21" s="392">
        <v>1146.2</v>
      </c>
      <c r="N21" s="137">
        <f t="shared" si="1"/>
        <v>0</v>
      </c>
    </row>
    <row r="22" spans="1:17" ht="18.75" x14ac:dyDescent="0.3">
      <c r="A22" s="393" t="s">
        <v>359</v>
      </c>
      <c r="B22" s="394" t="s">
        <v>393</v>
      </c>
      <c r="C22" s="392">
        <v>53381.2</v>
      </c>
      <c r="D22" s="405">
        <v>44589</v>
      </c>
      <c r="E22" s="392">
        <v>53381.2</v>
      </c>
      <c r="F22" s="392">
        <f t="shared" si="0"/>
        <v>0</v>
      </c>
      <c r="G22" s="138"/>
      <c r="I22" s="390" t="s">
        <v>358</v>
      </c>
      <c r="J22" s="391">
        <v>8273</v>
      </c>
      <c r="K22" s="392">
        <v>141067.6</v>
      </c>
      <c r="L22" s="469">
        <v>44593</v>
      </c>
      <c r="M22" s="392">
        <v>141067.6</v>
      </c>
      <c r="N22" s="137">
        <f t="shared" si="1"/>
        <v>0</v>
      </c>
    </row>
    <row r="23" spans="1:17" ht="15.75" x14ac:dyDescent="0.25">
      <c r="A23" s="393" t="s">
        <v>359</v>
      </c>
      <c r="B23" s="394" t="s">
        <v>394</v>
      </c>
      <c r="C23" s="392">
        <v>558</v>
      </c>
      <c r="D23" s="405">
        <v>44589</v>
      </c>
      <c r="E23" s="392">
        <v>558</v>
      </c>
      <c r="F23" s="392">
        <f t="shared" si="0"/>
        <v>0</v>
      </c>
      <c r="I23" s="390" t="s">
        <v>358</v>
      </c>
      <c r="J23" s="391">
        <v>8274</v>
      </c>
      <c r="K23" s="392">
        <v>5205.2</v>
      </c>
      <c r="L23" s="469">
        <v>44593</v>
      </c>
      <c r="M23" s="392">
        <v>5205.2</v>
      </c>
      <c r="N23" s="137">
        <f t="shared" si="1"/>
        <v>0</v>
      </c>
    </row>
    <row r="24" spans="1:17" ht="15.75" x14ac:dyDescent="0.25">
      <c r="A24" s="393" t="s">
        <v>360</v>
      </c>
      <c r="B24" s="394" t="s">
        <v>395</v>
      </c>
      <c r="C24" s="392">
        <v>81629.2</v>
      </c>
      <c r="D24" s="405">
        <v>44589</v>
      </c>
      <c r="E24" s="392">
        <v>81629.2</v>
      </c>
      <c r="F24" s="392">
        <f t="shared" si="0"/>
        <v>0</v>
      </c>
      <c r="I24" s="390" t="s">
        <v>359</v>
      </c>
      <c r="J24" s="391">
        <v>8279</v>
      </c>
      <c r="K24" s="392">
        <v>1487</v>
      </c>
      <c r="L24" s="469">
        <v>44593</v>
      </c>
      <c r="M24" s="392">
        <v>1487</v>
      </c>
      <c r="N24" s="137">
        <f t="shared" si="1"/>
        <v>0</v>
      </c>
    </row>
    <row r="25" spans="1:17" ht="15.75" x14ac:dyDescent="0.25">
      <c r="A25" s="393" t="s">
        <v>361</v>
      </c>
      <c r="B25" s="394" t="s">
        <v>396</v>
      </c>
      <c r="C25" s="392">
        <v>6085</v>
      </c>
      <c r="D25" s="405">
        <v>44589</v>
      </c>
      <c r="E25" s="392">
        <v>6085</v>
      </c>
      <c r="F25" s="392">
        <f t="shared" si="0"/>
        <v>0</v>
      </c>
      <c r="I25" s="390" t="s">
        <v>359</v>
      </c>
      <c r="J25" s="391">
        <v>8283</v>
      </c>
      <c r="K25" s="392">
        <v>71469.2</v>
      </c>
      <c r="L25" s="469">
        <v>44593</v>
      </c>
      <c r="M25" s="392">
        <v>71469.2</v>
      </c>
      <c r="N25" s="137">
        <f t="shared" si="1"/>
        <v>0</v>
      </c>
    </row>
    <row r="26" spans="1:17" ht="15.75" x14ac:dyDescent="0.25">
      <c r="A26" s="393" t="s">
        <v>362</v>
      </c>
      <c r="B26" s="394" t="s">
        <v>397</v>
      </c>
      <c r="C26" s="392">
        <v>42951.199999999997</v>
      </c>
      <c r="D26" s="405">
        <v>44589</v>
      </c>
      <c r="E26" s="392">
        <v>42951.199999999997</v>
      </c>
      <c r="F26" s="392">
        <f t="shared" si="0"/>
        <v>0</v>
      </c>
      <c r="I26" s="390" t="s">
        <v>360</v>
      </c>
      <c r="J26" s="391">
        <v>8284</v>
      </c>
      <c r="K26" s="392">
        <v>2041.4</v>
      </c>
      <c r="L26" s="469">
        <v>44593</v>
      </c>
      <c r="M26" s="392">
        <v>2041.4</v>
      </c>
      <c r="N26" s="137">
        <f t="shared" si="1"/>
        <v>0</v>
      </c>
    </row>
    <row r="27" spans="1:17" ht="15.75" x14ac:dyDescent="0.25">
      <c r="A27" s="393" t="s">
        <v>363</v>
      </c>
      <c r="B27" s="394" t="s">
        <v>398</v>
      </c>
      <c r="C27" s="392">
        <v>0</v>
      </c>
      <c r="D27" s="406" t="s">
        <v>412</v>
      </c>
      <c r="E27" s="392">
        <v>0</v>
      </c>
      <c r="F27" s="392">
        <f t="shared" si="0"/>
        <v>0</v>
      </c>
      <c r="I27" s="390" t="s">
        <v>361</v>
      </c>
      <c r="J27" s="391">
        <v>8300</v>
      </c>
      <c r="K27" s="392">
        <v>5828</v>
      </c>
      <c r="L27" s="469">
        <v>44593</v>
      </c>
      <c r="M27" s="392">
        <v>5828</v>
      </c>
      <c r="N27" s="137">
        <f t="shared" si="1"/>
        <v>0</v>
      </c>
    </row>
    <row r="28" spans="1:17" ht="15.75" x14ac:dyDescent="0.25">
      <c r="A28" s="393" t="s">
        <v>363</v>
      </c>
      <c r="B28" s="394" t="s">
        <v>399</v>
      </c>
      <c r="C28" s="392">
        <v>40814.9</v>
      </c>
      <c r="D28" s="405">
        <v>44589</v>
      </c>
      <c r="E28" s="392">
        <v>40814.9</v>
      </c>
      <c r="F28" s="392">
        <f t="shared" si="0"/>
        <v>0</v>
      </c>
      <c r="I28" s="390" t="s">
        <v>362</v>
      </c>
      <c r="J28" s="391">
        <v>8312</v>
      </c>
      <c r="K28" s="392">
        <v>2464</v>
      </c>
      <c r="L28" s="469">
        <v>44593</v>
      </c>
      <c r="M28" s="392">
        <v>2464</v>
      </c>
      <c r="N28" s="137">
        <f t="shared" si="1"/>
        <v>0</v>
      </c>
    </row>
    <row r="29" spans="1:17" ht="15.75" x14ac:dyDescent="0.25">
      <c r="A29" s="393" t="s">
        <v>364</v>
      </c>
      <c r="B29" s="394" t="s">
        <v>400</v>
      </c>
      <c r="C29" s="392">
        <v>84819.68</v>
      </c>
      <c r="D29" s="405">
        <v>44589</v>
      </c>
      <c r="E29" s="392">
        <v>84819.68</v>
      </c>
      <c r="F29" s="392">
        <f t="shared" si="0"/>
        <v>0</v>
      </c>
      <c r="I29" s="390" t="s">
        <v>363</v>
      </c>
      <c r="J29" s="391">
        <v>8338</v>
      </c>
      <c r="K29" s="392">
        <v>2056.8000000000002</v>
      </c>
      <c r="L29" s="469">
        <v>44593</v>
      </c>
      <c r="M29" s="392">
        <v>2056.8000000000002</v>
      </c>
      <c r="N29" s="137">
        <f t="shared" si="1"/>
        <v>0</v>
      </c>
    </row>
    <row r="30" spans="1:17" ht="18.75" x14ac:dyDescent="0.3">
      <c r="A30" s="393" t="s">
        <v>365</v>
      </c>
      <c r="B30" s="394" t="s">
        <v>401</v>
      </c>
      <c r="C30" s="392">
        <v>74257.8</v>
      </c>
      <c r="D30" s="405">
        <v>44589</v>
      </c>
      <c r="E30" s="392">
        <v>74257.8</v>
      </c>
      <c r="F30" s="392">
        <f t="shared" si="0"/>
        <v>0</v>
      </c>
      <c r="G30" s="138"/>
      <c r="I30" s="390" t="s">
        <v>363</v>
      </c>
      <c r="J30" s="465">
        <v>8340</v>
      </c>
      <c r="K30" s="392">
        <v>219199.6</v>
      </c>
      <c r="L30" s="470">
        <v>44643</v>
      </c>
      <c r="M30" s="480">
        <v>219199.6</v>
      </c>
      <c r="N30" s="137">
        <f t="shared" si="1"/>
        <v>0</v>
      </c>
      <c r="Q30" s="392"/>
    </row>
    <row r="31" spans="1:17" ht="15.75" x14ac:dyDescent="0.25">
      <c r="A31" s="393" t="s">
        <v>366</v>
      </c>
      <c r="B31" s="394" t="s">
        <v>402</v>
      </c>
      <c r="C31" s="392">
        <v>115953.8</v>
      </c>
      <c r="D31" s="405">
        <v>44589</v>
      </c>
      <c r="E31" s="392">
        <v>115953.8</v>
      </c>
      <c r="F31" s="392">
        <f t="shared" si="0"/>
        <v>0</v>
      </c>
      <c r="I31" s="390" t="s">
        <v>364</v>
      </c>
      <c r="J31" s="465">
        <v>8342</v>
      </c>
      <c r="K31" s="392">
        <v>1605</v>
      </c>
      <c r="L31" s="470">
        <v>44643</v>
      </c>
      <c r="M31" s="480">
        <v>1605</v>
      </c>
      <c r="N31" s="137">
        <f t="shared" si="1"/>
        <v>0</v>
      </c>
      <c r="Q31" s="392"/>
    </row>
    <row r="32" spans="1:17" ht="15.75" x14ac:dyDescent="0.25">
      <c r="A32" s="393" t="s">
        <v>366</v>
      </c>
      <c r="B32" s="394" t="s">
        <v>403</v>
      </c>
      <c r="C32" s="392">
        <v>420</v>
      </c>
      <c r="D32" s="405">
        <v>44589</v>
      </c>
      <c r="E32" s="392">
        <v>420</v>
      </c>
      <c r="F32" s="392">
        <f t="shared" si="0"/>
        <v>0</v>
      </c>
      <c r="I32" s="390" t="s">
        <v>365</v>
      </c>
      <c r="J32" s="465">
        <v>8359</v>
      </c>
      <c r="K32" s="392">
        <v>16970.400000000001</v>
      </c>
      <c r="L32" s="470">
        <v>44643</v>
      </c>
      <c r="M32" s="480">
        <v>16970.400000000001</v>
      </c>
      <c r="N32" s="137">
        <f t="shared" si="1"/>
        <v>0</v>
      </c>
      <c r="Q32" s="392"/>
    </row>
    <row r="33" spans="1:17" ht="15.75" x14ac:dyDescent="0.25">
      <c r="A33" s="393" t="s">
        <v>367</v>
      </c>
      <c r="B33" s="394" t="s">
        <v>404</v>
      </c>
      <c r="C33" s="392">
        <v>12359.2</v>
      </c>
      <c r="D33" s="405">
        <v>44589</v>
      </c>
      <c r="E33" s="392">
        <v>12359.2</v>
      </c>
      <c r="F33" s="392">
        <f t="shared" si="0"/>
        <v>0</v>
      </c>
      <c r="I33" s="390" t="s">
        <v>366</v>
      </c>
      <c r="J33" s="465">
        <v>8363</v>
      </c>
      <c r="K33" s="392">
        <v>1544.6</v>
      </c>
      <c r="L33" s="470">
        <v>44643</v>
      </c>
      <c r="M33" s="480">
        <v>1544.6</v>
      </c>
      <c r="N33" s="137">
        <f t="shared" si="1"/>
        <v>0</v>
      </c>
      <c r="Q33" s="392"/>
    </row>
    <row r="34" spans="1:17" ht="15.75" x14ac:dyDescent="0.25">
      <c r="A34" s="393" t="s">
        <v>368</v>
      </c>
      <c r="B34" s="394" t="s">
        <v>405</v>
      </c>
      <c r="C34" s="392">
        <v>66416.800000000003</v>
      </c>
      <c r="D34" s="405">
        <v>44589</v>
      </c>
      <c r="E34" s="392">
        <v>66416.800000000003</v>
      </c>
      <c r="F34" s="392">
        <f t="shared" si="0"/>
        <v>0</v>
      </c>
      <c r="I34" s="390" t="s">
        <v>366</v>
      </c>
      <c r="J34" s="465">
        <v>8365</v>
      </c>
      <c r="K34" s="392">
        <v>1161</v>
      </c>
      <c r="L34" s="470">
        <v>44643</v>
      </c>
      <c r="M34" s="480">
        <v>1161</v>
      </c>
      <c r="N34" s="137">
        <f t="shared" si="1"/>
        <v>0</v>
      </c>
      <c r="Q34" s="392"/>
    </row>
    <row r="35" spans="1:17" ht="15.75" x14ac:dyDescent="0.25">
      <c r="A35" s="393" t="s">
        <v>368</v>
      </c>
      <c r="B35" s="394" t="s">
        <v>406</v>
      </c>
      <c r="C35" s="392">
        <v>10750</v>
      </c>
      <c r="D35" s="405">
        <v>44589</v>
      </c>
      <c r="E35" s="392">
        <v>10750</v>
      </c>
      <c r="F35" s="392">
        <f t="shared" si="0"/>
        <v>0</v>
      </c>
      <c r="I35" s="390" t="s">
        <v>367</v>
      </c>
      <c r="J35" s="465">
        <v>8375</v>
      </c>
      <c r="K35" s="392">
        <v>3838.8</v>
      </c>
      <c r="L35" s="470">
        <v>44643</v>
      </c>
      <c r="M35" s="480">
        <v>3838.8</v>
      </c>
      <c r="N35" s="137">
        <f t="shared" si="1"/>
        <v>0</v>
      </c>
      <c r="Q35" s="392"/>
    </row>
    <row r="36" spans="1:17" ht="15.75" x14ac:dyDescent="0.25">
      <c r="A36" s="393" t="s">
        <v>368</v>
      </c>
      <c r="B36" s="394" t="s">
        <v>407</v>
      </c>
      <c r="C36" s="392">
        <v>28322</v>
      </c>
      <c r="D36" s="405">
        <v>44589</v>
      </c>
      <c r="E36" s="392">
        <v>28322</v>
      </c>
      <c r="F36" s="392">
        <f t="shared" si="0"/>
        <v>0</v>
      </c>
      <c r="I36" s="390" t="s">
        <v>367</v>
      </c>
      <c r="J36" s="465">
        <v>8379</v>
      </c>
      <c r="K36" s="392">
        <v>1696</v>
      </c>
      <c r="L36" s="470">
        <v>44643</v>
      </c>
      <c r="M36" s="480">
        <v>1696</v>
      </c>
      <c r="N36" s="137">
        <f t="shared" si="1"/>
        <v>0</v>
      </c>
      <c r="Q36" s="392"/>
    </row>
    <row r="37" spans="1:17" ht="15.75" x14ac:dyDescent="0.25">
      <c r="A37" s="393" t="s">
        <v>369</v>
      </c>
      <c r="B37" s="394" t="s">
        <v>408</v>
      </c>
      <c r="C37" s="392">
        <v>61861.4</v>
      </c>
      <c r="D37" s="405">
        <v>44589</v>
      </c>
      <c r="E37" s="392">
        <v>61861.4</v>
      </c>
      <c r="F37" s="392">
        <f t="shared" si="0"/>
        <v>0</v>
      </c>
      <c r="I37" s="390" t="s">
        <v>368</v>
      </c>
      <c r="J37" s="465">
        <v>8386</v>
      </c>
      <c r="K37" s="392">
        <v>953.6</v>
      </c>
      <c r="L37" s="470">
        <v>44643</v>
      </c>
      <c r="M37" s="480">
        <v>953.6</v>
      </c>
      <c r="N37" s="137">
        <f t="shared" si="1"/>
        <v>0</v>
      </c>
      <c r="Q37" s="392"/>
    </row>
    <row r="38" spans="1:17" ht="15.75" x14ac:dyDescent="0.25">
      <c r="A38" s="393" t="s">
        <v>370</v>
      </c>
      <c r="B38" s="394" t="s">
        <v>409</v>
      </c>
      <c r="C38" s="392">
        <v>78773.820000000007</v>
      </c>
      <c r="D38" s="443">
        <v>44617</v>
      </c>
      <c r="E38" s="444">
        <v>78773.820000000007</v>
      </c>
      <c r="F38" s="392">
        <f t="shared" si="0"/>
        <v>0</v>
      </c>
      <c r="I38" s="390" t="s">
        <v>369</v>
      </c>
      <c r="J38" s="465">
        <v>8393</v>
      </c>
      <c r="K38" s="392">
        <v>5587.4</v>
      </c>
      <c r="L38" s="470">
        <v>44643</v>
      </c>
      <c r="M38" s="480">
        <v>5587.4</v>
      </c>
      <c r="N38" s="137">
        <f t="shared" si="1"/>
        <v>0</v>
      </c>
      <c r="Q38" s="392"/>
    </row>
    <row r="39" spans="1:17" ht="15.75" x14ac:dyDescent="0.25">
      <c r="A39" s="393" t="s">
        <v>371</v>
      </c>
      <c r="B39" s="394" t="s">
        <v>410</v>
      </c>
      <c r="C39" s="392">
        <v>38574.800000000003</v>
      </c>
      <c r="D39" s="443">
        <v>44617</v>
      </c>
      <c r="E39" s="444">
        <v>38574.800000000003</v>
      </c>
      <c r="F39" s="392">
        <f t="shared" si="0"/>
        <v>0</v>
      </c>
      <c r="I39" s="390" t="s">
        <v>370</v>
      </c>
      <c r="J39" s="465">
        <v>8403</v>
      </c>
      <c r="K39" s="392">
        <v>2021.2</v>
      </c>
      <c r="L39" s="470">
        <v>44643</v>
      </c>
      <c r="M39" s="480">
        <v>2021.2</v>
      </c>
      <c r="N39" s="137">
        <f t="shared" si="1"/>
        <v>0</v>
      </c>
      <c r="Q39" s="392"/>
    </row>
    <row r="40" spans="1:17" ht="15.75" x14ac:dyDescent="0.25">
      <c r="A40" s="393" t="s">
        <v>372</v>
      </c>
      <c r="B40" s="394" t="s">
        <v>411</v>
      </c>
      <c r="C40" s="392">
        <v>53825.279999999999</v>
      </c>
      <c r="D40" s="443">
        <v>44617</v>
      </c>
      <c r="E40" s="444">
        <v>53825.279999999999</v>
      </c>
      <c r="F40" s="392">
        <f t="shared" si="0"/>
        <v>0</v>
      </c>
      <c r="I40" s="390" t="s">
        <v>370</v>
      </c>
      <c r="J40" s="465">
        <v>8404</v>
      </c>
      <c r="K40" s="392">
        <v>175</v>
      </c>
      <c r="L40" s="470">
        <v>44643</v>
      </c>
      <c r="M40" s="480">
        <v>175</v>
      </c>
      <c r="N40" s="137">
        <f t="shared" si="1"/>
        <v>0</v>
      </c>
      <c r="Q40" s="392"/>
    </row>
    <row r="41" spans="1:17" ht="15.75" x14ac:dyDescent="0.25">
      <c r="A41" s="393"/>
      <c r="B41" s="394"/>
      <c r="C41" s="392"/>
      <c r="D41" s="443"/>
      <c r="E41" s="444"/>
      <c r="F41" s="392">
        <f t="shared" si="0"/>
        <v>0</v>
      </c>
      <c r="I41" s="390" t="s">
        <v>370</v>
      </c>
      <c r="J41" s="465">
        <v>8405</v>
      </c>
      <c r="K41" s="392">
        <v>118474.8</v>
      </c>
      <c r="L41" s="470">
        <v>44643</v>
      </c>
      <c r="M41" s="480">
        <v>118474.8</v>
      </c>
      <c r="N41" s="137">
        <f t="shared" si="1"/>
        <v>0</v>
      </c>
      <c r="Q41" s="392"/>
    </row>
    <row r="42" spans="1:17" ht="15.75" x14ac:dyDescent="0.25">
      <c r="A42" s="245"/>
      <c r="B42" s="246"/>
      <c r="C42" s="111"/>
      <c r="D42" s="253"/>
      <c r="E42" s="69"/>
      <c r="F42" s="392">
        <f t="shared" si="0"/>
        <v>0</v>
      </c>
      <c r="I42" s="390" t="s">
        <v>371</v>
      </c>
      <c r="J42" s="465">
        <v>8422</v>
      </c>
      <c r="K42" s="392">
        <v>27106.9</v>
      </c>
      <c r="L42" s="470">
        <v>44643</v>
      </c>
      <c r="M42" s="480">
        <v>27106.9</v>
      </c>
      <c r="N42" s="137">
        <f t="shared" si="1"/>
        <v>0</v>
      </c>
      <c r="Q42" s="392"/>
    </row>
    <row r="43" spans="1:17" ht="15.75" x14ac:dyDescent="0.25">
      <c r="A43" s="245"/>
      <c r="B43" s="577" t="s">
        <v>413</v>
      </c>
      <c r="C43" s="578"/>
      <c r="D43" s="578"/>
      <c r="E43" s="579"/>
      <c r="F43" s="392">
        <f t="shared" si="0"/>
        <v>0</v>
      </c>
      <c r="I43" s="390" t="s">
        <v>371</v>
      </c>
      <c r="J43" s="465">
        <v>8423</v>
      </c>
      <c r="K43" s="392">
        <v>1096.2</v>
      </c>
      <c r="L43" s="470">
        <v>44643</v>
      </c>
      <c r="M43" s="480">
        <v>1096.2</v>
      </c>
      <c r="N43" s="137">
        <f t="shared" si="1"/>
        <v>0</v>
      </c>
      <c r="Q43" s="392"/>
    </row>
    <row r="44" spans="1:17" ht="15" customHeight="1" x14ac:dyDescent="0.25">
      <c r="A44" s="245"/>
      <c r="B44" s="580"/>
      <c r="C44" s="581"/>
      <c r="D44" s="581"/>
      <c r="E44" s="582"/>
      <c r="F44" s="392">
        <f t="shared" si="0"/>
        <v>0</v>
      </c>
      <c r="I44" s="390" t="s">
        <v>372</v>
      </c>
      <c r="J44" s="465">
        <v>8434</v>
      </c>
      <c r="K44" s="392">
        <v>1609</v>
      </c>
      <c r="L44" s="470">
        <v>44643</v>
      </c>
      <c r="M44" s="480">
        <v>1609</v>
      </c>
      <c r="N44" s="137">
        <f t="shared" si="1"/>
        <v>0</v>
      </c>
      <c r="Q44" s="392"/>
    </row>
    <row r="45" spans="1:17" ht="15.75" x14ac:dyDescent="0.25">
      <c r="A45" s="245"/>
      <c r="B45" s="583"/>
      <c r="C45" s="584"/>
      <c r="D45" s="584"/>
      <c r="E45" s="585"/>
      <c r="F45" s="392">
        <f t="shared" si="0"/>
        <v>0</v>
      </c>
      <c r="I45" s="390"/>
      <c r="J45" s="391"/>
      <c r="K45" s="392"/>
      <c r="L45" s="470" t="s">
        <v>310</v>
      </c>
      <c r="M45" s="143"/>
      <c r="N45" s="137">
        <f t="shared" si="1"/>
        <v>0</v>
      </c>
      <c r="Q45" s="392"/>
    </row>
    <row r="46" spans="1:17" ht="15.75" x14ac:dyDescent="0.25">
      <c r="A46" s="245"/>
      <c r="B46" s="246"/>
      <c r="C46" s="111"/>
      <c r="D46" s="253"/>
      <c r="E46" s="69"/>
      <c r="F46" s="392">
        <f t="shared" si="0"/>
        <v>0</v>
      </c>
      <c r="I46" s="390"/>
      <c r="J46" s="391"/>
      <c r="K46" s="392"/>
      <c r="L46" s="470" t="s">
        <v>310</v>
      </c>
      <c r="M46" s="143"/>
      <c r="N46" s="137">
        <f t="shared" si="1"/>
        <v>0</v>
      </c>
      <c r="Q46" s="392"/>
    </row>
    <row r="47" spans="1:17" ht="16.5" thickBot="1" x14ac:dyDescent="0.3">
      <c r="A47" s="245"/>
      <c r="B47" s="592" t="s">
        <v>593</v>
      </c>
      <c r="C47" s="593"/>
      <c r="D47" s="253"/>
      <c r="E47" s="69"/>
      <c r="F47" s="137">
        <f t="shared" ref="F47:F73" si="2">F46+C47-E47</f>
        <v>0</v>
      </c>
      <c r="I47" s="348"/>
      <c r="J47" s="359"/>
      <c r="K47" s="360">
        <v>0</v>
      </c>
      <c r="L47" s="466"/>
      <c r="M47" s="143"/>
      <c r="N47" s="137">
        <f t="shared" si="1"/>
        <v>0</v>
      </c>
      <c r="Q47" s="457"/>
    </row>
    <row r="48" spans="1:17" ht="15.75" x14ac:dyDescent="0.25">
      <c r="A48" s="245"/>
      <c r="B48" s="594"/>
      <c r="C48" s="595"/>
      <c r="D48" s="253"/>
      <c r="E48" s="69"/>
      <c r="F48" s="137">
        <f t="shared" si="2"/>
        <v>0</v>
      </c>
      <c r="I48" s="348"/>
      <c r="J48" s="586" t="s">
        <v>414</v>
      </c>
      <c r="K48" s="587"/>
      <c r="L48" s="588"/>
      <c r="M48" s="206"/>
      <c r="N48" s="137">
        <f>N47+K48-M48</f>
        <v>0</v>
      </c>
    </row>
    <row r="49" spans="1:14" ht="16.5" thickBot="1" x14ac:dyDescent="0.3">
      <c r="A49" s="134"/>
      <c r="B49" s="139"/>
      <c r="C49" s="69"/>
      <c r="D49" s="253"/>
      <c r="E49" s="69"/>
      <c r="F49" s="137">
        <f t="shared" si="2"/>
        <v>0</v>
      </c>
      <c r="I49" s="348"/>
      <c r="J49" s="589"/>
      <c r="K49" s="590"/>
      <c r="L49" s="591"/>
      <c r="M49" s="206"/>
      <c r="N49" s="137">
        <f t="shared" si="1"/>
        <v>0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596" t="s">
        <v>594</v>
      </c>
      <c r="J50" s="597"/>
      <c r="K50" s="215">
        <v>0</v>
      </c>
      <c r="L50" s="467"/>
      <c r="M50" s="69"/>
      <c r="N50" s="137">
        <f t="shared" si="1"/>
        <v>0</v>
      </c>
    </row>
    <row r="51" spans="1:14" ht="15.75" hidden="1" customHeight="1" x14ac:dyDescent="0.25">
      <c r="A51" s="134"/>
      <c r="B51" s="139"/>
      <c r="C51" s="69"/>
      <c r="D51" s="253"/>
      <c r="E51" s="69"/>
      <c r="F51" s="137">
        <f t="shared" si="2"/>
        <v>0</v>
      </c>
      <c r="I51" s="596"/>
      <c r="J51" s="597"/>
      <c r="K51" s="69"/>
      <c r="L51" s="253"/>
      <c r="M51" s="69"/>
      <c r="N51" s="137">
        <f t="shared" si="1"/>
        <v>0</v>
      </c>
    </row>
    <row r="52" spans="1:14" ht="15.75" hidden="1" customHeight="1" x14ac:dyDescent="0.25">
      <c r="A52" s="134"/>
      <c r="B52" s="139"/>
      <c r="C52" s="69"/>
      <c r="D52" s="253"/>
      <c r="E52" s="69"/>
      <c r="F52" s="137">
        <f t="shared" si="2"/>
        <v>0</v>
      </c>
      <c r="I52" s="596"/>
      <c r="J52" s="597"/>
      <c r="K52" s="69"/>
      <c r="L52" s="253"/>
      <c r="M52" s="69"/>
      <c r="N52" s="137">
        <f t="shared" si="1"/>
        <v>0</v>
      </c>
    </row>
    <row r="53" spans="1:14" ht="15.75" hidden="1" customHeight="1" x14ac:dyDescent="0.25">
      <c r="A53" s="134"/>
      <c r="B53" s="139"/>
      <c r="C53" s="69"/>
      <c r="D53" s="253"/>
      <c r="E53" s="69"/>
      <c r="F53" s="137">
        <f t="shared" si="2"/>
        <v>0</v>
      </c>
      <c r="I53" s="596"/>
      <c r="J53" s="597"/>
      <c r="K53" s="69"/>
      <c r="L53" s="253"/>
      <c r="M53" s="69"/>
      <c r="N53" s="137">
        <f t="shared" si="1"/>
        <v>0</v>
      </c>
    </row>
    <row r="54" spans="1:14" ht="15.75" hidden="1" customHeight="1" x14ac:dyDescent="0.25">
      <c r="A54" s="134"/>
      <c r="B54" s="139"/>
      <c r="C54" s="69"/>
      <c r="D54" s="253"/>
      <c r="E54" s="69"/>
      <c r="F54" s="137">
        <f t="shared" si="2"/>
        <v>0</v>
      </c>
      <c r="I54" s="596"/>
      <c r="J54" s="597"/>
      <c r="K54" s="69"/>
      <c r="L54" s="253"/>
      <c r="M54" s="69"/>
      <c r="N54" s="137">
        <f t="shared" si="1"/>
        <v>0</v>
      </c>
    </row>
    <row r="55" spans="1:14" ht="15.75" hidden="1" customHeight="1" x14ac:dyDescent="0.25">
      <c r="A55" s="134"/>
      <c r="B55" s="139"/>
      <c r="C55" s="69"/>
      <c r="D55" s="253"/>
      <c r="E55" s="69"/>
      <c r="F55" s="137">
        <f t="shared" si="2"/>
        <v>0</v>
      </c>
      <c r="I55" s="596"/>
      <c r="J55" s="597"/>
      <c r="K55" s="69"/>
      <c r="L55" s="253"/>
      <c r="M55" s="69"/>
      <c r="N55" s="137">
        <f t="shared" si="1"/>
        <v>0</v>
      </c>
    </row>
    <row r="56" spans="1:14" ht="15.75" hidden="1" customHeight="1" x14ac:dyDescent="0.25">
      <c r="A56" s="134"/>
      <c r="B56" s="139"/>
      <c r="C56" s="69"/>
      <c r="D56" s="253"/>
      <c r="E56" s="69"/>
      <c r="F56" s="137">
        <f t="shared" si="2"/>
        <v>0</v>
      </c>
      <c r="I56" s="596"/>
      <c r="J56" s="597"/>
      <c r="K56" s="69"/>
      <c r="L56" s="253"/>
      <c r="M56" s="69"/>
      <c r="N56" s="137">
        <f t="shared" si="1"/>
        <v>0</v>
      </c>
    </row>
    <row r="57" spans="1:14" ht="15.75" hidden="1" customHeight="1" x14ac:dyDescent="0.25">
      <c r="A57" s="134"/>
      <c r="B57" s="139"/>
      <c r="C57" s="69"/>
      <c r="D57" s="253"/>
      <c r="E57" s="69"/>
      <c r="F57" s="137">
        <f t="shared" si="2"/>
        <v>0</v>
      </c>
      <c r="I57" s="596"/>
      <c r="J57" s="597"/>
      <c r="K57" s="69"/>
      <c r="L57" s="253"/>
      <c r="M57" s="69"/>
      <c r="N57" s="137">
        <f t="shared" si="1"/>
        <v>0</v>
      </c>
    </row>
    <row r="58" spans="1:14" ht="15.75" hidden="1" customHeight="1" x14ac:dyDescent="0.25">
      <c r="A58" s="134"/>
      <c r="B58" s="139"/>
      <c r="C58" s="69"/>
      <c r="D58" s="253"/>
      <c r="E58" s="69"/>
      <c r="F58" s="137">
        <f t="shared" si="2"/>
        <v>0</v>
      </c>
      <c r="I58" s="596"/>
      <c r="J58" s="597"/>
      <c r="K58" s="69"/>
      <c r="L58" s="253"/>
      <c r="M58" s="69"/>
      <c r="N58" s="137">
        <f t="shared" si="1"/>
        <v>0</v>
      </c>
    </row>
    <row r="59" spans="1:14" ht="15.75" hidden="1" customHeight="1" x14ac:dyDescent="0.25">
      <c r="A59" s="134"/>
      <c r="B59" s="139"/>
      <c r="C59" s="69"/>
      <c r="D59" s="253"/>
      <c r="E59" s="69"/>
      <c r="F59" s="137">
        <f t="shared" si="2"/>
        <v>0</v>
      </c>
      <c r="I59" s="596"/>
      <c r="J59" s="597"/>
      <c r="K59" s="69"/>
      <c r="L59" s="253"/>
      <c r="M59" s="69"/>
      <c r="N59" s="137">
        <f t="shared" si="1"/>
        <v>0</v>
      </c>
    </row>
    <row r="60" spans="1:14" ht="15.75" hidden="1" customHeight="1" x14ac:dyDescent="0.25">
      <c r="A60" s="134"/>
      <c r="B60" s="139"/>
      <c r="C60" s="69"/>
      <c r="D60" s="253"/>
      <c r="E60" s="69"/>
      <c r="F60" s="137">
        <f t="shared" si="2"/>
        <v>0</v>
      </c>
      <c r="I60" s="596"/>
      <c r="J60" s="597"/>
      <c r="K60" s="69"/>
      <c r="L60" s="253"/>
      <c r="M60" s="69"/>
      <c r="N60" s="137">
        <f t="shared" si="1"/>
        <v>0</v>
      </c>
    </row>
    <row r="61" spans="1:14" ht="15.75" hidden="1" customHeight="1" x14ac:dyDescent="0.25">
      <c r="A61" s="134"/>
      <c r="B61" s="139"/>
      <c r="C61" s="69"/>
      <c r="D61" s="253"/>
      <c r="E61" s="69"/>
      <c r="F61" s="137">
        <f t="shared" si="2"/>
        <v>0</v>
      </c>
      <c r="I61" s="596"/>
      <c r="J61" s="597"/>
      <c r="K61" s="69"/>
      <c r="L61" s="253"/>
      <c r="M61" s="69"/>
      <c r="N61" s="137">
        <f t="shared" si="1"/>
        <v>0</v>
      </c>
    </row>
    <row r="62" spans="1:14" ht="15.75" hidden="1" customHeight="1" x14ac:dyDescent="0.25">
      <c r="A62" s="134"/>
      <c r="B62" s="139"/>
      <c r="C62" s="69"/>
      <c r="D62" s="254"/>
      <c r="E62" s="69"/>
      <c r="F62" s="137">
        <f t="shared" si="2"/>
        <v>0</v>
      </c>
      <c r="I62" s="596"/>
      <c r="J62" s="597"/>
      <c r="K62" s="34"/>
      <c r="L62" s="118"/>
      <c r="M62" s="34"/>
      <c r="N62" s="137">
        <f t="shared" si="1"/>
        <v>0</v>
      </c>
    </row>
    <row r="63" spans="1:14" ht="15.75" hidden="1" customHeight="1" x14ac:dyDescent="0.25">
      <c r="A63" s="134"/>
      <c r="B63" s="139"/>
      <c r="C63" s="69"/>
      <c r="D63" s="254"/>
      <c r="E63" s="69"/>
      <c r="F63" s="137">
        <f t="shared" si="2"/>
        <v>0</v>
      </c>
      <c r="I63" s="596"/>
      <c r="J63" s="597"/>
      <c r="K63" s="34"/>
      <c r="L63" s="118"/>
      <c r="M63" s="34"/>
      <c r="N63" s="137">
        <f t="shared" si="1"/>
        <v>0</v>
      </c>
    </row>
    <row r="64" spans="1:14" ht="15.75" hidden="1" customHeight="1" x14ac:dyDescent="0.25">
      <c r="A64" s="134"/>
      <c r="B64" s="139"/>
      <c r="C64" s="69"/>
      <c r="D64" s="254"/>
      <c r="E64" s="69"/>
      <c r="F64" s="137">
        <f t="shared" si="2"/>
        <v>0</v>
      </c>
      <c r="I64" s="596"/>
      <c r="J64" s="597"/>
      <c r="K64" s="34"/>
      <c r="L64" s="118"/>
      <c r="M64" s="34"/>
      <c r="N64" s="137">
        <f t="shared" si="1"/>
        <v>0</v>
      </c>
    </row>
    <row r="65" spans="1:14" ht="15.75" hidden="1" customHeight="1" x14ac:dyDescent="0.25">
      <c r="A65" s="134"/>
      <c r="B65" s="139"/>
      <c r="C65" s="69"/>
      <c r="D65" s="254"/>
      <c r="E65" s="69"/>
      <c r="F65" s="137">
        <f t="shared" si="2"/>
        <v>0</v>
      </c>
      <c r="I65" s="596"/>
      <c r="J65" s="597"/>
      <c r="K65" s="34"/>
      <c r="L65" s="118"/>
      <c r="M65" s="34"/>
      <c r="N65" s="137">
        <f t="shared" si="1"/>
        <v>0</v>
      </c>
    </row>
    <row r="66" spans="1:14" ht="15.75" hidden="1" customHeight="1" x14ac:dyDescent="0.25">
      <c r="A66" s="134"/>
      <c r="B66" s="139"/>
      <c r="C66" s="69"/>
      <c r="D66" s="254"/>
      <c r="E66" s="69"/>
      <c r="F66" s="137">
        <f t="shared" si="2"/>
        <v>0</v>
      </c>
      <c r="I66" s="596"/>
      <c r="J66" s="597"/>
      <c r="K66" s="34"/>
      <c r="L66" s="118"/>
      <c r="M66" s="34"/>
      <c r="N66" s="137">
        <f t="shared" si="1"/>
        <v>0</v>
      </c>
    </row>
    <row r="67" spans="1:14" ht="15.75" hidden="1" customHeight="1" x14ac:dyDescent="0.25">
      <c r="A67" s="356"/>
      <c r="B67" s="357"/>
      <c r="C67" s="34"/>
      <c r="D67" s="118"/>
      <c r="E67" s="34"/>
      <c r="F67" s="137">
        <f t="shared" si="2"/>
        <v>0</v>
      </c>
      <c r="I67" s="596"/>
      <c r="J67" s="597"/>
      <c r="K67" s="34"/>
      <c r="L67" s="118"/>
      <c r="M67" s="34"/>
      <c r="N67" s="137">
        <f t="shared" si="1"/>
        <v>0</v>
      </c>
    </row>
    <row r="68" spans="1:14" ht="15.75" hidden="1" customHeight="1" x14ac:dyDescent="0.25">
      <c r="A68" s="134"/>
      <c r="B68" s="139"/>
      <c r="C68" s="69"/>
      <c r="D68" s="254"/>
      <c r="E68" s="69"/>
      <c r="F68" s="137">
        <f t="shared" si="2"/>
        <v>0</v>
      </c>
      <c r="I68" s="596"/>
      <c r="J68" s="597"/>
      <c r="K68" s="69"/>
      <c r="L68" s="254"/>
      <c r="M68" s="69"/>
      <c r="N68" s="137">
        <f t="shared" si="1"/>
        <v>0</v>
      </c>
    </row>
    <row r="69" spans="1:14" ht="15.75" hidden="1" customHeight="1" x14ac:dyDescent="0.25">
      <c r="A69" s="134"/>
      <c r="B69" s="139"/>
      <c r="C69" s="69"/>
      <c r="D69" s="254"/>
      <c r="E69" s="69"/>
      <c r="F69" s="137">
        <f t="shared" si="2"/>
        <v>0</v>
      </c>
      <c r="I69" s="596"/>
      <c r="J69" s="597"/>
      <c r="K69" s="69"/>
      <c r="L69" s="254"/>
      <c r="M69" s="69"/>
      <c r="N69" s="137">
        <f t="shared" si="1"/>
        <v>0</v>
      </c>
    </row>
    <row r="70" spans="1:14" ht="15.75" hidden="1" customHeight="1" x14ac:dyDescent="0.25">
      <c r="A70" s="134"/>
      <c r="B70" s="139"/>
      <c r="C70" s="69"/>
      <c r="D70" s="254"/>
      <c r="E70" s="69"/>
      <c r="F70" s="137">
        <f t="shared" si="2"/>
        <v>0</v>
      </c>
      <c r="I70" s="596"/>
      <c r="J70" s="597"/>
      <c r="K70" s="69"/>
      <c r="L70" s="254"/>
      <c r="M70" s="69"/>
      <c r="N70" s="137">
        <f t="shared" si="1"/>
        <v>0</v>
      </c>
    </row>
    <row r="71" spans="1:14" ht="15.75" hidden="1" customHeight="1" x14ac:dyDescent="0.25">
      <c r="A71" s="134"/>
      <c r="B71" s="139"/>
      <c r="C71" s="69"/>
      <c r="D71" s="254"/>
      <c r="E71" s="69"/>
      <c r="F71" s="137">
        <f t="shared" si="2"/>
        <v>0</v>
      </c>
      <c r="I71" s="596"/>
      <c r="J71" s="597"/>
      <c r="K71" s="69"/>
      <c r="L71" s="254"/>
      <c r="M71" s="69"/>
      <c r="N71" s="137">
        <f t="shared" si="1"/>
        <v>0</v>
      </c>
    </row>
    <row r="72" spans="1:14" ht="15.75" hidden="1" customHeight="1" x14ac:dyDescent="0.25">
      <c r="A72" s="134"/>
      <c r="B72" s="139"/>
      <c r="C72" s="69"/>
      <c r="D72" s="254"/>
      <c r="E72" s="69"/>
      <c r="F72" s="137">
        <f t="shared" si="2"/>
        <v>0</v>
      </c>
      <c r="I72" s="596"/>
      <c r="J72" s="597"/>
      <c r="K72" s="69"/>
      <c r="L72" s="254"/>
      <c r="M72" s="69"/>
      <c r="N72" s="137">
        <f t="shared" si="1"/>
        <v>0</v>
      </c>
    </row>
    <row r="73" spans="1:14" ht="15.75" hidden="1" customHeight="1" x14ac:dyDescent="0.25">
      <c r="A73" s="134"/>
      <c r="B73" s="139"/>
      <c r="C73" s="69"/>
      <c r="D73" s="254"/>
      <c r="E73" s="69"/>
      <c r="F73" s="137">
        <f t="shared" si="2"/>
        <v>0</v>
      </c>
      <c r="I73" s="596"/>
      <c r="J73" s="597"/>
      <c r="K73" s="69"/>
      <c r="L73" s="254"/>
      <c r="M73" s="69"/>
      <c r="N73" s="137">
        <f t="shared" si="1"/>
        <v>0</v>
      </c>
    </row>
    <row r="74" spans="1:14" ht="15.75" hidden="1" customHeight="1" x14ac:dyDescent="0.25">
      <c r="A74" s="134"/>
      <c r="B74" s="139"/>
      <c r="C74" s="69"/>
      <c r="D74" s="254"/>
      <c r="E74" s="69"/>
      <c r="F74" s="137">
        <f>F73+C74-E74</f>
        <v>0</v>
      </c>
      <c r="I74" s="596"/>
      <c r="J74" s="597"/>
      <c r="K74" s="69"/>
      <c r="L74" s="254"/>
      <c r="M74" s="69"/>
      <c r="N74" s="137">
        <f>N73+K74-M74</f>
        <v>0</v>
      </c>
    </row>
    <row r="75" spans="1:14" ht="15.75" hidden="1" customHeight="1" x14ac:dyDescent="0.25">
      <c r="A75" s="134"/>
      <c r="B75" s="139"/>
      <c r="C75" s="69"/>
      <c r="D75" s="254"/>
      <c r="E75" s="69"/>
      <c r="F75" s="137">
        <f>F74+C75-E75</f>
        <v>0</v>
      </c>
      <c r="I75" s="596"/>
      <c r="J75" s="597"/>
      <c r="K75" s="69"/>
      <c r="L75" s="254"/>
      <c r="M75" s="69"/>
      <c r="N75" s="137">
        <f>N74+K75-M75</f>
        <v>0</v>
      </c>
    </row>
    <row r="76" spans="1:14" ht="15.75" hidden="1" customHeight="1" x14ac:dyDescent="0.25">
      <c r="A76" s="134"/>
      <c r="B76" s="139"/>
      <c r="C76" s="69"/>
      <c r="D76" s="254"/>
      <c r="E76" s="69"/>
      <c r="F76" s="137">
        <f>F75+C76-E76</f>
        <v>0</v>
      </c>
      <c r="I76" s="596"/>
      <c r="J76" s="597"/>
      <c r="K76" s="69"/>
      <c r="L76" s="254"/>
      <c r="M76" s="69"/>
      <c r="N76" s="137">
        <f>N75+K76-M76</f>
        <v>0</v>
      </c>
    </row>
    <row r="77" spans="1:14" ht="15.75" hidden="1" customHeight="1" x14ac:dyDescent="0.25">
      <c r="A77" s="134"/>
      <c r="B77" s="139"/>
      <c r="C77" s="69"/>
      <c r="D77" s="254"/>
      <c r="E77" s="69"/>
      <c r="F77" s="137">
        <f>F76+C77-E77</f>
        <v>0</v>
      </c>
      <c r="I77" s="596"/>
      <c r="J77" s="597"/>
      <c r="K77" s="69"/>
      <c r="L77" s="254"/>
      <c r="M77" s="69"/>
      <c r="N77" s="137">
        <f>N76+K77-M77</f>
        <v>0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>F77+C78-E78</f>
        <v>0</v>
      </c>
      <c r="I78" s="598"/>
      <c r="J78" s="599"/>
      <c r="K78" s="151">
        <v>0</v>
      </c>
      <c r="L78" s="255"/>
      <c r="M78" s="151"/>
      <c r="N78" s="137">
        <f>N77+K78-M78</f>
        <v>0</v>
      </c>
    </row>
    <row r="79" spans="1:14" ht="19.5" thickTop="1" x14ac:dyDescent="0.3">
      <c r="B79" s="211"/>
      <c r="C79" s="212">
        <f>SUM(C3:C78)</f>
        <v>1448401.2000000002</v>
      </c>
      <c r="D79" s="407"/>
      <c r="E79" s="395">
        <f>SUM(E3:E78)</f>
        <v>1448401.2000000002</v>
      </c>
      <c r="F79" s="153">
        <f>SUM(F3:F78)</f>
        <v>0</v>
      </c>
      <c r="K79" s="209">
        <f>SUM(K3:K78)</f>
        <v>907413.46000000008</v>
      </c>
      <c r="L79" s="471"/>
      <c r="M79" s="209">
        <f>SUM(M3:M78)</f>
        <v>907413.46000000008</v>
      </c>
      <c r="N79" s="153">
        <f>N78</f>
        <v>0</v>
      </c>
    </row>
    <row r="80" spans="1:14" ht="15.75" thickBot="1" x14ac:dyDescent="0.3">
      <c r="B80" s="213"/>
      <c r="C80" s="214"/>
      <c r="D80" s="256"/>
      <c r="E80" s="3"/>
      <c r="F80" s="571" t="s">
        <v>207</v>
      </c>
      <c r="K80" s="1"/>
      <c r="M80" s="3"/>
      <c r="N80" s="1"/>
    </row>
    <row r="81" spans="1:14" x14ac:dyDescent="0.25">
      <c r="B81" s="98"/>
      <c r="C81" s="1"/>
      <c r="D81" s="256"/>
      <c r="E81" s="3"/>
      <c r="F81" s="572"/>
      <c r="K81" s="1"/>
      <c r="M81" s="3"/>
      <c r="N81" s="1"/>
    </row>
    <row r="82" spans="1:14" x14ac:dyDescent="0.25">
      <c r="A82"/>
      <c r="B82" s="23"/>
      <c r="I82"/>
      <c r="J82" s="194"/>
    </row>
    <row r="83" spans="1:14" x14ac:dyDescent="0.25">
      <c r="A83"/>
      <c r="B83" s="23"/>
      <c r="I83"/>
      <c r="J83" s="194"/>
    </row>
    <row r="84" spans="1:14" x14ac:dyDescent="0.25">
      <c r="A84"/>
      <c r="B84" s="23"/>
      <c r="I84"/>
      <c r="J84" s="194"/>
    </row>
    <row r="85" spans="1:14" x14ac:dyDescent="0.25">
      <c r="A85"/>
      <c r="B85" s="23"/>
      <c r="F85"/>
      <c r="I85"/>
      <c r="J85" s="194"/>
      <c r="N85"/>
    </row>
    <row r="86" spans="1:14" x14ac:dyDescent="0.25">
      <c r="A86"/>
      <c r="B86" s="23"/>
      <c r="F86"/>
      <c r="I86"/>
      <c r="J86" s="194"/>
      <c r="N86"/>
    </row>
    <row r="87" spans="1:14" x14ac:dyDescent="0.25">
      <c r="A87"/>
      <c r="B87" s="23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F89"/>
      <c r="I89"/>
      <c r="J89" s="194"/>
      <c r="N89"/>
    </row>
    <row r="90" spans="1:14" x14ac:dyDescent="0.25">
      <c r="A90"/>
      <c r="B90" s="23"/>
      <c r="F90"/>
      <c r="I90"/>
      <c r="J90" s="194"/>
      <c r="N90"/>
    </row>
    <row r="91" spans="1:14" x14ac:dyDescent="0.25">
      <c r="A91"/>
      <c r="B91" s="23"/>
      <c r="F91"/>
      <c r="I91"/>
      <c r="J91" s="194"/>
      <c r="N91"/>
    </row>
    <row r="92" spans="1:14" x14ac:dyDescent="0.25">
      <c r="A92"/>
      <c r="B92" s="23"/>
      <c r="F92"/>
      <c r="I92"/>
      <c r="J92" s="194"/>
      <c r="N92"/>
    </row>
    <row r="93" spans="1:14" x14ac:dyDescent="0.25">
      <c r="A93"/>
      <c r="B93" s="23"/>
      <c r="F93"/>
      <c r="I93"/>
      <c r="J93" s="194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A95"/>
      <c r="B95" s="23"/>
      <c r="E95"/>
      <c r="F95"/>
      <c r="I95"/>
      <c r="J95" s="194"/>
      <c r="M95"/>
      <c r="N95"/>
    </row>
    <row r="96" spans="1:14" x14ac:dyDescent="0.25">
      <c r="A96"/>
      <c r="B96" s="23"/>
      <c r="E96"/>
      <c r="F96"/>
      <c r="I96"/>
      <c r="J96" s="194"/>
      <c r="M96"/>
      <c r="N96"/>
    </row>
    <row r="97" spans="1:14" x14ac:dyDescent="0.25">
      <c r="A97"/>
      <c r="B97" s="23"/>
      <c r="E97"/>
      <c r="F97"/>
      <c r="I97"/>
      <c r="J97" s="194"/>
      <c r="M97"/>
      <c r="N97"/>
    </row>
    <row r="98" spans="1:14" x14ac:dyDescent="0.25">
      <c r="A98"/>
      <c r="B98" s="23"/>
      <c r="E98"/>
      <c r="F98"/>
      <c r="I98"/>
      <c r="J98" s="194"/>
      <c r="M98"/>
      <c r="N98"/>
    </row>
    <row r="99" spans="1:14" x14ac:dyDescent="0.25">
      <c r="A99"/>
      <c r="B99" s="23"/>
      <c r="E99"/>
      <c r="F99"/>
      <c r="I99"/>
      <c r="J99" s="194"/>
      <c r="M99"/>
      <c r="N99"/>
    </row>
    <row r="100" spans="1:14" x14ac:dyDescent="0.25">
      <c r="B100" s="23"/>
      <c r="E100"/>
      <c r="J100" s="194"/>
      <c r="M100"/>
    </row>
    <row r="101" spans="1:14" x14ac:dyDescent="0.25">
      <c r="B101" s="23"/>
      <c r="E101"/>
      <c r="J101" s="194"/>
      <c r="M101"/>
    </row>
    <row r="102" spans="1:14" x14ac:dyDescent="0.25">
      <c r="B102" s="23"/>
      <c r="E102"/>
      <c r="J102" s="194"/>
      <c r="M102"/>
    </row>
    <row r="103" spans="1:14" x14ac:dyDescent="0.25">
      <c r="B103" s="23"/>
      <c r="E103"/>
      <c r="J103" s="194"/>
      <c r="M103"/>
    </row>
    <row r="104" spans="1:14" x14ac:dyDescent="0.25">
      <c r="B104" s="23"/>
      <c r="E104"/>
      <c r="J104" s="194"/>
      <c r="M104"/>
    </row>
    <row r="105" spans="1:14" x14ac:dyDescent="0.25">
      <c r="B105" s="23"/>
      <c r="E105"/>
      <c r="J105" s="194"/>
      <c r="M105"/>
    </row>
    <row r="106" spans="1:14" x14ac:dyDescent="0.25">
      <c r="B106" s="23"/>
      <c r="E106"/>
      <c r="J106" s="194"/>
      <c r="M106"/>
    </row>
    <row r="107" spans="1:14" x14ac:dyDescent="0.25">
      <c r="B107" s="23"/>
      <c r="E107"/>
      <c r="J107" s="194"/>
      <c r="M107"/>
    </row>
    <row r="108" spans="1:14" x14ac:dyDescent="0.25">
      <c r="B108" s="23"/>
      <c r="E108"/>
      <c r="J108" s="194"/>
      <c r="M108"/>
    </row>
    <row r="109" spans="1:14" x14ac:dyDescent="0.25">
      <c r="B109" s="23"/>
      <c r="J109" s="194"/>
    </row>
    <row r="110" spans="1:14" x14ac:dyDescent="0.25">
      <c r="B110" s="23"/>
      <c r="J110" s="194"/>
    </row>
    <row r="111" spans="1:14" x14ac:dyDescent="0.25">
      <c r="B111" s="23"/>
      <c r="J111" s="194"/>
    </row>
    <row r="112" spans="1:14" x14ac:dyDescent="0.25">
      <c r="B112" s="23"/>
      <c r="J112" s="194"/>
    </row>
    <row r="113" spans="2:11" x14ac:dyDescent="0.25">
      <c r="B113" s="23"/>
      <c r="J113" s="194"/>
    </row>
    <row r="114" spans="2:11" x14ac:dyDescent="0.25">
      <c r="B114" s="23"/>
      <c r="J114" s="194"/>
    </row>
    <row r="115" spans="2:11" ht="18.75" x14ac:dyDescent="0.3">
      <c r="C115" s="154"/>
      <c r="K115" s="154"/>
    </row>
  </sheetData>
  <mergeCells count="5">
    <mergeCell ref="F80:F81"/>
    <mergeCell ref="B43:E45"/>
    <mergeCell ref="J48:L49"/>
    <mergeCell ref="B47:C48"/>
    <mergeCell ref="I50:J78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Z80"/>
  <sheetViews>
    <sheetView topLeftCell="A16" workbookViewId="0">
      <selection activeCell="C22" sqref="C22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3"/>
      <c r="C1" s="575" t="s">
        <v>316</v>
      </c>
      <c r="D1" s="576"/>
      <c r="E1" s="576"/>
      <c r="F1" s="576"/>
      <c r="G1" s="576"/>
      <c r="H1" s="576"/>
      <c r="I1" s="576"/>
      <c r="J1" s="576"/>
      <c r="K1" s="576"/>
      <c r="L1" s="576"/>
      <c r="M1" s="576"/>
    </row>
    <row r="2" spans="1:25" ht="16.5" thickBot="1" x14ac:dyDescent="0.3">
      <c r="B2" s="534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  <c r="P3" s="563" t="s">
        <v>6</v>
      </c>
      <c r="R3" s="573" t="s">
        <v>216</v>
      </c>
    </row>
    <row r="4" spans="1:25" ht="32.25" thickTop="1" thickBot="1" x14ac:dyDescent="0.35">
      <c r="A4" s="15" t="s">
        <v>1</v>
      </c>
      <c r="B4" s="16"/>
      <c r="C4" s="17">
        <v>1149740.4099999999</v>
      </c>
      <c r="D4" s="18">
        <v>44591</v>
      </c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64"/>
      <c r="Q4" s="322" t="s">
        <v>217</v>
      </c>
      <c r="R4" s="574"/>
      <c r="W4" s="546" t="s">
        <v>124</v>
      </c>
      <c r="X4" s="546"/>
      <c r="Y4" s="227"/>
    </row>
    <row r="5" spans="1:25" ht="18" thickBot="1" x14ac:dyDescent="0.35">
      <c r="A5" s="23" t="s">
        <v>7</v>
      </c>
      <c r="B5" s="24">
        <v>44592</v>
      </c>
      <c r="C5" s="25">
        <v>8981.5</v>
      </c>
      <c r="D5" s="26" t="s">
        <v>415</v>
      </c>
      <c r="E5" s="27">
        <v>44592</v>
      </c>
      <c r="F5" s="28">
        <v>85750</v>
      </c>
      <c r="G5" s="2"/>
      <c r="H5" s="29">
        <v>44592</v>
      </c>
      <c r="I5" s="30">
        <v>510</v>
      </c>
      <c r="J5" s="37"/>
      <c r="K5" s="31"/>
      <c r="L5" s="9"/>
      <c r="M5" s="32">
        <v>45686.5</v>
      </c>
      <c r="N5" s="33">
        <v>30572</v>
      </c>
      <c r="O5" s="318"/>
      <c r="P5" s="34">
        <f>N5+M5+L5+I5+C5</f>
        <v>85750</v>
      </c>
      <c r="Q5" s="325">
        <f>P5-F5</f>
        <v>0</v>
      </c>
      <c r="R5" s="379">
        <v>0</v>
      </c>
      <c r="S5" s="324"/>
      <c r="W5" s="546"/>
      <c r="X5" s="546"/>
      <c r="Y5" s="233"/>
    </row>
    <row r="6" spans="1:25" ht="18" thickBot="1" x14ac:dyDescent="0.35">
      <c r="A6" s="23"/>
      <c r="B6" s="24">
        <v>44593</v>
      </c>
      <c r="C6" s="25">
        <v>9273</v>
      </c>
      <c r="D6" s="35" t="s">
        <v>416</v>
      </c>
      <c r="E6" s="27">
        <v>44593</v>
      </c>
      <c r="F6" s="28">
        <v>94833</v>
      </c>
      <c r="G6" s="2"/>
      <c r="H6" s="36">
        <v>44593</v>
      </c>
      <c r="I6" s="30">
        <v>1459</v>
      </c>
      <c r="J6" s="37"/>
      <c r="K6" s="38"/>
      <c r="L6" s="39"/>
      <c r="M6" s="32">
        <v>96069</v>
      </c>
      <c r="N6" s="33">
        <v>32598</v>
      </c>
      <c r="O6" s="2"/>
      <c r="P6" s="39">
        <f>N6+M6+L6+I6+C6</f>
        <v>139399</v>
      </c>
      <c r="Q6" s="325">
        <v>0</v>
      </c>
      <c r="R6" s="388">
        <v>44566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44594</v>
      </c>
      <c r="C7" s="25">
        <v>31778</v>
      </c>
      <c r="D7" s="40" t="s">
        <v>417</v>
      </c>
      <c r="E7" s="27">
        <v>44594</v>
      </c>
      <c r="F7" s="28">
        <v>89368</v>
      </c>
      <c r="G7" s="2"/>
      <c r="H7" s="36">
        <v>44594</v>
      </c>
      <c r="I7" s="30">
        <v>2943.5</v>
      </c>
      <c r="J7" s="37"/>
      <c r="K7" s="38"/>
      <c r="L7" s="39"/>
      <c r="M7" s="32">
        <v>15870.5</v>
      </c>
      <c r="N7" s="33">
        <v>38776</v>
      </c>
      <c r="O7" s="224"/>
      <c r="P7" s="39">
        <f t="shared" ref="P7:P32" si="0">N7+M7+L7+I7+C7</f>
        <v>89368</v>
      </c>
      <c r="Q7" s="317">
        <f t="shared" ref="Q7:Q35" si="1">P7-F7</f>
        <v>0</v>
      </c>
      <c r="R7" s="319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44595</v>
      </c>
      <c r="C8" s="25">
        <v>32229</v>
      </c>
      <c r="D8" s="42" t="s">
        <v>418</v>
      </c>
      <c r="E8" s="27">
        <v>44595</v>
      </c>
      <c r="F8" s="28">
        <v>60473</v>
      </c>
      <c r="G8" s="2"/>
      <c r="H8" s="36">
        <v>44595</v>
      </c>
      <c r="I8" s="30">
        <v>1185</v>
      </c>
      <c r="J8" s="43"/>
      <c r="K8" s="38"/>
      <c r="L8" s="39"/>
      <c r="M8" s="32">
        <v>11161</v>
      </c>
      <c r="N8" s="33">
        <v>15898</v>
      </c>
      <c r="O8" s="2"/>
      <c r="P8" s="39">
        <f t="shared" si="0"/>
        <v>60473</v>
      </c>
      <c r="Q8" s="317">
        <f t="shared" si="1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44596</v>
      </c>
      <c r="C9" s="25">
        <v>3029</v>
      </c>
      <c r="D9" s="42" t="s">
        <v>419</v>
      </c>
      <c r="E9" s="27">
        <v>44596</v>
      </c>
      <c r="F9" s="28">
        <v>92390</v>
      </c>
      <c r="G9" s="2"/>
      <c r="H9" s="36">
        <v>44596</v>
      </c>
      <c r="I9" s="30">
        <v>2606.5</v>
      </c>
      <c r="J9" s="37"/>
      <c r="K9" s="223"/>
      <c r="L9" s="39"/>
      <c r="M9" s="32">
        <v>66431.5</v>
      </c>
      <c r="N9" s="33">
        <v>20323</v>
      </c>
      <c r="O9" s="2"/>
      <c r="P9" s="39">
        <f t="shared" ref="P9:P14" si="2">N9+M9+L9+I9+C9</f>
        <v>92390</v>
      </c>
      <c r="Q9" s="317">
        <f t="shared" si="1"/>
        <v>0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44597</v>
      </c>
      <c r="C10" s="25">
        <v>15656</v>
      </c>
      <c r="D10" s="40" t="s">
        <v>420</v>
      </c>
      <c r="E10" s="27">
        <v>44597</v>
      </c>
      <c r="F10" s="28">
        <v>97034</v>
      </c>
      <c r="G10" s="2"/>
      <c r="H10" s="36">
        <v>44597</v>
      </c>
      <c r="I10" s="30">
        <v>3824</v>
      </c>
      <c r="J10" s="37">
        <v>44597</v>
      </c>
      <c r="K10" s="167" t="s">
        <v>421</v>
      </c>
      <c r="L10" s="45">
        <v>9659.41</v>
      </c>
      <c r="M10" s="32">
        <v>21600</v>
      </c>
      <c r="N10" s="33">
        <v>46252</v>
      </c>
      <c r="O10" s="2"/>
      <c r="P10" s="39">
        <f>N10+M10+L10+I10+C10</f>
        <v>96991.41</v>
      </c>
      <c r="Q10" s="317">
        <f t="shared" si="1"/>
        <v>-42.589999999996508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44598</v>
      </c>
      <c r="C11" s="25">
        <v>4784</v>
      </c>
      <c r="D11" s="35" t="s">
        <v>424</v>
      </c>
      <c r="E11" s="27">
        <v>44598</v>
      </c>
      <c r="F11" s="28">
        <v>75320</v>
      </c>
      <c r="G11" s="2"/>
      <c r="H11" s="36">
        <v>44598</v>
      </c>
      <c r="I11" s="30">
        <v>2399</v>
      </c>
      <c r="J11" s="43"/>
      <c r="K11" s="168"/>
      <c r="L11" s="39"/>
      <c r="M11" s="32">
        <v>42682</v>
      </c>
      <c r="N11" s="33">
        <v>25499</v>
      </c>
      <c r="O11" s="2"/>
      <c r="P11" s="39">
        <f t="shared" si="2"/>
        <v>75364</v>
      </c>
      <c r="Q11" s="325">
        <f t="shared" si="1"/>
        <v>44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44599</v>
      </c>
      <c r="C12" s="25">
        <v>15387</v>
      </c>
      <c r="D12" s="35" t="s">
        <v>425</v>
      </c>
      <c r="E12" s="27">
        <v>44599</v>
      </c>
      <c r="F12" s="28">
        <v>87730</v>
      </c>
      <c r="G12" s="2"/>
      <c r="H12" s="36">
        <v>44599</v>
      </c>
      <c r="I12" s="30">
        <v>410.5</v>
      </c>
      <c r="J12" s="37"/>
      <c r="K12" s="169"/>
      <c r="L12" s="39"/>
      <c r="M12" s="32">
        <f>7964+42823.5</f>
        <v>50787.5</v>
      </c>
      <c r="N12" s="33">
        <v>21145</v>
      </c>
      <c r="O12" s="328"/>
      <c r="P12" s="39">
        <f t="shared" si="2"/>
        <v>87730</v>
      </c>
      <c r="Q12" s="317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44600</v>
      </c>
      <c r="C13" s="25">
        <v>8670</v>
      </c>
      <c r="D13" s="42" t="s">
        <v>428</v>
      </c>
      <c r="E13" s="27">
        <v>44600</v>
      </c>
      <c r="F13" s="28">
        <v>98373</v>
      </c>
      <c r="G13" s="2"/>
      <c r="H13" s="36">
        <v>44600</v>
      </c>
      <c r="I13" s="30">
        <v>1328</v>
      </c>
      <c r="J13" s="37"/>
      <c r="K13" s="38"/>
      <c r="L13" s="39"/>
      <c r="M13" s="32">
        <v>61009</v>
      </c>
      <c r="N13" s="33">
        <v>27366</v>
      </c>
      <c r="O13" s="2"/>
      <c r="P13" s="39">
        <f t="shared" si="2"/>
        <v>98373</v>
      </c>
      <c r="Q13" s="317">
        <f t="shared" si="1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44601</v>
      </c>
      <c r="C14" s="25">
        <v>15994</v>
      </c>
      <c r="D14" s="40" t="s">
        <v>426</v>
      </c>
      <c r="E14" s="27">
        <v>44601</v>
      </c>
      <c r="F14" s="28">
        <v>147661</v>
      </c>
      <c r="G14" s="2"/>
      <c r="H14" s="36">
        <v>44601</v>
      </c>
      <c r="I14" s="30">
        <v>3417</v>
      </c>
      <c r="J14" s="37"/>
      <c r="K14" s="38"/>
      <c r="L14" s="39"/>
      <c r="M14" s="32">
        <v>108127</v>
      </c>
      <c r="N14" s="33">
        <v>20123</v>
      </c>
      <c r="O14" s="2"/>
      <c r="P14" s="39">
        <f t="shared" si="2"/>
        <v>147661</v>
      </c>
      <c r="Q14" s="317" t="s">
        <v>427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44602</v>
      </c>
      <c r="C15" s="25">
        <v>5420</v>
      </c>
      <c r="D15" s="40" t="s">
        <v>429</v>
      </c>
      <c r="E15" s="27">
        <v>44602</v>
      </c>
      <c r="F15" s="28">
        <v>93319</v>
      </c>
      <c r="G15" s="2"/>
      <c r="H15" s="36">
        <v>44602</v>
      </c>
      <c r="I15" s="30">
        <v>2651</v>
      </c>
      <c r="J15" s="37"/>
      <c r="K15" s="38"/>
      <c r="L15" s="39"/>
      <c r="M15" s="32">
        <f>37988+10000+3340</f>
        <v>51328</v>
      </c>
      <c r="N15" s="33">
        <v>35435</v>
      </c>
      <c r="P15" s="39">
        <f t="shared" si="0"/>
        <v>94834</v>
      </c>
      <c r="Q15" s="418">
        <f t="shared" si="1"/>
        <v>1515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44603</v>
      </c>
      <c r="C16" s="25">
        <v>9368</v>
      </c>
      <c r="D16" s="35" t="s">
        <v>430</v>
      </c>
      <c r="E16" s="27">
        <v>44603</v>
      </c>
      <c r="F16" s="28">
        <v>98105</v>
      </c>
      <c r="G16" s="2"/>
      <c r="H16" s="36">
        <v>44603</v>
      </c>
      <c r="I16" s="30">
        <v>472.5</v>
      </c>
      <c r="J16" s="37"/>
      <c r="K16" s="169"/>
      <c r="L16" s="9"/>
      <c r="M16" s="32">
        <f>53682.5+10000+100</f>
        <v>63782.5</v>
      </c>
      <c r="N16" s="33">
        <v>24582</v>
      </c>
      <c r="O16" s="330"/>
      <c r="P16" s="39">
        <f t="shared" si="0"/>
        <v>98205</v>
      </c>
      <c r="Q16" s="325">
        <f t="shared" si="1"/>
        <v>100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44604</v>
      </c>
      <c r="C17" s="25">
        <v>16691</v>
      </c>
      <c r="D17" s="42" t="s">
        <v>432</v>
      </c>
      <c r="E17" s="27">
        <v>44604</v>
      </c>
      <c r="F17" s="28">
        <v>124649</v>
      </c>
      <c r="G17" s="2"/>
      <c r="H17" s="36">
        <v>44604</v>
      </c>
      <c r="I17" s="30">
        <v>2742</v>
      </c>
      <c r="J17" s="37">
        <v>44604</v>
      </c>
      <c r="K17" s="38" t="s">
        <v>433</v>
      </c>
      <c r="L17" s="45">
        <v>13699.71</v>
      </c>
      <c r="M17" s="32">
        <v>43768</v>
      </c>
      <c r="N17" s="33">
        <v>47548</v>
      </c>
      <c r="P17" s="39">
        <f t="shared" si="0"/>
        <v>124448.70999999999</v>
      </c>
      <c r="Q17" s="317">
        <f t="shared" si="1"/>
        <v>-200.29000000000815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44605</v>
      </c>
      <c r="C18" s="25">
        <v>0</v>
      </c>
      <c r="D18" s="35"/>
      <c r="E18" s="27">
        <v>44605</v>
      </c>
      <c r="F18" s="28">
        <v>89703</v>
      </c>
      <c r="G18" s="2"/>
      <c r="H18" s="36">
        <v>44605</v>
      </c>
      <c r="I18" s="30">
        <v>1050</v>
      </c>
      <c r="J18" s="37"/>
      <c r="K18" s="170"/>
      <c r="L18" s="39"/>
      <c r="M18" s="32">
        <v>59160</v>
      </c>
      <c r="N18" s="33">
        <v>29493</v>
      </c>
      <c r="P18" s="39">
        <f t="shared" si="0"/>
        <v>89703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44606</v>
      </c>
      <c r="C19" s="25">
        <v>17472</v>
      </c>
      <c r="D19" s="35" t="s">
        <v>434</v>
      </c>
      <c r="E19" s="27">
        <v>44606</v>
      </c>
      <c r="F19" s="28">
        <v>132950</v>
      </c>
      <c r="G19" s="2"/>
      <c r="H19" s="36">
        <v>44606</v>
      </c>
      <c r="I19" s="30">
        <v>3720</v>
      </c>
      <c r="J19" s="37"/>
      <c r="K19" s="46"/>
      <c r="L19" s="47"/>
      <c r="M19" s="32">
        <v>72650</v>
      </c>
      <c r="N19" s="33">
        <v>39309</v>
      </c>
      <c r="P19" s="39">
        <f t="shared" si="0"/>
        <v>133151</v>
      </c>
      <c r="Q19" s="325">
        <f t="shared" si="1"/>
        <v>201</v>
      </c>
      <c r="R19" s="319">
        <v>0</v>
      </c>
      <c r="S19" s="147"/>
      <c r="W19" s="550">
        <f>SUM(W6:W18)</f>
        <v>0</v>
      </c>
      <c r="X19" s="240"/>
      <c r="Y19" s="233"/>
    </row>
    <row r="20" spans="1:26" ht="18" thickBot="1" x14ac:dyDescent="0.35">
      <c r="A20" s="23"/>
      <c r="B20" s="24">
        <v>44607</v>
      </c>
      <c r="C20" s="25">
        <v>36451</v>
      </c>
      <c r="D20" s="35" t="s">
        <v>435</v>
      </c>
      <c r="E20" s="27">
        <v>44607</v>
      </c>
      <c r="F20" s="28">
        <v>72030</v>
      </c>
      <c r="G20" s="2"/>
      <c r="H20" s="36">
        <v>44607</v>
      </c>
      <c r="I20" s="30">
        <v>4564.5</v>
      </c>
      <c r="J20" s="37"/>
      <c r="K20" s="171"/>
      <c r="L20" s="45"/>
      <c r="M20" s="32">
        <v>13632.5</v>
      </c>
      <c r="N20" s="33">
        <v>17382</v>
      </c>
      <c r="P20" s="39">
        <f t="shared" si="0"/>
        <v>72030</v>
      </c>
      <c r="Q20" s="325">
        <f t="shared" si="1"/>
        <v>0</v>
      </c>
      <c r="R20" s="319">
        <v>0</v>
      </c>
      <c r="S20" s="147"/>
      <c r="W20" s="551"/>
      <c r="X20" s="268"/>
      <c r="Y20" s="233"/>
    </row>
    <row r="21" spans="1:26" ht="18" thickBot="1" x14ac:dyDescent="0.35">
      <c r="A21" s="23"/>
      <c r="B21" s="24">
        <v>44608</v>
      </c>
      <c r="C21" s="25">
        <v>13737</v>
      </c>
      <c r="D21" s="35" t="s">
        <v>426</v>
      </c>
      <c r="E21" s="27">
        <v>44608</v>
      </c>
      <c r="F21" s="28">
        <v>88777</v>
      </c>
      <c r="G21" s="2"/>
      <c r="H21" s="36">
        <v>44608</v>
      </c>
      <c r="I21" s="30">
        <v>778.5</v>
      </c>
      <c r="J21" s="37"/>
      <c r="K21" s="48"/>
      <c r="L21" s="45"/>
      <c r="M21" s="32">
        <f>3529+18072+51674.5</f>
        <v>73275.5</v>
      </c>
      <c r="N21" s="33">
        <v>17543</v>
      </c>
      <c r="P21" s="39">
        <f t="shared" si="0"/>
        <v>105334</v>
      </c>
      <c r="Q21" s="417">
        <v>-1515</v>
      </c>
      <c r="R21" s="388">
        <v>18072</v>
      </c>
      <c r="S21" s="147"/>
      <c r="W21" s="552"/>
      <c r="X21" s="552"/>
      <c r="Y21" s="233"/>
      <c r="Z21" s="128"/>
    </row>
    <row r="22" spans="1:26" ht="18" thickBot="1" x14ac:dyDescent="0.35">
      <c r="A22" s="23"/>
      <c r="B22" s="24">
        <v>44609</v>
      </c>
      <c r="C22" s="25">
        <v>39620</v>
      </c>
      <c r="D22" s="35" t="s">
        <v>436</v>
      </c>
      <c r="E22" s="27">
        <v>44609</v>
      </c>
      <c r="F22" s="28">
        <v>78137</v>
      </c>
      <c r="G22" s="2"/>
      <c r="H22" s="36">
        <v>44609</v>
      </c>
      <c r="I22" s="30">
        <v>1308.5</v>
      </c>
      <c r="J22" s="37"/>
      <c r="K22" s="31"/>
      <c r="L22" s="49"/>
      <c r="M22" s="32">
        <v>14143.5</v>
      </c>
      <c r="N22" s="33">
        <v>23065</v>
      </c>
      <c r="P22" s="39">
        <f t="shared" si="0"/>
        <v>78137</v>
      </c>
      <c r="Q22" s="325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44610</v>
      </c>
      <c r="C23" s="25">
        <v>12767</v>
      </c>
      <c r="D23" s="35" t="s">
        <v>437</v>
      </c>
      <c r="E23" s="27">
        <v>44610</v>
      </c>
      <c r="F23" s="28">
        <v>103716</v>
      </c>
      <c r="G23" s="2"/>
      <c r="H23" s="36">
        <v>44610</v>
      </c>
      <c r="I23" s="30">
        <v>7591</v>
      </c>
      <c r="J23" s="50"/>
      <c r="K23" s="172"/>
      <c r="L23" s="45"/>
      <c r="M23" s="32">
        <v>51898</v>
      </c>
      <c r="N23" s="33">
        <v>31460</v>
      </c>
      <c r="P23" s="39">
        <f t="shared" si="0"/>
        <v>103716</v>
      </c>
      <c r="Q23" s="325">
        <f t="shared" si="1"/>
        <v>0</v>
      </c>
      <c r="R23" s="319">
        <v>0</v>
      </c>
      <c r="S23" s="147"/>
      <c r="W23" s="553"/>
      <c r="X23" s="553"/>
      <c r="Y23" s="233"/>
      <c r="Z23" s="128"/>
    </row>
    <row r="24" spans="1:26" ht="18" thickBot="1" x14ac:dyDescent="0.35">
      <c r="A24" s="23"/>
      <c r="B24" s="24">
        <v>44611</v>
      </c>
      <c r="C24" s="25">
        <v>18706</v>
      </c>
      <c r="D24" s="42" t="s">
        <v>438</v>
      </c>
      <c r="E24" s="27">
        <v>44611</v>
      </c>
      <c r="F24" s="28">
        <v>167635</v>
      </c>
      <c r="G24" s="2"/>
      <c r="H24" s="36">
        <v>44611</v>
      </c>
      <c r="I24" s="30">
        <v>4947</v>
      </c>
      <c r="J24" s="51">
        <v>44611</v>
      </c>
      <c r="K24" s="173" t="s">
        <v>439</v>
      </c>
      <c r="L24" s="52">
        <v>12038</v>
      </c>
      <c r="M24" s="32">
        <v>79954</v>
      </c>
      <c r="N24" s="33">
        <v>51990</v>
      </c>
      <c r="P24" s="39">
        <f>N24+M24+L24+I24+C24</f>
        <v>167635</v>
      </c>
      <c r="Q24" s="325">
        <f t="shared" si="1"/>
        <v>0</v>
      </c>
      <c r="R24" s="319">
        <v>0</v>
      </c>
      <c r="S24" s="147"/>
      <c r="W24" s="553"/>
      <c r="X24" s="553"/>
      <c r="Y24" s="233"/>
      <c r="Z24" s="128"/>
    </row>
    <row r="25" spans="1:26" ht="19.5" thickBot="1" x14ac:dyDescent="0.35">
      <c r="A25" s="23"/>
      <c r="B25" s="24">
        <v>44612</v>
      </c>
      <c r="C25" s="25">
        <v>22985.5</v>
      </c>
      <c r="D25" s="35" t="s">
        <v>441</v>
      </c>
      <c r="E25" s="27">
        <v>44612</v>
      </c>
      <c r="F25" s="28">
        <v>78991</v>
      </c>
      <c r="G25" s="2"/>
      <c r="H25" s="36">
        <v>44612</v>
      </c>
      <c r="I25" s="30">
        <v>2120</v>
      </c>
      <c r="J25" s="50"/>
      <c r="K25" s="38"/>
      <c r="L25" s="54"/>
      <c r="M25" s="32">
        <v>28600</v>
      </c>
      <c r="N25" s="33">
        <v>25290</v>
      </c>
      <c r="P25" s="283">
        <f t="shared" si="0"/>
        <v>78995.5</v>
      </c>
      <c r="Q25" s="325">
        <f t="shared" si="1"/>
        <v>4.5</v>
      </c>
      <c r="R25" s="319">
        <v>0</v>
      </c>
      <c r="W25" s="554"/>
      <c r="X25" s="554"/>
      <c r="Y25" s="233"/>
      <c r="Z25" s="128"/>
    </row>
    <row r="26" spans="1:26" ht="19.5" thickBot="1" x14ac:dyDescent="0.35">
      <c r="A26" s="23"/>
      <c r="B26" s="24">
        <v>44613</v>
      </c>
      <c r="C26" s="25">
        <v>9006</v>
      </c>
      <c r="D26" s="35" t="s">
        <v>442</v>
      </c>
      <c r="E26" s="27">
        <v>44613</v>
      </c>
      <c r="F26" s="28">
        <v>97381</v>
      </c>
      <c r="G26" s="2"/>
      <c r="H26" s="36">
        <v>44613</v>
      </c>
      <c r="I26" s="30">
        <v>1027</v>
      </c>
      <c r="J26" s="37"/>
      <c r="K26" s="173"/>
      <c r="L26" s="45"/>
      <c r="M26" s="32">
        <v>42345</v>
      </c>
      <c r="N26" s="33">
        <v>45003</v>
      </c>
      <c r="P26" s="284">
        <f t="shared" si="0"/>
        <v>97381</v>
      </c>
      <c r="Q26" s="325">
        <f t="shared" si="1"/>
        <v>0</v>
      </c>
      <c r="R26" s="319">
        <v>0</v>
      </c>
      <c r="W26" s="554"/>
      <c r="X26" s="554"/>
      <c r="Y26" s="233"/>
      <c r="Z26" s="128"/>
    </row>
    <row r="27" spans="1:26" ht="18" thickBot="1" x14ac:dyDescent="0.35">
      <c r="A27" s="23"/>
      <c r="B27" s="24">
        <v>44614</v>
      </c>
      <c r="C27" s="25">
        <v>7975.9</v>
      </c>
      <c r="D27" s="42" t="s">
        <v>443</v>
      </c>
      <c r="E27" s="27">
        <v>44614</v>
      </c>
      <c r="F27" s="28">
        <v>55967</v>
      </c>
      <c r="G27" s="2"/>
      <c r="H27" s="36">
        <v>44614</v>
      </c>
      <c r="I27" s="30">
        <v>1430.5</v>
      </c>
      <c r="J27" s="55"/>
      <c r="K27" s="174"/>
      <c r="L27" s="54"/>
      <c r="M27" s="32">
        <v>26862</v>
      </c>
      <c r="N27" s="33">
        <v>19699</v>
      </c>
      <c r="P27" s="39">
        <f t="shared" si="0"/>
        <v>55967.4</v>
      </c>
      <c r="Q27" s="325">
        <f t="shared" si="1"/>
        <v>0.40000000000145519</v>
      </c>
      <c r="R27" s="319">
        <v>0</v>
      </c>
      <c r="W27" s="547"/>
      <c r="X27" s="548"/>
      <c r="Y27" s="549"/>
      <c r="Z27" s="128"/>
    </row>
    <row r="28" spans="1:26" ht="18" thickBot="1" x14ac:dyDescent="0.35">
      <c r="A28" s="23"/>
      <c r="B28" s="24">
        <v>44615</v>
      </c>
      <c r="C28" s="25">
        <v>14054</v>
      </c>
      <c r="D28" s="42" t="s">
        <v>444</v>
      </c>
      <c r="E28" s="27">
        <v>44615</v>
      </c>
      <c r="F28" s="28">
        <v>75249</v>
      </c>
      <c r="G28" s="2"/>
      <c r="H28" s="36">
        <v>44615</v>
      </c>
      <c r="I28" s="30">
        <v>2110</v>
      </c>
      <c r="J28" s="56"/>
      <c r="K28" s="57"/>
      <c r="L28" s="54"/>
      <c r="M28" s="32">
        <f>1001+259+46764</f>
        <v>48024</v>
      </c>
      <c r="N28" s="33">
        <v>11061</v>
      </c>
      <c r="P28" s="34">
        <f t="shared" si="0"/>
        <v>75249</v>
      </c>
      <c r="Q28" s="325">
        <f t="shared" si="1"/>
        <v>0</v>
      </c>
      <c r="R28" s="319">
        <v>0</v>
      </c>
      <c r="W28" s="548"/>
      <c r="X28" s="548"/>
      <c r="Y28" s="549"/>
      <c r="Z28" s="128"/>
    </row>
    <row r="29" spans="1:26" ht="18" thickBot="1" x14ac:dyDescent="0.35">
      <c r="A29" s="23"/>
      <c r="B29" s="24">
        <v>44616</v>
      </c>
      <c r="C29" s="25">
        <v>6774</v>
      </c>
      <c r="D29" s="58" t="s">
        <v>445</v>
      </c>
      <c r="E29" s="27">
        <v>44616</v>
      </c>
      <c r="F29" s="28">
        <v>65978</v>
      </c>
      <c r="G29" s="2"/>
      <c r="H29" s="36">
        <v>44616</v>
      </c>
      <c r="I29" s="30">
        <v>1660</v>
      </c>
      <c r="J29" s="59"/>
      <c r="K29" s="175"/>
      <c r="L29" s="54"/>
      <c r="M29" s="32">
        <f>3507.28+46135</f>
        <v>49642.28</v>
      </c>
      <c r="N29" s="33">
        <f>7491+411</f>
        <v>7902</v>
      </c>
      <c r="O29" s="421" t="s">
        <v>461</v>
      </c>
      <c r="P29" s="34">
        <f t="shared" si="0"/>
        <v>65978.28</v>
      </c>
      <c r="Q29" s="325">
        <f t="shared" si="1"/>
        <v>0.27999999999883585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44617</v>
      </c>
      <c r="C30" s="25">
        <v>10378</v>
      </c>
      <c r="D30" s="58" t="s">
        <v>446</v>
      </c>
      <c r="E30" s="27">
        <v>44617</v>
      </c>
      <c r="F30" s="28">
        <v>749838</v>
      </c>
      <c r="G30" s="2"/>
      <c r="H30" s="36">
        <v>44617</v>
      </c>
      <c r="I30" s="30">
        <v>1490</v>
      </c>
      <c r="J30" s="60"/>
      <c r="K30" s="41"/>
      <c r="L30" s="61"/>
      <c r="M30" s="32">
        <f>680259.73+69394+54204.48</f>
        <v>803858.21</v>
      </c>
      <c r="N30" s="33">
        <v>26626</v>
      </c>
      <c r="O30" s="422" t="s">
        <v>462</v>
      </c>
      <c r="P30" s="34">
        <f t="shared" si="0"/>
        <v>842352.21</v>
      </c>
      <c r="Q30" s="325">
        <v>0</v>
      </c>
      <c r="R30" s="420">
        <v>92514</v>
      </c>
      <c r="T30" s="423">
        <v>26626</v>
      </c>
      <c r="X30" s="225"/>
      <c r="Y30" s="227"/>
    </row>
    <row r="31" spans="1:26" ht="18" thickBot="1" x14ac:dyDescent="0.35">
      <c r="A31" s="23"/>
      <c r="B31" s="24">
        <v>44618</v>
      </c>
      <c r="C31" s="25">
        <v>6319</v>
      </c>
      <c r="D31" s="65" t="s">
        <v>447</v>
      </c>
      <c r="E31" s="27">
        <v>44618</v>
      </c>
      <c r="F31" s="28">
        <v>107356</v>
      </c>
      <c r="G31" s="2"/>
      <c r="H31" s="36">
        <v>44618</v>
      </c>
      <c r="I31" s="30">
        <v>4829</v>
      </c>
      <c r="J31" s="60">
        <v>44618</v>
      </c>
      <c r="K31" s="41" t="s">
        <v>448</v>
      </c>
      <c r="L31" s="63">
        <v>16621.14</v>
      </c>
      <c r="M31" s="32">
        <f>998+41741</f>
        <v>42739</v>
      </c>
      <c r="N31" s="33">
        <f>10137+26711</f>
        <v>36848</v>
      </c>
      <c r="O31" s="421" t="s">
        <v>463</v>
      </c>
      <c r="P31" s="34">
        <f t="shared" si="0"/>
        <v>107356.14</v>
      </c>
      <c r="Q31" s="111">
        <f t="shared" si="1"/>
        <v>0.13999999999941792</v>
      </c>
      <c r="R31" s="321">
        <v>0</v>
      </c>
      <c r="T31" s="423">
        <v>10137</v>
      </c>
    </row>
    <row r="32" spans="1:26" ht="18" thickBot="1" x14ac:dyDescent="0.35">
      <c r="A32" s="23"/>
      <c r="B32" s="24">
        <v>44619</v>
      </c>
      <c r="C32" s="25">
        <v>3900</v>
      </c>
      <c r="D32" s="64" t="s">
        <v>450</v>
      </c>
      <c r="E32" s="27">
        <v>44619</v>
      </c>
      <c r="F32" s="28">
        <v>86103</v>
      </c>
      <c r="G32" s="2"/>
      <c r="H32" s="36">
        <v>44619</v>
      </c>
      <c r="I32" s="30">
        <v>1109</v>
      </c>
      <c r="J32" s="60"/>
      <c r="K32" s="41"/>
      <c r="L32" s="61"/>
      <c r="M32" s="32">
        <f>51650+7128</f>
        <v>58778</v>
      </c>
      <c r="N32" s="33">
        <v>22320</v>
      </c>
      <c r="P32" s="34">
        <f t="shared" si="0"/>
        <v>86107</v>
      </c>
      <c r="Q32" s="111">
        <f t="shared" si="1"/>
        <v>4</v>
      </c>
      <c r="R32" s="228">
        <v>0</v>
      </c>
      <c r="T32" s="423">
        <v>0</v>
      </c>
    </row>
    <row r="33" spans="1:20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111">
        <f t="shared" si="1"/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44602</v>
      </c>
      <c r="C34" s="25">
        <v>808.83</v>
      </c>
      <c r="D34" s="64" t="s">
        <v>572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111">
        <f t="shared" si="1"/>
        <v>0</v>
      </c>
      <c r="R34" s="228"/>
    </row>
    <row r="35" spans="1:20" ht="18" thickBot="1" x14ac:dyDescent="0.35">
      <c r="A35" s="23"/>
      <c r="B35" s="24">
        <v>44604</v>
      </c>
      <c r="C35" s="25">
        <v>622709.4</v>
      </c>
      <c r="D35" s="64" t="s">
        <v>570</v>
      </c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419">
        <f t="shared" si="1"/>
        <v>0</v>
      </c>
      <c r="R35" s="228"/>
    </row>
    <row r="36" spans="1:20" ht="18" customHeight="1" thickBot="1" x14ac:dyDescent="0.3">
      <c r="A36" s="23"/>
      <c r="B36" s="24">
        <v>44609</v>
      </c>
      <c r="C36" s="25">
        <v>18633.96</v>
      </c>
      <c r="D36" s="65" t="s">
        <v>571</v>
      </c>
      <c r="E36" s="27"/>
      <c r="F36" s="28"/>
      <c r="G36" s="2"/>
      <c r="H36" s="36"/>
      <c r="I36" s="30"/>
      <c r="J36" s="266"/>
      <c r="K36" s="250"/>
      <c r="L36" s="44"/>
      <c r="M36" s="565">
        <f>SUM(M5:M35)</f>
        <v>2143864.4900000002</v>
      </c>
      <c r="N36" s="567">
        <f>SUM(N5:N35)</f>
        <v>791108</v>
      </c>
      <c r="O36" s="276"/>
      <c r="P36" s="277">
        <v>0</v>
      </c>
      <c r="Q36" s="600">
        <f>SUM(Q5:Q35)</f>
        <v>111.43999999999505</v>
      </c>
      <c r="R36" s="228"/>
    </row>
    <row r="37" spans="1:20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422</v>
      </c>
      <c r="K37" s="41" t="s">
        <v>423</v>
      </c>
      <c r="L37" s="61">
        <v>16518.78</v>
      </c>
      <c r="M37" s="566"/>
      <c r="N37" s="568"/>
      <c r="O37" s="276"/>
      <c r="P37" s="277">
        <v>0</v>
      </c>
      <c r="Q37" s="601"/>
      <c r="R37" s="227" t="s">
        <v>7</v>
      </c>
    </row>
    <row r="38" spans="1:20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 t="s">
        <v>422</v>
      </c>
      <c r="K38" s="177" t="s">
        <v>431</v>
      </c>
      <c r="L38" s="61">
        <v>17618.78</v>
      </c>
      <c r="M38" s="270"/>
      <c r="N38" s="271"/>
      <c r="P38" s="151">
        <v>0</v>
      </c>
      <c r="Q38" s="274"/>
    </row>
    <row r="39" spans="1:20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 t="s">
        <v>422</v>
      </c>
      <c r="K39" s="177" t="s">
        <v>440</v>
      </c>
      <c r="L39" s="61">
        <v>14981.03</v>
      </c>
      <c r="M39" s="602">
        <f>M36+N36</f>
        <v>2934972.49</v>
      </c>
      <c r="N39" s="603"/>
      <c r="P39" s="34">
        <f>SUM(P5:P38)</f>
        <v>3450079.65</v>
      </c>
      <c r="Q39" s="275"/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 t="s">
        <v>422</v>
      </c>
      <c r="K40" s="41" t="s">
        <v>449</v>
      </c>
      <c r="L40" s="61">
        <v>13372.77</v>
      </c>
      <c r="M40" s="278"/>
      <c r="N40" s="278"/>
      <c r="P40" s="34"/>
      <c r="Q40" s="13"/>
    </row>
    <row r="41" spans="1:20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20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/>
      <c r="K42" s="173"/>
      <c r="L42" s="52"/>
      <c r="M42" s="269"/>
      <c r="N42" s="269"/>
      <c r="P42" s="34"/>
      <c r="Q42" s="13"/>
    </row>
    <row r="43" spans="1:20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/>
      <c r="K43" s="38"/>
      <c r="L43" s="54"/>
      <c r="M43" s="269"/>
      <c r="N43" s="269"/>
      <c r="P43" s="34"/>
      <c r="Q43" s="13"/>
    </row>
    <row r="44" spans="1:20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20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20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458" t="s">
        <v>573</v>
      </c>
      <c r="K49" s="164" t="s">
        <v>574</v>
      </c>
      <c r="L49" s="9">
        <v>17279.18</v>
      </c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1039558.0900000001</v>
      </c>
      <c r="D50" s="88"/>
      <c r="E50" s="89" t="s">
        <v>8</v>
      </c>
      <c r="F50" s="90">
        <f>SUM(F5:F49)</f>
        <v>3294816</v>
      </c>
      <c r="G50" s="88"/>
      <c r="H50" s="91" t="s">
        <v>9</v>
      </c>
      <c r="I50" s="92">
        <f>SUM(I5:I49)</f>
        <v>65683</v>
      </c>
      <c r="J50" s="93"/>
      <c r="K50" s="94" t="s">
        <v>10</v>
      </c>
      <c r="L50" s="95">
        <f>SUM(L5:L49)</f>
        <v>131788.79999999999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0" t="s">
        <v>11</v>
      </c>
      <c r="I52" s="521"/>
      <c r="J52" s="100"/>
      <c r="K52" s="522">
        <f>I50+L50</f>
        <v>197471.8</v>
      </c>
      <c r="L52" s="555"/>
      <c r="M52" s="272"/>
      <c r="N52" s="272"/>
      <c r="P52" s="34"/>
      <c r="Q52" s="13"/>
    </row>
    <row r="53" spans="1:17" x14ac:dyDescent="0.25">
      <c r="D53" s="526" t="s">
        <v>12</v>
      </c>
      <c r="E53" s="526"/>
      <c r="F53" s="312">
        <f>F50-K52-C50</f>
        <v>2057786.11</v>
      </c>
      <c r="I53" s="102"/>
      <c r="J53" s="103"/>
    </row>
    <row r="54" spans="1:17" ht="18.75" x14ac:dyDescent="0.3">
      <c r="D54" s="556" t="s">
        <v>95</v>
      </c>
      <c r="E54" s="556"/>
      <c r="F54" s="111">
        <v>-1702928.14</v>
      </c>
      <c r="I54" s="527" t="s">
        <v>13</v>
      </c>
      <c r="J54" s="528"/>
      <c r="K54" s="529">
        <f>F56+F57+F58</f>
        <v>1147965.3400000003</v>
      </c>
      <c r="L54" s="529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-553174.07999999996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-198316.10999999975</v>
      </c>
      <c r="H56" s="23"/>
      <c r="I56" s="108" t="s">
        <v>15</v>
      </c>
      <c r="J56" s="109"/>
      <c r="K56" s="531">
        <f>-C4</f>
        <v>-1149740.4099999999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79713</v>
      </c>
    </row>
    <row r="58" spans="1:17" ht="20.25" thickTop="1" thickBot="1" x14ac:dyDescent="0.35">
      <c r="C58" s="112">
        <v>44619</v>
      </c>
      <c r="D58" s="509" t="s">
        <v>18</v>
      </c>
      <c r="E58" s="510"/>
      <c r="F58" s="113">
        <v>1266568.45</v>
      </c>
      <c r="I58" s="511" t="s">
        <v>97</v>
      </c>
      <c r="J58" s="512"/>
      <c r="K58" s="513">
        <f>K54+K56</f>
        <v>-1775.0699999995995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W26:X26"/>
    <mergeCell ref="B1:B2"/>
    <mergeCell ref="C1:M1"/>
    <mergeCell ref="B3:C3"/>
    <mergeCell ref="H3:I3"/>
    <mergeCell ref="P3:P4"/>
    <mergeCell ref="R3:R4"/>
    <mergeCell ref="E4:F4"/>
    <mergeCell ref="H4:I4"/>
    <mergeCell ref="W4:X5"/>
    <mergeCell ref="W19:W20"/>
    <mergeCell ref="W21:X21"/>
    <mergeCell ref="W23:X24"/>
    <mergeCell ref="W25:X25"/>
    <mergeCell ref="D58:E58"/>
    <mergeCell ref="I58:J58"/>
    <mergeCell ref="K58:L58"/>
    <mergeCell ref="W27:X28"/>
    <mergeCell ref="Y27:Y28"/>
    <mergeCell ref="M36:M37"/>
    <mergeCell ref="N36:N37"/>
    <mergeCell ref="Q36:Q37"/>
    <mergeCell ref="H52:I52"/>
    <mergeCell ref="K52:L52"/>
    <mergeCell ref="D53:E53"/>
    <mergeCell ref="D54:E54"/>
    <mergeCell ref="I54:J54"/>
    <mergeCell ref="K54:L54"/>
    <mergeCell ref="K56:L56"/>
    <mergeCell ref="M39:N39"/>
  </mergeCells>
  <pageMargins left="0.23" right="0.23" top="0.4" bottom="0.28000000000000003" header="0.3" footer="0.3"/>
  <pageSetup orientation="landscape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15"/>
  <sheetViews>
    <sheetView topLeftCell="A43" zoomScale="130" zoomScaleNormal="130" workbookViewId="0">
      <selection activeCell="E88" sqref="E88"/>
    </sheetView>
  </sheetViews>
  <sheetFormatPr baseColWidth="10" defaultRowHeight="15" x14ac:dyDescent="0.25"/>
  <cols>
    <col min="1" max="1" width="13.42578125" style="434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6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27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2"/>
      <c r="M1" s="303"/>
      <c r="N1" s="377" t="s">
        <v>314</v>
      </c>
    </row>
    <row r="2" spans="1:14" ht="21.75" customHeight="1" thickTop="1" thickBot="1" x14ac:dyDescent="0.35">
      <c r="A2" s="428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3" t="s">
        <v>22</v>
      </c>
      <c r="M2" s="299" t="s">
        <v>23</v>
      </c>
      <c r="N2" s="309" t="s">
        <v>210</v>
      </c>
    </row>
    <row r="3" spans="1:14" ht="15.75" x14ac:dyDescent="0.25">
      <c r="A3" s="429">
        <v>44592</v>
      </c>
      <c r="B3" s="437" t="s">
        <v>472</v>
      </c>
      <c r="C3" s="392">
        <v>2742.6</v>
      </c>
      <c r="D3" s="405">
        <v>44617</v>
      </c>
      <c r="E3" s="392">
        <v>2742.6</v>
      </c>
      <c r="F3" s="392">
        <f>C3-E3</f>
        <v>0</v>
      </c>
      <c r="I3" s="394" t="s">
        <v>373</v>
      </c>
      <c r="J3" s="391">
        <v>8445</v>
      </c>
      <c r="K3" s="392">
        <v>1315</v>
      </c>
      <c r="L3" s="474">
        <v>44643</v>
      </c>
      <c r="M3" s="392">
        <v>1315</v>
      </c>
      <c r="N3" s="183">
        <f>K3-M3</f>
        <v>0</v>
      </c>
    </row>
    <row r="4" spans="1:14" ht="18.75" x14ac:dyDescent="0.3">
      <c r="A4" s="429">
        <v>44593</v>
      </c>
      <c r="B4" s="437" t="s">
        <v>473</v>
      </c>
      <c r="C4" s="392">
        <v>139150.76</v>
      </c>
      <c r="D4" s="405">
        <v>44617</v>
      </c>
      <c r="E4" s="392">
        <v>139150.76</v>
      </c>
      <c r="F4" s="392">
        <f t="shared" ref="F4:F47" si="0">C4-E4</f>
        <v>0</v>
      </c>
      <c r="G4" s="138"/>
      <c r="I4" s="394" t="s">
        <v>373</v>
      </c>
      <c r="J4" s="391">
        <v>8449</v>
      </c>
      <c r="K4" s="392">
        <v>272.8</v>
      </c>
      <c r="L4" s="475">
        <v>44643</v>
      </c>
      <c r="M4" s="392">
        <v>272.8</v>
      </c>
      <c r="N4" s="137">
        <f>N3+K4-M4</f>
        <v>0</v>
      </c>
    </row>
    <row r="5" spans="1:14" ht="15.75" x14ac:dyDescent="0.25">
      <c r="A5" s="429">
        <v>44593</v>
      </c>
      <c r="B5" s="437" t="s">
        <v>474</v>
      </c>
      <c r="C5" s="392">
        <v>4949</v>
      </c>
      <c r="D5" s="405">
        <v>44617</v>
      </c>
      <c r="E5" s="392">
        <v>4949</v>
      </c>
      <c r="F5" s="392">
        <f t="shared" si="0"/>
        <v>0</v>
      </c>
      <c r="I5" s="394" t="s">
        <v>349</v>
      </c>
      <c r="J5" s="391">
        <v>8457</v>
      </c>
      <c r="K5" s="392">
        <v>84434.880000000005</v>
      </c>
      <c r="L5" s="475">
        <v>44643</v>
      </c>
      <c r="M5" s="392">
        <v>84434.880000000005</v>
      </c>
      <c r="N5" s="137">
        <f t="shared" ref="N5:N68" si="1">N4+K5-M5</f>
        <v>0</v>
      </c>
    </row>
    <row r="6" spans="1:14" ht="15.75" x14ac:dyDescent="0.25">
      <c r="A6" s="429">
        <v>44593</v>
      </c>
      <c r="B6" s="437" t="s">
        <v>475</v>
      </c>
      <c r="C6" s="392">
        <v>1080</v>
      </c>
      <c r="D6" s="405">
        <v>44617</v>
      </c>
      <c r="E6" s="392">
        <v>1080</v>
      </c>
      <c r="F6" s="392">
        <f t="shared" si="0"/>
        <v>0</v>
      </c>
      <c r="I6" s="394" t="s">
        <v>548</v>
      </c>
      <c r="J6" s="391">
        <v>8461</v>
      </c>
      <c r="K6" s="392">
        <v>10050.200000000001</v>
      </c>
      <c r="L6" s="475">
        <v>44643</v>
      </c>
      <c r="M6" s="392">
        <v>10050.200000000001</v>
      </c>
      <c r="N6" s="137">
        <f t="shared" si="1"/>
        <v>0</v>
      </c>
    </row>
    <row r="7" spans="1:14" ht="15.75" x14ac:dyDescent="0.25">
      <c r="A7" s="429">
        <v>44593</v>
      </c>
      <c r="B7" s="437" t="s">
        <v>476</v>
      </c>
      <c r="C7" s="392">
        <v>29260.799999999999</v>
      </c>
      <c r="D7" s="405">
        <v>44617</v>
      </c>
      <c r="E7" s="392">
        <v>29260.799999999999</v>
      </c>
      <c r="F7" s="392">
        <f t="shared" si="0"/>
        <v>0</v>
      </c>
      <c r="I7" s="394" t="s">
        <v>549</v>
      </c>
      <c r="J7" s="391">
        <v>8474</v>
      </c>
      <c r="K7" s="392">
        <v>1412.2</v>
      </c>
      <c r="L7" s="475">
        <v>44643</v>
      </c>
      <c r="M7" s="392">
        <v>1412.2</v>
      </c>
      <c r="N7" s="137">
        <f t="shared" si="1"/>
        <v>0</v>
      </c>
    </row>
    <row r="8" spans="1:14" ht="15.75" x14ac:dyDescent="0.25">
      <c r="A8" s="429">
        <v>44594</v>
      </c>
      <c r="B8" s="437" t="s">
        <v>477</v>
      </c>
      <c r="C8" s="392">
        <v>4790.8</v>
      </c>
      <c r="D8" s="405">
        <v>44617</v>
      </c>
      <c r="E8" s="392">
        <v>4790.8</v>
      </c>
      <c r="F8" s="392">
        <f t="shared" si="0"/>
        <v>0</v>
      </c>
      <c r="I8" s="394" t="s">
        <v>550</v>
      </c>
      <c r="J8" s="391">
        <v>8485</v>
      </c>
      <c r="K8" s="392">
        <v>12456.4</v>
      </c>
      <c r="L8" s="475">
        <v>44643</v>
      </c>
      <c r="M8" s="392">
        <v>12456.4</v>
      </c>
      <c r="N8" s="137">
        <f t="shared" si="1"/>
        <v>0</v>
      </c>
    </row>
    <row r="9" spans="1:14" ht="15.75" x14ac:dyDescent="0.25">
      <c r="A9" s="429">
        <v>44594</v>
      </c>
      <c r="B9" s="437" t="s">
        <v>478</v>
      </c>
      <c r="C9" s="392">
        <v>31559.200000000001</v>
      </c>
      <c r="D9" s="405">
        <v>44617</v>
      </c>
      <c r="E9" s="392">
        <v>31559.200000000001</v>
      </c>
      <c r="F9" s="392">
        <f t="shared" si="0"/>
        <v>0</v>
      </c>
      <c r="I9" s="394" t="s">
        <v>551</v>
      </c>
      <c r="J9" s="391">
        <v>8490</v>
      </c>
      <c r="K9" s="392">
        <v>69960</v>
      </c>
      <c r="L9" s="475">
        <v>44643</v>
      </c>
      <c r="M9" s="392">
        <v>69960</v>
      </c>
      <c r="N9" s="137">
        <f t="shared" si="1"/>
        <v>0</v>
      </c>
    </row>
    <row r="10" spans="1:14" ht="18.75" x14ac:dyDescent="0.3">
      <c r="A10" s="429">
        <v>44595</v>
      </c>
      <c r="B10" s="437" t="s">
        <v>479</v>
      </c>
      <c r="C10" s="392">
        <v>43550.76</v>
      </c>
      <c r="D10" s="405">
        <v>44617</v>
      </c>
      <c r="E10" s="392">
        <v>43550.76</v>
      </c>
      <c r="F10" s="392">
        <f t="shared" si="0"/>
        <v>0</v>
      </c>
      <c r="G10" s="138"/>
      <c r="I10" s="394" t="s">
        <v>552</v>
      </c>
      <c r="J10" s="391">
        <v>8497</v>
      </c>
      <c r="K10" s="392">
        <v>2609.4</v>
      </c>
      <c r="L10" s="475">
        <v>44643</v>
      </c>
      <c r="M10" s="392">
        <v>2609.4</v>
      </c>
      <c r="N10" s="137">
        <f t="shared" si="1"/>
        <v>0</v>
      </c>
    </row>
    <row r="11" spans="1:14" ht="15.75" x14ac:dyDescent="0.25">
      <c r="A11" s="429">
        <v>44595</v>
      </c>
      <c r="B11" s="437" t="s">
        <v>481</v>
      </c>
      <c r="C11" s="392">
        <v>9720</v>
      </c>
      <c r="D11" s="405">
        <v>44617</v>
      </c>
      <c r="E11" s="392">
        <v>9720</v>
      </c>
      <c r="F11" s="392">
        <f t="shared" si="0"/>
        <v>0</v>
      </c>
      <c r="I11" s="394" t="s">
        <v>552</v>
      </c>
      <c r="J11" s="391">
        <v>8501</v>
      </c>
      <c r="K11" s="392">
        <v>26863.200000000001</v>
      </c>
      <c r="L11" s="475">
        <v>44643</v>
      </c>
      <c r="M11" s="392">
        <v>26863.200000000001</v>
      </c>
      <c r="N11" s="137">
        <f t="shared" si="1"/>
        <v>0</v>
      </c>
    </row>
    <row r="12" spans="1:14" ht="15.75" x14ac:dyDescent="0.25">
      <c r="A12" s="429">
        <v>44595</v>
      </c>
      <c r="B12" s="437" t="s">
        <v>480</v>
      </c>
      <c r="C12" s="392">
        <v>2646</v>
      </c>
      <c r="D12" s="405">
        <v>44617</v>
      </c>
      <c r="E12" s="392">
        <v>2646</v>
      </c>
      <c r="F12" s="392">
        <f t="shared" si="0"/>
        <v>0</v>
      </c>
      <c r="I12" s="394" t="s">
        <v>552</v>
      </c>
      <c r="J12" s="391">
        <v>8502</v>
      </c>
      <c r="K12" s="392">
        <v>1443.2</v>
      </c>
      <c r="L12" s="475">
        <v>44643</v>
      </c>
      <c r="M12" s="392">
        <v>1443.2</v>
      </c>
      <c r="N12" s="137">
        <f t="shared" si="1"/>
        <v>0</v>
      </c>
    </row>
    <row r="13" spans="1:14" ht="15.75" x14ac:dyDescent="0.25">
      <c r="A13" s="429">
        <v>44595</v>
      </c>
      <c r="B13" s="437" t="s">
        <v>482</v>
      </c>
      <c r="C13" s="392">
        <v>3166.5</v>
      </c>
      <c r="D13" s="405">
        <v>44617</v>
      </c>
      <c r="E13" s="392">
        <v>3166.5</v>
      </c>
      <c r="F13" s="392">
        <f t="shared" si="0"/>
        <v>0</v>
      </c>
      <c r="I13" s="394" t="s">
        <v>553</v>
      </c>
      <c r="J13" s="391">
        <v>8504</v>
      </c>
      <c r="K13" s="392">
        <v>1760.2</v>
      </c>
      <c r="L13" s="475">
        <v>44643</v>
      </c>
      <c r="M13" s="392">
        <v>1760.2</v>
      </c>
      <c r="N13" s="137">
        <f t="shared" si="1"/>
        <v>0</v>
      </c>
    </row>
    <row r="14" spans="1:14" ht="15.75" x14ac:dyDescent="0.25">
      <c r="A14" s="429">
        <v>44596</v>
      </c>
      <c r="B14" s="437" t="s">
        <v>483</v>
      </c>
      <c r="C14" s="392">
        <v>47607.24</v>
      </c>
      <c r="D14" s="405">
        <v>44617</v>
      </c>
      <c r="E14" s="392">
        <v>47607.24</v>
      </c>
      <c r="F14" s="392">
        <f t="shared" si="0"/>
        <v>0</v>
      </c>
      <c r="I14" s="394" t="s">
        <v>553</v>
      </c>
      <c r="J14" s="391">
        <v>8505</v>
      </c>
      <c r="K14" s="392">
        <v>103232.8</v>
      </c>
      <c r="L14" s="475">
        <v>44643</v>
      </c>
      <c r="M14" s="392">
        <v>103232.8</v>
      </c>
      <c r="N14" s="137">
        <f t="shared" si="1"/>
        <v>0</v>
      </c>
    </row>
    <row r="15" spans="1:14" ht="15.75" x14ac:dyDescent="0.25">
      <c r="A15" s="429">
        <v>44596</v>
      </c>
      <c r="B15" s="437" t="s">
        <v>484</v>
      </c>
      <c r="C15" s="392">
        <v>65351.82</v>
      </c>
      <c r="D15" s="405">
        <v>44617</v>
      </c>
      <c r="E15" s="392">
        <v>65351.82</v>
      </c>
      <c r="F15" s="392">
        <f t="shared" si="0"/>
        <v>0</v>
      </c>
      <c r="I15" s="394" t="s">
        <v>553</v>
      </c>
      <c r="J15" s="391">
        <v>8506</v>
      </c>
      <c r="K15" s="392">
        <v>16973.599999999999</v>
      </c>
      <c r="L15" s="475">
        <v>44643</v>
      </c>
      <c r="M15" s="392">
        <v>16973.599999999999</v>
      </c>
      <c r="N15" s="137">
        <f t="shared" si="1"/>
        <v>0</v>
      </c>
    </row>
    <row r="16" spans="1:14" ht="15.75" x14ac:dyDescent="0.25">
      <c r="A16" s="429">
        <v>44596</v>
      </c>
      <c r="B16" s="437" t="s">
        <v>485</v>
      </c>
      <c r="C16" s="392">
        <v>175.2</v>
      </c>
      <c r="D16" s="405">
        <v>44617</v>
      </c>
      <c r="E16" s="392">
        <v>175.2</v>
      </c>
      <c r="F16" s="392">
        <f t="shared" si="0"/>
        <v>0</v>
      </c>
      <c r="I16" s="394" t="s">
        <v>554</v>
      </c>
      <c r="J16" s="391">
        <v>8512</v>
      </c>
      <c r="K16" s="392">
        <v>31269.200000000001</v>
      </c>
      <c r="L16" s="475">
        <v>44643</v>
      </c>
      <c r="M16" s="392">
        <v>31269.200000000001</v>
      </c>
      <c r="N16" s="137">
        <f t="shared" si="1"/>
        <v>0</v>
      </c>
    </row>
    <row r="17" spans="1:14" ht="15.75" x14ac:dyDescent="0.25">
      <c r="A17" s="429">
        <v>44597</v>
      </c>
      <c r="B17" s="437" t="s">
        <v>486</v>
      </c>
      <c r="C17" s="392">
        <v>62468.800000000003</v>
      </c>
      <c r="D17" s="405">
        <v>44617</v>
      </c>
      <c r="E17" s="392">
        <v>62468.800000000003</v>
      </c>
      <c r="F17" s="392">
        <f t="shared" si="0"/>
        <v>0</v>
      </c>
      <c r="I17" s="394" t="s">
        <v>555</v>
      </c>
      <c r="J17" s="391">
        <v>8520</v>
      </c>
      <c r="K17" s="392">
        <v>940</v>
      </c>
      <c r="L17" s="475">
        <v>44643</v>
      </c>
      <c r="M17" s="392">
        <v>940</v>
      </c>
      <c r="N17" s="137">
        <f t="shared" si="1"/>
        <v>0</v>
      </c>
    </row>
    <row r="18" spans="1:14" ht="15.75" x14ac:dyDescent="0.25">
      <c r="A18" s="429">
        <v>44597</v>
      </c>
      <c r="B18" s="437" t="s">
        <v>487</v>
      </c>
      <c r="C18" s="392">
        <v>2476.5</v>
      </c>
      <c r="D18" s="405">
        <v>44617</v>
      </c>
      <c r="E18" s="392">
        <v>2476.5</v>
      </c>
      <c r="F18" s="392">
        <f t="shared" si="0"/>
        <v>0</v>
      </c>
      <c r="I18" s="394" t="s">
        <v>555</v>
      </c>
      <c r="J18" s="391">
        <v>8522</v>
      </c>
      <c r="K18" s="392">
        <v>123992.8</v>
      </c>
      <c r="L18" s="475">
        <v>44643</v>
      </c>
      <c r="M18" s="392">
        <v>123992.8</v>
      </c>
      <c r="N18" s="137">
        <f t="shared" si="1"/>
        <v>0</v>
      </c>
    </row>
    <row r="19" spans="1:14" ht="15.75" x14ac:dyDescent="0.25">
      <c r="A19" s="429">
        <v>44599</v>
      </c>
      <c r="B19" s="437" t="s">
        <v>488</v>
      </c>
      <c r="C19" s="392">
        <v>3781.6</v>
      </c>
      <c r="D19" s="405">
        <v>44617</v>
      </c>
      <c r="E19" s="392">
        <v>3781.6</v>
      </c>
      <c r="F19" s="392">
        <f t="shared" si="0"/>
        <v>0</v>
      </c>
      <c r="I19" s="394" t="s">
        <v>556</v>
      </c>
      <c r="J19" s="391">
        <v>8526</v>
      </c>
      <c r="K19" s="392">
        <v>15453.4</v>
      </c>
      <c r="L19" s="475">
        <v>44643</v>
      </c>
      <c r="M19" s="392">
        <v>15453.4</v>
      </c>
      <c r="N19" s="137">
        <f t="shared" si="1"/>
        <v>0</v>
      </c>
    </row>
    <row r="20" spans="1:14" ht="15.75" x14ac:dyDescent="0.25">
      <c r="A20" s="429">
        <v>44600</v>
      </c>
      <c r="B20" s="437" t="s">
        <v>489</v>
      </c>
      <c r="C20" s="392">
        <v>71765.55</v>
      </c>
      <c r="D20" s="405">
        <v>44617</v>
      </c>
      <c r="E20" s="392">
        <v>71765.55</v>
      </c>
      <c r="F20" s="392">
        <f t="shared" si="0"/>
        <v>0</v>
      </c>
      <c r="I20" s="394" t="s">
        <v>557</v>
      </c>
      <c r="J20" s="391">
        <v>8534</v>
      </c>
      <c r="K20" s="392">
        <v>0</v>
      </c>
      <c r="L20" s="475">
        <v>44643</v>
      </c>
      <c r="M20" s="392">
        <v>0</v>
      </c>
      <c r="N20" s="137">
        <f t="shared" si="1"/>
        <v>0</v>
      </c>
    </row>
    <row r="21" spans="1:14" ht="15.75" x14ac:dyDescent="0.25">
      <c r="A21" s="429">
        <v>44600</v>
      </c>
      <c r="B21" s="437" t="s">
        <v>490</v>
      </c>
      <c r="C21" s="392">
        <v>2798.4</v>
      </c>
      <c r="D21" s="405">
        <v>44617</v>
      </c>
      <c r="E21" s="392">
        <v>2798.4</v>
      </c>
      <c r="F21" s="392">
        <f t="shared" si="0"/>
        <v>0</v>
      </c>
      <c r="I21" s="394" t="s">
        <v>557</v>
      </c>
      <c r="J21" s="391">
        <v>8536</v>
      </c>
      <c r="K21" s="392">
        <v>1596.8</v>
      </c>
      <c r="L21" s="475">
        <v>44643</v>
      </c>
      <c r="M21" s="392">
        <v>1596.8</v>
      </c>
      <c r="N21" s="137">
        <f t="shared" si="1"/>
        <v>0</v>
      </c>
    </row>
    <row r="22" spans="1:14" ht="18.75" x14ac:dyDescent="0.3">
      <c r="A22" s="429">
        <v>44601</v>
      </c>
      <c r="B22" s="437" t="s">
        <v>491</v>
      </c>
      <c r="C22" s="392">
        <v>8720.9</v>
      </c>
      <c r="D22" s="405">
        <v>44617</v>
      </c>
      <c r="E22" s="392">
        <v>8720.9</v>
      </c>
      <c r="F22" s="392">
        <f t="shared" si="0"/>
        <v>0</v>
      </c>
      <c r="G22" s="138"/>
      <c r="I22" s="394" t="s">
        <v>557</v>
      </c>
      <c r="J22" s="391">
        <v>8540</v>
      </c>
      <c r="K22" s="392">
        <v>7233.2</v>
      </c>
      <c r="L22" s="475">
        <v>44643</v>
      </c>
      <c r="M22" s="392">
        <v>7233.2</v>
      </c>
      <c r="N22" s="137">
        <f t="shared" si="1"/>
        <v>0</v>
      </c>
    </row>
    <row r="23" spans="1:14" ht="15.75" x14ac:dyDescent="0.25">
      <c r="A23" s="429">
        <v>44601</v>
      </c>
      <c r="B23" s="437" t="s">
        <v>492</v>
      </c>
      <c r="C23" s="392">
        <v>55980</v>
      </c>
      <c r="D23" s="405">
        <v>44617</v>
      </c>
      <c r="E23" s="392">
        <v>55980</v>
      </c>
      <c r="F23" s="392">
        <f t="shared" si="0"/>
        <v>0</v>
      </c>
      <c r="I23" s="394" t="s">
        <v>558</v>
      </c>
      <c r="J23" s="391">
        <v>8545</v>
      </c>
      <c r="K23" s="392">
        <v>7654.4</v>
      </c>
      <c r="L23" s="475">
        <v>44643</v>
      </c>
      <c r="M23" s="392">
        <v>7654.4</v>
      </c>
      <c r="N23" s="137">
        <f t="shared" si="1"/>
        <v>0</v>
      </c>
    </row>
    <row r="24" spans="1:14" ht="15.75" x14ac:dyDescent="0.25">
      <c r="A24" s="429">
        <v>44601</v>
      </c>
      <c r="B24" s="437" t="s">
        <v>493</v>
      </c>
      <c r="C24" s="392">
        <v>6934.5</v>
      </c>
      <c r="D24" s="405">
        <v>44617</v>
      </c>
      <c r="E24" s="392">
        <v>6934.5</v>
      </c>
      <c r="F24" s="392">
        <f t="shared" si="0"/>
        <v>0</v>
      </c>
      <c r="I24" s="394" t="s">
        <v>558</v>
      </c>
      <c r="J24" s="391">
        <v>8546</v>
      </c>
      <c r="K24" s="392">
        <v>270</v>
      </c>
      <c r="L24" s="475">
        <v>44643</v>
      </c>
      <c r="M24" s="392">
        <v>270</v>
      </c>
      <c r="N24" s="137">
        <f t="shared" si="1"/>
        <v>0</v>
      </c>
    </row>
    <row r="25" spans="1:14" ht="15.75" x14ac:dyDescent="0.25">
      <c r="A25" s="429">
        <v>44602</v>
      </c>
      <c r="B25" s="437" t="s">
        <v>494</v>
      </c>
      <c r="C25" s="392">
        <v>27574.5</v>
      </c>
      <c r="D25" s="405">
        <v>44617</v>
      </c>
      <c r="E25" s="392">
        <v>27574.5</v>
      </c>
      <c r="F25" s="392">
        <f t="shared" si="0"/>
        <v>0</v>
      </c>
      <c r="I25" s="394" t="s">
        <v>559</v>
      </c>
      <c r="J25" s="391">
        <v>8551</v>
      </c>
      <c r="K25" s="392">
        <v>583.20000000000005</v>
      </c>
      <c r="L25" s="475">
        <v>44643</v>
      </c>
      <c r="M25" s="392">
        <v>583.20000000000005</v>
      </c>
      <c r="N25" s="137">
        <f t="shared" si="1"/>
        <v>0</v>
      </c>
    </row>
    <row r="26" spans="1:14" ht="15.75" x14ac:dyDescent="0.25">
      <c r="A26" s="429">
        <v>44603</v>
      </c>
      <c r="B26" s="437" t="s">
        <v>495</v>
      </c>
      <c r="C26" s="392">
        <v>32211.8</v>
      </c>
      <c r="D26" s="405">
        <v>44617</v>
      </c>
      <c r="E26" s="392">
        <v>32211.8</v>
      </c>
      <c r="F26" s="392">
        <f t="shared" si="0"/>
        <v>0</v>
      </c>
      <c r="I26" s="394" t="s">
        <v>560</v>
      </c>
      <c r="J26" s="391">
        <v>8558</v>
      </c>
      <c r="K26" s="392">
        <v>2462.8000000000002</v>
      </c>
      <c r="L26" s="475">
        <v>44643</v>
      </c>
      <c r="M26" s="392">
        <v>2462.8000000000002</v>
      </c>
      <c r="N26" s="137">
        <f t="shared" si="1"/>
        <v>0</v>
      </c>
    </row>
    <row r="27" spans="1:14" ht="15.75" x14ac:dyDescent="0.25">
      <c r="A27" s="429">
        <v>44603</v>
      </c>
      <c r="B27" s="437" t="s">
        <v>496</v>
      </c>
      <c r="C27" s="392">
        <v>400</v>
      </c>
      <c r="D27" s="405">
        <v>44617</v>
      </c>
      <c r="E27" s="392">
        <v>400</v>
      </c>
      <c r="F27" s="392">
        <f t="shared" si="0"/>
        <v>0</v>
      </c>
      <c r="I27" s="394" t="s">
        <v>561</v>
      </c>
      <c r="J27" s="391">
        <v>8564</v>
      </c>
      <c r="K27" s="392">
        <v>3085.4</v>
      </c>
      <c r="L27" s="475">
        <v>44643</v>
      </c>
      <c r="M27" s="392">
        <v>3085.4</v>
      </c>
      <c r="N27" s="137">
        <f t="shared" si="1"/>
        <v>0</v>
      </c>
    </row>
    <row r="28" spans="1:14" ht="15.75" x14ac:dyDescent="0.25">
      <c r="A28" s="429">
        <v>44604</v>
      </c>
      <c r="B28" s="437" t="s">
        <v>497</v>
      </c>
      <c r="C28" s="392">
        <v>55111.8</v>
      </c>
      <c r="D28" s="405">
        <v>44617</v>
      </c>
      <c r="E28" s="392">
        <v>55111.8</v>
      </c>
      <c r="F28" s="392">
        <f t="shared" si="0"/>
        <v>0</v>
      </c>
      <c r="I28" s="394" t="s">
        <v>562</v>
      </c>
      <c r="J28" s="391">
        <v>8573</v>
      </c>
      <c r="K28" s="392">
        <v>2662.4</v>
      </c>
      <c r="L28" s="475">
        <v>44643</v>
      </c>
      <c r="M28" s="392">
        <v>2662.4</v>
      </c>
      <c r="N28" s="137">
        <f t="shared" si="1"/>
        <v>0</v>
      </c>
    </row>
    <row r="29" spans="1:14" ht="15.75" x14ac:dyDescent="0.25">
      <c r="A29" s="429">
        <v>44604</v>
      </c>
      <c r="B29" s="437" t="s">
        <v>498</v>
      </c>
      <c r="C29" s="392">
        <v>149188.5</v>
      </c>
      <c r="D29" s="405">
        <v>44617</v>
      </c>
      <c r="E29" s="392">
        <v>149188.5</v>
      </c>
      <c r="F29" s="392">
        <f t="shared" si="0"/>
        <v>0</v>
      </c>
      <c r="I29" s="394" t="s">
        <v>563</v>
      </c>
      <c r="J29" s="391">
        <v>8577</v>
      </c>
      <c r="K29" s="392">
        <v>2100</v>
      </c>
      <c r="L29" s="475">
        <v>44643</v>
      </c>
      <c r="M29" s="392">
        <v>2100</v>
      </c>
      <c r="N29" s="137">
        <f t="shared" si="1"/>
        <v>0</v>
      </c>
    </row>
    <row r="30" spans="1:14" ht="18.75" x14ac:dyDescent="0.3">
      <c r="A30" s="429">
        <v>44604</v>
      </c>
      <c r="B30" s="437" t="s">
        <v>499</v>
      </c>
      <c r="C30" s="392">
        <v>4932</v>
      </c>
      <c r="D30" s="405">
        <v>44617</v>
      </c>
      <c r="E30" s="392">
        <v>4932</v>
      </c>
      <c r="F30" s="392">
        <f t="shared" si="0"/>
        <v>0</v>
      </c>
      <c r="G30" s="138"/>
      <c r="I30" s="394" t="s">
        <v>564</v>
      </c>
      <c r="J30" s="391">
        <v>8581</v>
      </c>
      <c r="K30" s="392">
        <v>8324.6</v>
      </c>
      <c r="L30" s="475">
        <v>44643</v>
      </c>
      <c r="M30" s="392">
        <v>8324.6</v>
      </c>
      <c r="N30" s="137">
        <f t="shared" si="1"/>
        <v>0</v>
      </c>
    </row>
    <row r="31" spans="1:14" ht="15.75" x14ac:dyDescent="0.25">
      <c r="A31" s="429">
        <v>44604</v>
      </c>
      <c r="B31" s="437" t="s">
        <v>500</v>
      </c>
      <c r="C31" s="392">
        <v>16409.900000000001</v>
      </c>
      <c r="D31" s="405">
        <v>44617</v>
      </c>
      <c r="E31" s="392">
        <v>16409.900000000001</v>
      </c>
      <c r="F31" s="392">
        <f t="shared" si="0"/>
        <v>0</v>
      </c>
      <c r="I31" s="394" t="s">
        <v>565</v>
      </c>
      <c r="J31" s="391">
        <v>8588</v>
      </c>
      <c r="K31" s="392">
        <v>730.4</v>
      </c>
      <c r="L31" s="475">
        <v>44643</v>
      </c>
      <c r="M31" s="392">
        <v>730.4</v>
      </c>
      <c r="N31" s="137">
        <f t="shared" si="1"/>
        <v>0</v>
      </c>
    </row>
    <row r="32" spans="1:14" ht="15.75" x14ac:dyDescent="0.25">
      <c r="A32" s="429">
        <v>44606</v>
      </c>
      <c r="B32" s="437" t="s">
        <v>501</v>
      </c>
      <c r="C32" s="392">
        <v>38081.4</v>
      </c>
      <c r="D32" s="405">
        <v>44617</v>
      </c>
      <c r="E32" s="392">
        <v>38081.4</v>
      </c>
      <c r="F32" s="392">
        <f t="shared" si="0"/>
        <v>0</v>
      </c>
      <c r="I32" s="394" t="s">
        <v>565</v>
      </c>
      <c r="J32" s="391">
        <v>8589</v>
      </c>
      <c r="K32" s="392">
        <v>2296</v>
      </c>
      <c r="L32" s="475">
        <v>44643</v>
      </c>
      <c r="M32" s="392">
        <v>2296</v>
      </c>
      <c r="N32" s="137">
        <f t="shared" si="1"/>
        <v>0</v>
      </c>
    </row>
    <row r="33" spans="1:14" ht="15.75" x14ac:dyDescent="0.25">
      <c r="A33" s="429">
        <v>44607</v>
      </c>
      <c r="B33" s="437" t="s">
        <v>502</v>
      </c>
      <c r="C33" s="392">
        <v>42433.4</v>
      </c>
      <c r="D33" s="405">
        <v>44617</v>
      </c>
      <c r="E33" s="392">
        <v>42433.4</v>
      </c>
      <c r="F33" s="392">
        <f t="shared" si="0"/>
        <v>0</v>
      </c>
      <c r="I33" s="394" t="s">
        <v>566</v>
      </c>
      <c r="J33" s="391">
        <v>8599</v>
      </c>
      <c r="K33" s="392">
        <v>4034.6</v>
      </c>
      <c r="L33" s="475">
        <v>44643</v>
      </c>
      <c r="M33" s="392">
        <v>4034.6</v>
      </c>
      <c r="N33" s="137">
        <f t="shared" si="1"/>
        <v>0</v>
      </c>
    </row>
    <row r="34" spans="1:14" ht="15.75" x14ac:dyDescent="0.25">
      <c r="A34" s="429">
        <v>44607</v>
      </c>
      <c r="B34" s="437" t="s">
        <v>503</v>
      </c>
      <c r="C34" s="392">
        <v>46641.599999999999</v>
      </c>
      <c r="D34" s="405">
        <v>44617</v>
      </c>
      <c r="E34" s="392">
        <v>46641.599999999999</v>
      </c>
      <c r="F34" s="392">
        <f t="shared" si="0"/>
        <v>0</v>
      </c>
      <c r="I34" s="394" t="s">
        <v>567</v>
      </c>
      <c r="J34" s="391">
        <v>8611</v>
      </c>
      <c r="K34" s="392">
        <v>360</v>
      </c>
      <c r="L34" s="475">
        <v>44643</v>
      </c>
      <c r="M34" s="392">
        <v>360</v>
      </c>
      <c r="N34" s="137">
        <f t="shared" si="1"/>
        <v>0</v>
      </c>
    </row>
    <row r="35" spans="1:14" ht="15.75" x14ac:dyDescent="0.25">
      <c r="A35" s="429">
        <v>44607</v>
      </c>
      <c r="B35" s="437" t="s">
        <v>504</v>
      </c>
      <c r="C35" s="392">
        <v>840</v>
      </c>
      <c r="D35" s="405">
        <v>44617</v>
      </c>
      <c r="E35" s="392">
        <v>840</v>
      </c>
      <c r="F35" s="392">
        <f t="shared" si="0"/>
        <v>0</v>
      </c>
      <c r="I35" s="394" t="s">
        <v>567</v>
      </c>
      <c r="J35" s="391">
        <v>8614</v>
      </c>
      <c r="K35" s="392">
        <v>2121</v>
      </c>
      <c r="L35" s="475">
        <v>44643</v>
      </c>
      <c r="M35" s="392">
        <v>2121</v>
      </c>
      <c r="N35" s="137">
        <f t="shared" si="1"/>
        <v>0</v>
      </c>
    </row>
    <row r="36" spans="1:14" ht="15.75" x14ac:dyDescent="0.25">
      <c r="A36" s="429">
        <v>44608</v>
      </c>
      <c r="B36" s="437" t="s">
        <v>505</v>
      </c>
      <c r="C36" s="392">
        <v>34550.68</v>
      </c>
      <c r="D36" s="405">
        <v>44617</v>
      </c>
      <c r="E36" s="392">
        <v>34550.68</v>
      </c>
      <c r="F36" s="392">
        <f t="shared" si="0"/>
        <v>0</v>
      </c>
      <c r="I36" s="394" t="s">
        <v>568</v>
      </c>
      <c r="J36" s="391">
        <v>8617</v>
      </c>
      <c r="K36" s="392">
        <v>2600</v>
      </c>
      <c r="L36" s="475">
        <v>44643</v>
      </c>
      <c r="M36" s="392">
        <v>2600</v>
      </c>
      <c r="N36" s="137">
        <f t="shared" si="1"/>
        <v>0</v>
      </c>
    </row>
    <row r="37" spans="1:14" ht="15.75" x14ac:dyDescent="0.25">
      <c r="A37" s="429">
        <v>44608</v>
      </c>
      <c r="B37" s="437" t="s">
        <v>506</v>
      </c>
      <c r="C37" s="392">
        <v>5383.2</v>
      </c>
      <c r="D37" s="405">
        <v>44617</v>
      </c>
      <c r="E37" s="392">
        <v>5383.2</v>
      </c>
      <c r="F37" s="392">
        <f t="shared" si="0"/>
        <v>0</v>
      </c>
      <c r="I37" s="394" t="s">
        <v>569</v>
      </c>
      <c r="J37" s="391">
        <v>8627</v>
      </c>
      <c r="K37" s="392">
        <v>620</v>
      </c>
      <c r="L37" s="475">
        <v>44643</v>
      </c>
      <c r="M37" s="392">
        <v>620</v>
      </c>
      <c r="N37" s="137">
        <f t="shared" si="1"/>
        <v>0</v>
      </c>
    </row>
    <row r="38" spans="1:14" ht="15.75" x14ac:dyDescent="0.25">
      <c r="A38" s="429">
        <v>44609</v>
      </c>
      <c r="B38" s="438" t="s">
        <v>507</v>
      </c>
      <c r="C38" s="410">
        <v>38249.040000000001</v>
      </c>
      <c r="D38" s="405">
        <v>44617</v>
      </c>
      <c r="E38" s="410">
        <v>38249.040000000001</v>
      </c>
      <c r="F38" s="392">
        <f t="shared" si="0"/>
        <v>0</v>
      </c>
      <c r="I38" s="394"/>
      <c r="J38" s="391"/>
      <c r="K38" s="392"/>
      <c r="L38" s="475"/>
      <c r="M38" s="143"/>
      <c r="N38" s="137">
        <f t="shared" si="1"/>
        <v>0</v>
      </c>
    </row>
    <row r="39" spans="1:14" ht="15.75" x14ac:dyDescent="0.25">
      <c r="A39" s="429">
        <v>44610</v>
      </c>
      <c r="B39" s="246" t="s">
        <v>508</v>
      </c>
      <c r="C39" s="111">
        <v>74963.399999999994</v>
      </c>
      <c r="D39" s="405">
        <v>44617</v>
      </c>
      <c r="E39" s="111">
        <v>74963.399999999994</v>
      </c>
      <c r="F39" s="392">
        <f t="shared" si="0"/>
        <v>0</v>
      </c>
      <c r="I39" s="288"/>
      <c r="J39" s="57"/>
      <c r="K39" s="111"/>
      <c r="L39" s="476"/>
      <c r="M39" s="69"/>
      <c r="N39" s="137">
        <f t="shared" si="1"/>
        <v>0</v>
      </c>
    </row>
    <row r="40" spans="1:14" ht="15.75" x14ac:dyDescent="0.25">
      <c r="A40" s="429">
        <v>44610</v>
      </c>
      <c r="B40" s="246" t="s">
        <v>509</v>
      </c>
      <c r="C40" s="111">
        <v>9270</v>
      </c>
      <c r="D40" s="405">
        <v>44617</v>
      </c>
      <c r="E40" s="111">
        <v>9270</v>
      </c>
      <c r="F40" s="392">
        <f t="shared" si="0"/>
        <v>0</v>
      </c>
      <c r="I40" s="288"/>
      <c r="J40" s="57"/>
      <c r="K40" s="111"/>
      <c r="L40" s="476"/>
      <c r="M40" s="69"/>
      <c r="N40" s="137">
        <f t="shared" si="1"/>
        <v>0</v>
      </c>
    </row>
    <row r="41" spans="1:14" ht="15.75" x14ac:dyDescent="0.25">
      <c r="A41" s="429">
        <v>44611</v>
      </c>
      <c r="B41" s="246" t="s">
        <v>510</v>
      </c>
      <c r="C41" s="111">
        <v>85719.4</v>
      </c>
      <c r="D41" s="405">
        <v>44617</v>
      </c>
      <c r="E41" s="111">
        <v>85719.4</v>
      </c>
      <c r="F41" s="392">
        <f t="shared" si="0"/>
        <v>0</v>
      </c>
      <c r="I41" s="288"/>
      <c r="J41" s="57"/>
      <c r="K41" s="111"/>
      <c r="L41" s="476"/>
      <c r="M41" s="69"/>
      <c r="N41" s="137">
        <f t="shared" si="1"/>
        <v>0</v>
      </c>
    </row>
    <row r="42" spans="1:14" ht="15.75" x14ac:dyDescent="0.25">
      <c r="A42" s="430">
        <v>44611</v>
      </c>
      <c r="B42" s="246" t="s">
        <v>511</v>
      </c>
      <c r="C42" s="111">
        <v>21012.48</v>
      </c>
      <c r="D42" s="405">
        <v>44617</v>
      </c>
      <c r="E42" s="111">
        <v>21012.48</v>
      </c>
      <c r="F42" s="392">
        <f t="shared" si="0"/>
        <v>0</v>
      </c>
      <c r="I42" s="288"/>
      <c r="J42" s="57"/>
      <c r="K42" s="111"/>
      <c r="L42" s="476"/>
      <c r="M42" s="69"/>
      <c r="N42" s="137">
        <f t="shared" si="1"/>
        <v>0</v>
      </c>
    </row>
    <row r="43" spans="1:14" ht="15.75" x14ac:dyDescent="0.25">
      <c r="A43" s="430">
        <v>44613</v>
      </c>
      <c r="B43" s="439" t="s">
        <v>512</v>
      </c>
      <c r="C43" s="111">
        <v>16586.599999999999</v>
      </c>
      <c r="D43" s="405">
        <v>44617</v>
      </c>
      <c r="E43" s="111">
        <v>16586.599999999999</v>
      </c>
      <c r="F43" s="392">
        <f t="shared" si="0"/>
        <v>0</v>
      </c>
      <c r="I43" s="288"/>
      <c r="J43" s="57"/>
      <c r="K43" s="111"/>
      <c r="L43" s="476"/>
      <c r="M43" s="69"/>
      <c r="N43" s="137">
        <f t="shared" si="1"/>
        <v>0</v>
      </c>
    </row>
    <row r="44" spans="1:14" ht="15" customHeight="1" x14ac:dyDescent="0.25">
      <c r="A44" s="430">
        <v>44613</v>
      </c>
      <c r="B44" s="439" t="s">
        <v>513</v>
      </c>
      <c r="C44" s="111">
        <v>16100</v>
      </c>
      <c r="D44" s="405">
        <v>44617</v>
      </c>
      <c r="E44" s="111">
        <v>16100</v>
      </c>
      <c r="F44" s="392">
        <f t="shared" si="0"/>
        <v>0</v>
      </c>
      <c r="I44" s="288"/>
      <c r="J44" s="57"/>
      <c r="K44" s="111"/>
      <c r="L44" s="476"/>
      <c r="M44" s="69"/>
      <c r="N44" s="137">
        <f t="shared" si="1"/>
        <v>0</v>
      </c>
    </row>
    <row r="45" spans="1:14" ht="15.75" x14ac:dyDescent="0.25">
      <c r="A45" s="430">
        <v>44614</v>
      </c>
      <c r="B45" s="439" t="s">
        <v>514</v>
      </c>
      <c r="C45" s="111">
        <v>86111.8</v>
      </c>
      <c r="D45" s="405">
        <v>44617</v>
      </c>
      <c r="E45" s="111">
        <v>86111.8</v>
      </c>
      <c r="F45" s="392">
        <f t="shared" si="0"/>
        <v>0</v>
      </c>
      <c r="I45" s="288"/>
      <c r="J45" s="57"/>
      <c r="K45" s="111"/>
      <c r="L45" s="476"/>
      <c r="M45" s="69"/>
      <c r="N45" s="137">
        <f t="shared" si="1"/>
        <v>0</v>
      </c>
    </row>
    <row r="46" spans="1:14" ht="15.75" x14ac:dyDescent="0.25">
      <c r="A46" s="430">
        <v>44615</v>
      </c>
      <c r="B46" s="246" t="s">
        <v>515</v>
      </c>
      <c r="C46" s="111">
        <v>49782.6</v>
      </c>
      <c r="D46" s="405">
        <v>44617</v>
      </c>
      <c r="E46" s="111">
        <v>49782.6</v>
      </c>
      <c r="F46" s="392">
        <f t="shared" si="0"/>
        <v>0</v>
      </c>
      <c r="I46" s="288"/>
      <c r="J46" s="57"/>
      <c r="K46" s="111"/>
      <c r="L46" s="476"/>
      <c r="M46" s="69"/>
      <c r="N46" s="137">
        <f t="shared" si="1"/>
        <v>0</v>
      </c>
    </row>
    <row r="47" spans="1:14" ht="15.75" x14ac:dyDescent="0.25">
      <c r="A47" s="431">
        <v>44616</v>
      </c>
      <c r="B47" s="246" t="s">
        <v>516</v>
      </c>
      <c r="C47" s="111">
        <v>61856.639999999999</v>
      </c>
      <c r="D47" s="488">
        <v>44643</v>
      </c>
      <c r="E47" s="489">
        <v>61856.639999999999</v>
      </c>
      <c r="F47" s="392">
        <f t="shared" si="0"/>
        <v>0</v>
      </c>
      <c r="I47" s="350"/>
      <c r="J47" s="415"/>
      <c r="K47" s="34"/>
      <c r="L47" s="416"/>
      <c r="M47" s="215"/>
      <c r="N47" s="137">
        <f t="shared" si="1"/>
        <v>0</v>
      </c>
    </row>
    <row r="48" spans="1:14" ht="15.75" x14ac:dyDescent="0.25">
      <c r="A48" s="431">
        <v>44617</v>
      </c>
      <c r="B48" s="246" t="s">
        <v>517</v>
      </c>
      <c r="C48" s="111">
        <v>145889.51999999999</v>
      </c>
      <c r="D48" s="488">
        <v>44643</v>
      </c>
      <c r="E48" s="489">
        <v>145889.51999999999</v>
      </c>
      <c r="F48" s="392">
        <f t="shared" ref="F48:F68" si="2">F47+C48</f>
        <v>145889.51999999999</v>
      </c>
      <c r="I48" s="348"/>
      <c r="J48" s="414"/>
      <c r="K48" s="414"/>
      <c r="L48" s="477"/>
      <c r="M48" s="206"/>
      <c r="N48" s="137">
        <f>N47+K48-M48</f>
        <v>0</v>
      </c>
    </row>
    <row r="49" spans="1:14" ht="15.75" x14ac:dyDescent="0.25">
      <c r="A49" s="432">
        <v>44617</v>
      </c>
      <c r="B49" s="445" t="s">
        <v>518</v>
      </c>
      <c r="C49" s="111">
        <v>200</v>
      </c>
      <c r="D49" s="488">
        <v>44643</v>
      </c>
      <c r="E49" s="489">
        <v>200</v>
      </c>
      <c r="F49" s="392">
        <f t="shared" si="2"/>
        <v>146089.51999999999</v>
      </c>
      <c r="I49" s="348"/>
      <c r="J49" s="414"/>
      <c r="K49" s="414"/>
      <c r="L49" s="477"/>
      <c r="M49" s="206"/>
      <c r="N49" s="137">
        <f t="shared" si="1"/>
        <v>0</v>
      </c>
    </row>
    <row r="50" spans="1:14" ht="15.75" x14ac:dyDescent="0.25">
      <c r="A50" s="446">
        <v>44617</v>
      </c>
      <c r="B50" s="447" t="s">
        <v>519</v>
      </c>
      <c r="C50" s="111">
        <v>2373.8000000000002</v>
      </c>
      <c r="D50" s="488">
        <v>44643</v>
      </c>
      <c r="E50" s="489">
        <v>2373.8000000000002</v>
      </c>
      <c r="F50" s="392">
        <f t="shared" si="2"/>
        <v>148463.31999999998</v>
      </c>
      <c r="I50" s="134"/>
      <c r="J50" s="408"/>
      <c r="K50" s="215">
        <v>0</v>
      </c>
      <c r="L50" s="409"/>
      <c r="M50" s="69"/>
      <c r="N50" s="137">
        <f t="shared" si="1"/>
        <v>0</v>
      </c>
    </row>
    <row r="51" spans="1:14" ht="15.75" hidden="1" x14ac:dyDescent="0.25">
      <c r="A51" s="446"/>
      <c r="B51" s="447"/>
      <c r="C51" s="111"/>
      <c r="D51" s="488">
        <v>44643</v>
      </c>
      <c r="E51" s="489"/>
      <c r="F51" s="392">
        <f t="shared" si="2"/>
        <v>148463.31999999998</v>
      </c>
      <c r="I51" s="134"/>
      <c r="J51" s="139"/>
      <c r="K51" s="69"/>
      <c r="L51" s="140"/>
      <c r="M51" s="69"/>
      <c r="N51" s="137">
        <f t="shared" si="1"/>
        <v>0</v>
      </c>
    </row>
    <row r="52" spans="1:14" ht="15.75" hidden="1" x14ac:dyDescent="0.25">
      <c r="A52" s="446"/>
      <c r="B52" s="447"/>
      <c r="C52" s="111"/>
      <c r="D52" s="488">
        <v>44643</v>
      </c>
      <c r="E52" s="489"/>
      <c r="F52" s="392">
        <f t="shared" si="2"/>
        <v>148463.31999999998</v>
      </c>
      <c r="I52" s="134"/>
      <c r="J52" s="139"/>
      <c r="K52" s="69"/>
      <c r="L52" s="140"/>
      <c r="M52" s="69"/>
      <c r="N52" s="137">
        <f t="shared" si="1"/>
        <v>0</v>
      </c>
    </row>
    <row r="53" spans="1:14" ht="15.75" hidden="1" x14ac:dyDescent="0.25">
      <c r="A53" s="446"/>
      <c r="B53" s="447"/>
      <c r="C53" s="111"/>
      <c r="D53" s="488">
        <v>44643</v>
      </c>
      <c r="E53" s="489"/>
      <c r="F53" s="392">
        <f t="shared" si="2"/>
        <v>148463.31999999998</v>
      </c>
      <c r="I53" s="134"/>
      <c r="J53" s="139"/>
      <c r="K53" s="69"/>
      <c r="L53" s="140"/>
      <c r="M53" s="69"/>
      <c r="N53" s="137">
        <f t="shared" si="1"/>
        <v>0</v>
      </c>
    </row>
    <row r="54" spans="1:14" ht="15.75" hidden="1" x14ac:dyDescent="0.25">
      <c r="A54" s="446"/>
      <c r="B54" s="447"/>
      <c r="C54" s="111"/>
      <c r="D54" s="488">
        <v>44643</v>
      </c>
      <c r="E54" s="489"/>
      <c r="F54" s="392">
        <f t="shared" si="2"/>
        <v>148463.31999999998</v>
      </c>
      <c r="I54" s="134"/>
      <c r="J54" s="139"/>
      <c r="K54" s="69"/>
      <c r="L54" s="140"/>
      <c r="M54" s="69"/>
      <c r="N54" s="137">
        <f t="shared" si="1"/>
        <v>0</v>
      </c>
    </row>
    <row r="55" spans="1:14" ht="15.75" hidden="1" x14ac:dyDescent="0.25">
      <c r="A55" s="446"/>
      <c r="B55" s="447"/>
      <c r="C55" s="111"/>
      <c r="D55" s="488">
        <v>44643</v>
      </c>
      <c r="E55" s="489"/>
      <c r="F55" s="392">
        <f t="shared" si="2"/>
        <v>148463.31999999998</v>
      </c>
      <c r="I55" s="134"/>
      <c r="J55" s="139"/>
      <c r="K55" s="69"/>
      <c r="L55" s="140"/>
      <c r="M55" s="69"/>
      <c r="N55" s="137">
        <f t="shared" si="1"/>
        <v>0</v>
      </c>
    </row>
    <row r="56" spans="1:14" ht="15.75" hidden="1" x14ac:dyDescent="0.25">
      <c r="A56" s="446"/>
      <c r="B56" s="447"/>
      <c r="C56" s="111"/>
      <c r="D56" s="488">
        <v>44643</v>
      </c>
      <c r="E56" s="489"/>
      <c r="F56" s="392">
        <f t="shared" si="2"/>
        <v>148463.31999999998</v>
      </c>
      <c r="I56" s="134"/>
      <c r="J56" s="139"/>
      <c r="K56" s="69"/>
      <c r="L56" s="140"/>
      <c r="M56" s="69"/>
      <c r="N56" s="137">
        <f t="shared" si="1"/>
        <v>0</v>
      </c>
    </row>
    <row r="57" spans="1:14" ht="15.75" hidden="1" x14ac:dyDescent="0.25">
      <c r="A57" s="446"/>
      <c r="B57" s="447"/>
      <c r="C57" s="111"/>
      <c r="D57" s="488">
        <v>44643</v>
      </c>
      <c r="E57" s="489"/>
      <c r="F57" s="392">
        <f t="shared" si="2"/>
        <v>148463.31999999998</v>
      </c>
      <c r="I57" s="134"/>
      <c r="J57" s="139"/>
      <c r="K57" s="69"/>
      <c r="L57" s="140"/>
      <c r="M57" s="69"/>
      <c r="N57" s="137">
        <f t="shared" si="1"/>
        <v>0</v>
      </c>
    </row>
    <row r="58" spans="1:14" ht="15.75" hidden="1" x14ac:dyDescent="0.25">
      <c r="A58" s="446"/>
      <c r="B58" s="447"/>
      <c r="C58" s="111"/>
      <c r="D58" s="488">
        <v>44643</v>
      </c>
      <c r="E58" s="489"/>
      <c r="F58" s="392">
        <f t="shared" si="2"/>
        <v>148463.31999999998</v>
      </c>
      <c r="I58" s="134"/>
      <c r="J58" s="139"/>
      <c r="K58" s="69"/>
      <c r="L58" s="140"/>
      <c r="M58" s="69"/>
      <c r="N58" s="137">
        <f t="shared" si="1"/>
        <v>0</v>
      </c>
    </row>
    <row r="59" spans="1:14" ht="15.75" hidden="1" x14ac:dyDescent="0.25">
      <c r="A59" s="446"/>
      <c r="B59" s="447"/>
      <c r="C59" s="111"/>
      <c r="D59" s="488">
        <v>44643</v>
      </c>
      <c r="E59" s="489"/>
      <c r="F59" s="392">
        <f t="shared" si="2"/>
        <v>148463.31999999998</v>
      </c>
      <c r="I59" s="134"/>
      <c r="J59" s="139"/>
      <c r="K59" s="69"/>
      <c r="L59" s="140"/>
      <c r="M59" s="69"/>
      <c r="N59" s="137">
        <f t="shared" si="1"/>
        <v>0</v>
      </c>
    </row>
    <row r="60" spans="1:14" ht="15.75" hidden="1" x14ac:dyDescent="0.25">
      <c r="A60" s="446"/>
      <c r="B60" s="447"/>
      <c r="C60" s="111"/>
      <c r="D60" s="488">
        <v>44643</v>
      </c>
      <c r="E60" s="489"/>
      <c r="F60" s="392">
        <f t="shared" si="2"/>
        <v>148463.31999999998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hidden="1" x14ac:dyDescent="0.25">
      <c r="A61" s="446"/>
      <c r="B61" s="447"/>
      <c r="C61" s="111"/>
      <c r="D61" s="488">
        <v>44643</v>
      </c>
      <c r="E61" s="489"/>
      <c r="F61" s="392">
        <f t="shared" si="2"/>
        <v>148463.31999999998</v>
      </c>
      <c r="I61" s="134"/>
      <c r="J61" s="139"/>
      <c r="K61" s="69"/>
      <c r="L61" s="140"/>
      <c r="M61" s="69"/>
      <c r="N61" s="137">
        <f t="shared" si="1"/>
        <v>0</v>
      </c>
    </row>
    <row r="62" spans="1:14" ht="15.75" hidden="1" x14ac:dyDescent="0.25">
      <c r="A62" s="446"/>
      <c r="B62" s="447"/>
      <c r="C62" s="111"/>
      <c r="D62" s="488">
        <v>44643</v>
      </c>
      <c r="E62" s="489"/>
      <c r="F62" s="392">
        <f t="shared" si="2"/>
        <v>148463.31999999998</v>
      </c>
      <c r="I62" s="356"/>
      <c r="J62" s="357"/>
      <c r="K62" s="34"/>
      <c r="L62" s="147"/>
      <c r="M62" s="34"/>
      <c r="N62" s="137">
        <f t="shared" si="1"/>
        <v>0</v>
      </c>
    </row>
    <row r="63" spans="1:14" ht="15.75" hidden="1" x14ac:dyDescent="0.25">
      <c r="A63" s="446"/>
      <c r="B63" s="447"/>
      <c r="C63" s="111"/>
      <c r="D63" s="488">
        <v>44643</v>
      </c>
      <c r="E63" s="489"/>
      <c r="F63" s="392">
        <f t="shared" si="2"/>
        <v>148463.31999999998</v>
      </c>
      <c r="I63" s="356"/>
      <c r="J63" s="357"/>
      <c r="K63" s="34"/>
      <c r="L63" s="147"/>
      <c r="M63" s="34"/>
      <c r="N63" s="137">
        <f t="shared" si="1"/>
        <v>0</v>
      </c>
    </row>
    <row r="64" spans="1:14" ht="15.75" hidden="1" x14ac:dyDescent="0.25">
      <c r="A64" s="446"/>
      <c r="B64" s="447"/>
      <c r="C64" s="111"/>
      <c r="D64" s="488">
        <v>44643</v>
      </c>
      <c r="E64" s="489"/>
      <c r="F64" s="392">
        <f t="shared" si="2"/>
        <v>148463.31999999998</v>
      </c>
      <c r="I64" s="356"/>
      <c r="J64" s="357"/>
      <c r="K64" s="34"/>
      <c r="L64" s="147"/>
      <c r="M64" s="34"/>
      <c r="N64" s="137">
        <f t="shared" si="1"/>
        <v>0</v>
      </c>
    </row>
    <row r="65" spans="1:14" ht="15.75" hidden="1" x14ac:dyDescent="0.25">
      <c r="A65" s="446"/>
      <c r="B65" s="447"/>
      <c r="C65" s="111"/>
      <c r="D65" s="488">
        <v>44643</v>
      </c>
      <c r="E65" s="489"/>
      <c r="F65" s="392">
        <f t="shared" si="2"/>
        <v>148463.31999999998</v>
      </c>
      <c r="I65" s="356"/>
      <c r="J65" s="357"/>
      <c r="K65" s="34"/>
      <c r="L65" s="147"/>
      <c r="M65" s="34"/>
      <c r="N65" s="137">
        <f t="shared" si="1"/>
        <v>0</v>
      </c>
    </row>
    <row r="66" spans="1:14" ht="15.75" hidden="1" x14ac:dyDescent="0.25">
      <c r="A66" s="446"/>
      <c r="B66" s="447"/>
      <c r="C66" s="111"/>
      <c r="D66" s="488">
        <v>44643</v>
      </c>
      <c r="E66" s="489"/>
      <c r="F66" s="392">
        <f t="shared" si="2"/>
        <v>148463.31999999998</v>
      </c>
      <c r="I66" s="356"/>
      <c r="J66" s="357"/>
      <c r="K66" s="34"/>
      <c r="L66" s="147"/>
      <c r="M66" s="34"/>
      <c r="N66" s="137">
        <f t="shared" si="1"/>
        <v>0</v>
      </c>
    </row>
    <row r="67" spans="1:14" ht="15.75" hidden="1" x14ac:dyDescent="0.25">
      <c r="A67" s="448"/>
      <c r="B67" s="449"/>
      <c r="C67" s="233"/>
      <c r="D67" s="488">
        <v>44643</v>
      </c>
      <c r="E67" s="490"/>
      <c r="F67" s="392">
        <f t="shared" si="2"/>
        <v>148463.31999999998</v>
      </c>
      <c r="I67" s="356"/>
      <c r="J67" s="357"/>
      <c r="K67" s="34"/>
      <c r="L67" s="147"/>
      <c r="M67" s="34"/>
      <c r="N67" s="137">
        <f t="shared" si="1"/>
        <v>0</v>
      </c>
    </row>
    <row r="68" spans="1:14" ht="15.75" hidden="1" x14ac:dyDescent="0.25">
      <c r="A68" s="446"/>
      <c r="B68" s="447"/>
      <c r="C68" s="111"/>
      <c r="D68" s="488">
        <v>44643</v>
      </c>
      <c r="E68" s="489"/>
      <c r="F68" s="392">
        <f t="shared" si="2"/>
        <v>148463.31999999998</v>
      </c>
      <c r="I68" s="134"/>
      <c r="J68" s="139"/>
      <c r="K68" s="69"/>
      <c r="L68" s="148"/>
      <c r="M68" s="69"/>
      <c r="N68" s="137">
        <f t="shared" si="1"/>
        <v>0</v>
      </c>
    </row>
    <row r="69" spans="1:14" ht="15.75" hidden="1" x14ac:dyDescent="0.25">
      <c r="A69" s="446"/>
      <c r="B69" s="447"/>
      <c r="C69" s="111"/>
      <c r="D69" s="488">
        <v>44643</v>
      </c>
      <c r="E69" s="489"/>
      <c r="F69" s="392">
        <f t="shared" ref="F69:F78" si="3">F68+C69</f>
        <v>148463.31999999998</v>
      </c>
      <c r="I69" s="134"/>
      <c r="J69" s="139"/>
      <c r="K69" s="69"/>
      <c r="L69" s="148"/>
      <c r="M69" s="69"/>
      <c r="N69" s="137">
        <f t="shared" ref="N69:N78" si="4">N68+K69-M69</f>
        <v>0</v>
      </c>
    </row>
    <row r="70" spans="1:14" ht="15.75" hidden="1" x14ac:dyDescent="0.25">
      <c r="A70" s="446"/>
      <c r="B70" s="447"/>
      <c r="C70" s="111"/>
      <c r="D70" s="488">
        <v>44643</v>
      </c>
      <c r="E70" s="489"/>
      <c r="F70" s="392">
        <f t="shared" si="3"/>
        <v>148463.31999999998</v>
      </c>
      <c r="I70" s="134"/>
      <c r="J70" s="139"/>
      <c r="K70" s="69"/>
      <c r="L70" s="148"/>
      <c r="M70" s="69"/>
      <c r="N70" s="137">
        <f t="shared" si="4"/>
        <v>0</v>
      </c>
    </row>
    <row r="71" spans="1:14" ht="15.75" hidden="1" x14ac:dyDescent="0.25">
      <c r="A71" s="446"/>
      <c r="B71" s="447"/>
      <c r="C71" s="111"/>
      <c r="D71" s="488">
        <v>44643</v>
      </c>
      <c r="E71" s="489"/>
      <c r="F71" s="392">
        <f t="shared" si="3"/>
        <v>148463.31999999998</v>
      </c>
      <c r="I71" s="134"/>
      <c r="J71" s="139"/>
      <c r="K71" s="69"/>
      <c r="L71" s="148"/>
      <c r="M71" s="69"/>
      <c r="N71" s="137">
        <f t="shared" si="4"/>
        <v>0</v>
      </c>
    </row>
    <row r="72" spans="1:14" ht="15.75" hidden="1" x14ac:dyDescent="0.25">
      <c r="A72" s="446"/>
      <c r="B72" s="447"/>
      <c r="C72" s="111"/>
      <c r="D72" s="488">
        <v>44643</v>
      </c>
      <c r="E72" s="489"/>
      <c r="F72" s="392">
        <f t="shared" si="3"/>
        <v>148463.31999999998</v>
      </c>
      <c r="I72" s="134"/>
      <c r="J72" s="139"/>
      <c r="K72" s="69"/>
      <c r="L72" s="148"/>
      <c r="M72" s="69"/>
      <c r="N72" s="137">
        <f t="shared" si="4"/>
        <v>0</v>
      </c>
    </row>
    <row r="73" spans="1:14" ht="15.75" hidden="1" x14ac:dyDescent="0.25">
      <c r="A73" s="446"/>
      <c r="B73" s="447"/>
      <c r="C73" s="111"/>
      <c r="D73" s="488">
        <v>44643</v>
      </c>
      <c r="E73" s="489"/>
      <c r="F73" s="392">
        <f t="shared" si="3"/>
        <v>148463.31999999998</v>
      </c>
      <c r="I73" s="134"/>
      <c r="J73" s="139"/>
      <c r="K73" s="69"/>
      <c r="L73" s="148"/>
      <c r="M73" s="69"/>
      <c r="N73" s="137">
        <f t="shared" si="4"/>
        <v>0</v>
      </c>
    </row>
    <row r="74" spans="1:14" ht="15.75" hidden="1" x14ac:dyDescent="0.25">
      <c r="A74" s="446"/>
      <c r="B74" s="447"/>
      <c r="C74" s="111"/>
      <c r="D74" s="488">
        <v>44643</v>
      </c>
      <c r="E74" s="489"/>
      <c r="F74" s="392">
        <f t="shared" si="3"/>
        <v>148463.31999999998</v>
      </c>
      <c r="I74" s="134"/>
      <c r="J74" s="139"/>
      <c r="K74" s="69"/>
      <c r="L74" s="148"/>
      <c r="M74" s="69"/>
      <c r="N74" s="137">
        <f t="shared" si="4"/>
        <v>0</v>
      </c>
    </row>
    <row r="75" spans="1:14" ht="15.75" x14ac:dyDescent="0.25">
      <c r="A75" s="446">
        <v>44618</v>
      </c>
      <c r="B75" s="447" t="s">
        <v>520</v>
      </c>
      <c r="C75" s="111">
        <v>40377.15</v>
      </c>
      <c r="D75" s="488">
        <v>44643</v>
      </c>
      <c r="E75" s="489">
        <v>40377.15</v>
      </c>
      <c r="F75" s="392">
        <f t="shared" si="3"/>
        <v>188840.46999999997</v>
      </c>
      <c r="I75" s="134"/>
      <c r="J75" s="139"/>
      <c r="K75" s="69"/>
      <c r="L75" s="148"/>
      <c r="M75" s="69"/>
      <c r="N75" s="137">
        <f t="shared" si="4"/>
        <v>0</v>
      </c>
    </row>
    <row r="76" spans="1:14" ht="15.75" x14ac:dyDescent="0.25">
      <c r="A76" s="446"/>
      <c r="B76" s="447"/>
      <c r="C76" s="111"/>
      <c r="D76" s="254"/>
      <c r="E76" s="69"/>
      <c r="F76" s="392">
        <f t="shared" si="3"/>
        <v>188840.46999999997</v>
      </c>
      <c r="I76" s="605" t="s">
        <v>597</v>
      </c>
      <c r="J76" s="606"/>
      <c r="K76" s="69"/>
      <c r="L76" s="148"/>
      <c r="M76" s="69"/>
      <c r="N76" s="137">
        <f t="shared" si="4"/>
        <v>0</v>
      </c>
    </row>
    <row r="77" spans="1:14" ht="15.75" x14ac:dyDescent="0.25">
      <c r="A77" s="446"/>
      <c r="B77" s="447"/>
      <c r="C77" s="111"/>
      <c r="D77" s="254"/>
      <c r="E77" s="69"/>
      <c r="F77" s="392">
        <f t="shared" si="3"/>
        <v>188840.46999999997</v>
      </c>
      <c r="I77" s="607"/>
      <c r="J77" s="608"/>
      <c r="K77" s="69"/>
      <c r="L77" s="148"/>
      <c r="M77" s="69"/>
      <c r="N77" s="137">
        <f t="shared" si="4"/>
        <v>0</v>
      </c>
    </row>
    <row r="78" spans="1:14" ht="16.5" thickBot="1" x14ac:dyDescent="0.3">
      <c r="A78" s="433"/>
      <c r="B78" s="210"/>
      <c r="C78" s="34">
        <v>0</v>
      </c>
      <c r="D78" s="255"/>
      <c r="E78" s="151"/>
      <c r="F78" s="392">
        <f t="shared" si="3"/>
        <v>188840.46999999997</v>
      </c>
      <c r="I78" s="149"/>
      <c r="J78" s="150"/>
      <c r="K78" s="151">
        <v>0</v>
      </c>
      <c r="L78" s="152"/>
      <c r="M78" s="151"/>
      <c r="N78" s="137">
        <f t="shared" si="4"/>
        <v>0</v>
      </c>
    </row>
    <row r="79" spans="1:14" ht="19.5" thickTop="1" x14ac:dyDescent="0.3">
      <c r="B79" s="440"/>
      <c r="C79" s="212">
        <f>SUM(C3:C78)</f>
        <v>1702928.1400000001</v>
      </c>
      <c r="D79" s="407"/>
      <c r="E79" s="395">
        <f>SUM(E3:E78)</f>
        <v>1702928.1400000001</v>
      </c>
      <c r="F79" s="265">
        <f>C79-E79</f>
        <v>0</v>
      </c>
      <c r="K79" s="209">
        <f>SUM(K3:K78)</f>
        <v>553174.08000000007</v>
      </c>
      <c r="L79" s="478"/>
      <c r="M79" s="209">
        <f>SUM(M3:M78)</f>
        <v>553174.08000000007</v>
      </c>
      <c r="N79" s="153">
        <f>N78</f>
        <v>0</v>
      </c>
    </row>
    <row r="80" spans="1:14" ht="15.75" thickBot="1" x14ac:dyDescent="0.3">
      <c r="B80" s="441"/>
      <c r="C80" s="214"/>
      <c r="D80" s="256"/>
      <c r="E80" s="3"/>
      <c r="F80" s="571" t="s">
        <v>207</v>
      </c>
      <c r="K80" s="1"/>
      <c r="L80" s="97"/>
      <c r="M80" s="3"/>
      <c r="N80" s="1"/>
    </row>
    <row r="81" spans="1:14" x14ac:dyDescent="0.25">
      <c r="B81" s="462" t="s">
        <v>547</v>
      </c>
      <c r="C81" s="463"/>
      <c r="D81" s="464"/>
      <c r="E81" s="3"/>
      <c r="F81" s="572"/>
      <c r="K81" s="1"/>
      <c r="L81" s="97"/>
      <c r="M81" s="3"/>
      <c r="N81" s="1"/>
    </row>
    <row r="82" spans="1:14" ht="18.75" x14ac:dyDescent="0.3">
      <c r="A82" s="435"/>
      <c r="B82" s="604" t="s">
        <v>595</v>
      </c>
      <c r="C82" s="604"/>
      <c r="I82"/>
      <c r="J82" s="194"/>
    </row>
    <row r="83" spans="1:14" x14ac:dyDescent="0.25">
      <c r="A83" s="435"/>
      <c r="B83" s="442"/>
      <c r="I83"/>
      <c r="J83" s="194"/>
    </row>
    <row r="84" spans="1:14" x14ac:dyDescent="0.25">
      <c r="A84" s="435"/>
      <c r="B84" s="491" t="s">
        <v>598</v>
      </c>
      <c r="C84" s="481"/>
      <c r="D84" s="492"/>
      <c r="I84"/>
      <c r="J84" s="194"/>
    </row>
    <row r="85" spans="1:14" x14ac:dyDescent="0.25">
      <c r="A85" s="435"/>
      <c r="B85" s="442"/>
      <c r="F85"/>
      <c r="I85"/>
      <c r="J85" s="194"/>
      <c r="N85"/>
    </row>
    <row r="86" spans="1:14" x14ac:dyDescent="0.25">
      <c r="A86" s="435"/>
      <c r="B86" s="442"/>
      <c r="F86"/>
      <c r="I86"/>
      <c r="J86" s="194"/>
      <c r="N86"/>
    </row>
    <row r="87" spans="1:14" x14ac:dyDescent="0.25">
      <c r="A87" s="435"/>
      <c r="B87" s="442"/>
      <c r="F87"/>
      <c r="I87"/>
      <c r="J87" s="194"/>
      <c r="N87"/>
    </row>
    <row r="88" spans="1:14" x14ac:dyDescent="0.25">
      <c r="A88" s="435"/>
      <c r="B88" s="442"/>
      <c r="F88"/>
      <c r="I88"/>
      <c r="J88" s="194"/>
      <c r="N88"/>
    </row>
    <row r="89" spans="1:14" x14ac:dyDescent="0.25">
      <c r="A89" s="435"/>
      <c r="B89" s="442"/>
      <c r="F89"/>
      <c r="I89"/>
      <c r="J89" s="194"/>
      <c r="N89"/>
    </row>
    <row r="90" spans="1:14" x14ac:dyDescent="0.25">
      <c r="A90" s="435"/>
      <c r="B90" s="442"/>
      <c r="F90"/>
      <c r="I90"/>
      <c r="J90" s="194"/>
      <c r="N90"/>
    </row>
    <row r="91" spans="1:14" x14ac:dyDescent="0.25">
      <c r="A91" s="435"/>
      <c r="B91" s="442"/>
      <c r="F91"/>
      <c r="I91"/>
      <c r="J91" s="194"/>
      <c r="N91"/>
    </row>
    <row r="92" spans="1:14" x14ac:dyDescent="0.25">
      <c r="A92" s="435"/>
      <c r="B92" s="442"/>
      <c r="F92"/>
      <c r="I92"/>
      <c r="J92" s="194"/>
      <c r="N92"/>
    </row>
    <row r="93" spans="1:14" x14ac:dyDescent="0.25">
      <c r="A93" s="435"/>
      <c r="B93" s="442"/>
      <c r="F93"/>
      <c r="I93"/>
      <c r="J93" s="194"/>
      <c r="N93"/>
    </row>
    <row r="94" spans="1:14" x14ac:dyDescent="0.25">
      <c r="A94" s="435"/>
      <c r="B94" s="442"/>
      <c r="E94"/>
      <c r="F94"/>
      <c r="I94"/>
      <c r="J94" s="194"/>
      <c r="M94"/>
      <c r="N94"/>
    </row>
    <row r="95" spans="1:14" x14ac:dyDescent="0.25">
      <c r="A95" s="435"/>
      <c r="B95" s="442"/>
      <c r="E95"/>
      <c r="F95"/>
      <c r="I95"/>
      <c r="J95" s="194"/>
      <c r="M95"/>
      <c r="N95"/>
    </row>
    <row r="96" spans="1:14" x14ac:dyDescent="0.25">
      <c r="A96" s="435"/>
      <c r="B96" s="442"/>
      <c r="E96"/>
      <c r="F96"/>
      <c r="I96"/>
      <c r="J96" s="194"/>
      <c r="M96"/>
      <c r="N96"/>
    </row>
    <row r="97" spans="1:14" x14ac:dyDescent="0.25">
      <c r="A97" s="435"/>
      <c r="B97" s="442"/>
      <c r="E97"/>
      <c r="F97"/>
      <c r="I97"/>
      <c r="J97" s="194"/>
      <c r="M97"/>
      <c r="N97"/>
    </row>
    <row r="98" spans="1:14" x14ac:dyDescent="0.25">
      <c r="A98" s="435"/>
      <c r="B98" s="442"/>
      <c r="E98"/>
      <c r="F98"/>
      <c r="I98"/>
      <c r="J98" s="194"/>
      <c r="M98"/>
      <c r="N98"/>
    </row>
    <row r="99" spans="1:14" x14ac:dyDescent="0.25">
      <c r="A99" s="435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3">
    <mergeCell ref="F80:F81"/>
    <mergeCell ref="B82:C82"/>
    <mergeCell ref="I76:J77"/>
  </mergeCells>
  <pageMargins left="0.31" right="0.25" top="0.34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Z80"/>
  <sheetViews>
    <sheetView topLeftCell="A16" workbookViewId="0">
      <selection activeCell="C22" sqref="C22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3"/>
      <c r="C1" s="575" t="s">
        <v>451</v>
      </c>
      <c r="D1" s="576"/>
      <c r="E1" s="576"/>
      <c r="F1" s="576"/>
      <c r="G1" s="576"/>
      <c r="H1" s="576"/>
      <c r="I1" s="576"/>
      <c r="J1" s="576"/>
      <c r="K1" s="576"/>
      <c r="L1" s="576"/>
      <c r="M1" s="576"/>
    </row>
    <row r="2" spans="1:25" ht="16.5" thickBot="1" x14ac:dyDescent="0.3">
      <c r="B2" s="534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  <c r="P3" s="563" t="s">
        <v>6</v>
      </c>
      <c r="R3" s="573" t="s">
        <v>216</v>
      </c>
    </row>
    <row r="4" spans="1:25" ht="32.25" thickTop="1" thickBot="1" x14ac:dyDescent="0.35">
      <c r="A4" s="15" t="s">
        <v>1</v>
      </c>
      <c r="B4" s="16"/>
      <c r="C4" s="17">
        <v>1266568.45</v>
      </c>
      <c r="D4" s="18">
        <v>44619</v>
      </c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64"/>
      <c r="Q4" s="322" t="s">
        <v>217</v>
      </c>
      <c r="R4" s="574"/>
      <c r="W4" s="546" t="s">
        <v>124</v>
      </c>
      <c r="X4" s="546"/>
      <c r="Y4" s="227"/>
    </row>
    <row r="5" spans="1:25" ht="18" thickBot="1" x14ac:dyDescent="0.35">
      <c r="A5" s="23" t="s">
        <v>7</v>
      </c>
      <c r="B5" s="24">
        <v>44620</v>
      </c>
      <c r="C5" s="25">
        <v>17066</v>
      </c>
      <c r="D5" s="26" t="s">
        <v>452</v>
      </c>
      <c r="E5" s="27">
        <v>44620</v>
      </c>
      <c r="F5" s="28">
        <v>93289</v>
      </c>
      <c r="G5" s="2"/>
      <c r="H5" s="29">
        <v>44620</v>
      </c>
      <c r="I5" s="30">
        <v>1122</v>
      </c>
      <c r="J5" s="37"/>
      <c r="K5" s="31"/>
      <c r="L5" s="9"/>
      <c r="M5" s="504">
        <v>52267</v>
      </c>
      <c r="N5" s="33">
        <v>22834</v>
      </c>
      <c r="O5" s="318"/>
      <c r="P5" s="34">
        <f>N5+M5+L5+I5+C5</f>
        <v>93289</v>
      </c>
      <c r="Q5" s="325">
        <f>P5-F5</f>
        <v>0</v>
      </c>
      <c r="R5" s="379">
        <v>0</v>
      </c>
      <c r="S5" s="324"/>
      <c r="W5" s="546"/>
      <c r="X5" s="546"/>
      <c r="Y5" s="233"/>
    </row>
    <row r="6" spans="1:25" ht="18" thickBot="1" x14ac:dyDescent="0.35">
      <c r="A6" s="23"/>
      <c r="B6" s="24">
        <v>44621</v>
      </c>
      <c r="C6" s="25">
        <v>18706.5</v>
      </c>
      <c r="D6" s="35" t="s">
        <v>453</v>
      </c>
      <c r="E6" s="27">
        <v>44621</v>
      </c>
      <c r="F6" s="28">
        <v>86642</v>
      </c>
      <c r="G6" s="2"/>
      <c r="H6" s="36">
        <v>44621</v>
      </c>
      <c r="I6" s="30">
        <v>1492</v>
      </c>
      <c r="J6" s="37"/>
      <c r="K6" s="38"/>
      <c r="L6" s="39"/>
      <c r="M6" s="504">
        <v>33586.5</v>
      </c>
      <c r="N6" s="33">
        <v>32857</v>
      </c>
      <c r="O6" s="2"/>
      <c r="P6" s="39">
        <f>N6+M6+L6+I6+C6</f>
        <v>86642</v>
      </c>
      <c r="Q6" s="325">
        <f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44622</v>
      </c>
      <c r="C7" s="25">
        <v>8793</v>
      </c>
      <c r="D7" s="40" t="s">
        <v>454</v>
      </c>
      <c r="E7" s="27">
        <v>44622</v>
      </c>
      <c r="F7" s="28">
        <v>74195</v>
      </c>
      <c r="G7" s="2"/>
      <c r="H7" s="36">
        <v>44622</v>
      </c>
      <c r="I7" s="30">
        <v>2466</v>
      </c>
      <c r="J7" s="37"/>
      <c r="K7" s="38"/>
      <c r="L7" s="39"/>
      <c r="M7" s="504">
        <v>38157</v>
      </c>
      <c r="N7" s="33">
        <v>26092</v>
      </c>
      <c r="O7" s="224"/>
      <c r="P7" s="39">
        <f t="shared" ref="P7:P32" si="0">N7+M7+L7+I7+C7</f>
        <v>75508</v>
      </c>
      <c r="Q7" s="325">
        <v>0</v>
      </c>
      <c r="R7" s="388">
        <v>1313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44623</v>
      </c>
      <c r="C8" s="25">
        <v>27799</v>
      </c>
      <c r="D8" s="42" t="s">
        <v>455</v>
      </c>
      <c r="E8" s="27">
        <v>44623</v>
      </c>
      <c r="F8" s="28">
        <v>78344</v>
      </c>
      <c r="G8" s="2"/>
      <c r="H8" s="36">
        <v>44623</v>
      </c>
      <c r="I8" s="30">
        <v>2278</v>
      </c>
      <c r="J8" s="43"/>
      <c r="K8" s="38"/>
      <c r="L8" s="39"/>
      <c r="M8" s="504">
        <f>31611+1120</f>
        <v>32731</v>
      </c>
      <c r="N8" s="33">
        <v>15536</v>
      </c>
      <c r="O8" s="2"/>
      <c r="P8" s="39">
        <f t="shared" si="0"/>
        <v>78344</v>
      </c>
      <c r="Q8" s="325">
        <f t="shared" ref="Q8:Q32" si="1">P8-F8</f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44624</v>
      </c>
      <c r="C9" s="25">
        <v>21631</v>
      </c>
      <c r="D9" s="42" t="s">
        <v>456</v>
      </c>
      <c r="E9" s="27">
        <v>44624</v>
      </c>
      <c r="F9" s="28">
        <v>84746</v>
      </c>
      <c r="G9" s="2"/>
      <c r="H9" s="36">
        <v>44624</v>
      </c>
      <c r="I9" s="30">
        <v>17409</v>
      </c>
      <c r="J9" s="37"/>
      <c r="K9" s="223"/>
      <c r="L9" s="39"/>
      <c r="M9" s="504">
        <v>57014</v>
      </c>
      <c r="N9" s="33">
        <v>29548</v>
      </c>
      <c r="O9" s="2"/>
      <c r="P9" s="39">
        <f t="shared" si="0"/>
        <v>125602</v>
      </c>
      <c r="Q9" s="325">
        <v>0</v>
      </c>
      <c r="R9" s="388">
        <v>40856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44625</v>
      </c>
      <c r="C10" s="25">
        <v>9359</v>
      </c>
      <c r="D10" s="40" t="s">
        <v>458</v>
      </c>
      <c r="E10" s="27">
        <v>44625</v>
      </c>
      <c r="F10" s="28">
        <v>114185</v>
      </c>
      <c r="G10" s="2"/>
      <c r="H10" s="36">
        <v>44625</v>
      </c>
      <c r="I10" s="30">
        <v>4867</v>
      </c>
      <c r="J10" s="37">
        <v>44625</v>
      </c>
      <c r="K10" s="167" t="s">
        <v>457</v>
      </c>
      <c r="L10" s="45">
        <v>12109.41</v>
      </c>
      <c r="M10" s="504">
        <v>38720</v>
      </c>
      <c r="N10" s="33">
        <v>49131</v>
      </c>
      <c r="O10" s="2"/>
      <c r="P10" s="39">
        <f>N10+M10+L10+I10+C10</f>
        <v>114186.41</v>
      </c>
      <c r="Q10" s="325">
        <f t="shared" si="1"/>
        <v>1.4100000000034925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44626</v>
      </c>
      <c r="C11" s="25">
        <v>11735</v>
      </c>
      <c r="D11" s="35" t="s">
        <v>459</v>
      </c>
      <c r="E11" s="27">
        <v>44626</v>
      </c>
      <c r="F11" s="28">
        <v>99338</v>
      </c>
      <c r="G11" s="2"/>
      <c r="H11" s="36">
        <v>44626</v>
      </c>
      <c r="I11" s="30">
        <v>1687</v>
      </c>
      <c r="J11" s="43"/>
      <c r="K11" s="168"/>
      <c r="L11" s="39"/>
      <c r="M11" s="504">
        <v>62058</v>
      </c>
      <c r="N11" s="33">
        <v>23858</v>
      </c>
      <c r="O11" s="2"/>
      <c r="P11" s="39">
        <f t="shared" si="0"/>
        <v>99338</v>
      </c>
      <c r="Q11" s="325">
        <f t="shared" si="1"/>
        <v>0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44627</v>
      </c>
      <c r="C12" s="25">
        <v>29696.5</v>
      </c>
      <c r="D12" s="35" t="s">
        <v>460</v>
      </c>
      <c r="E12" s="27">
        <v>44627</v>
      </c>
      <c r="F12" s="28">
        <v>78839</v>
      </c>
      <c r="G12" s="2"/>
      <c r="H12" s="36">
        <v>44627</v>
      </c>
      <c r="I12" s="30">
        <v>1945</v>
      </c>
      <c r="J12" s="37"/>
      <c r="K12" s="169"/>
      <c r="L12" s="39"/>
      <c r="M12" s="504">
        <v>20493.5</v>
      </c>
      <c r="N12" s="33">
        <v>26704</v>
      </c>
      <c r="O12" s="328"/>
      <c r="P12" s="39">
        <f t="shared" si="0"/>
        <v>78839</v>
      </c>
      <c r="Q12" s="325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44628</v>
      </c>
      <c r="C13" s="25">
        <v>12586.5</v>
      </c>
      <c r="D13" s="42" t="s">
        <v>464</v>
      </c>
      <c r="E13" s="27">
        <v>44628</v>
      </c>
      <c r="F13" s="28">
        <v>76318</v>
      </c>
      <c r="G13" s="2"/>
      <c r="H13" s="36">
        <v>44628</v>
      </c>
      <c r="I13" s="30">
        <v>2124</v>
      </c>
      <c r="J13" s="37"/>
      <c r="K13" s="38"/>
      <c r="L13" s="39"/>
      <c r="M13" s="504">
        <v>41442.5</v>
      </c>
      <c r="N13" s="33">
        <v>20165</v>
      </c>
      <c r="O13" s="2"/>
      <c r="P13" s="39">
        <f t="shared" si="0"/>
        <v>76318</v>
      </c>
      <c r="Q13" s="325">
        <f t="shared" si="1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44629</v>
      </c>
      <c r="C14" s="25">
        <v>8233.5</v>
      </c>
      <c r="D14" s="40" t="s">
        <v>465</v>
      </c>
      <c r="E14" s="27">
        <v>44629</v>
      </c>
      <c r="F14" s="28">
        <v>116045</v>
      </c>
      <c r="G14" s="2"/>
      <c r="H14" s="36">
        <v>44629</v>
      </c>
      <c r="I14" s="30">
        <v>2261</v>
      </c>
      <c r="J14" s="37"/>
      <c r="K14" s="38"/>
      <c r="L14" s="39"/>
      <c r="M14" s="504">
        <f>70135.5+580.16+6869</f>
        <v>77584.66</v>
      </c>
      <c r="N14" s="33">
        <v>27966</v>
      </c>
      <c r="O14" s="2"/>
      <c r="P14" s="39">
        <f t="shared" si="0"/>
        <v>116045.16</v>
      </c>
      <c r="Q14" s="325">
        <f t="shared" si="1"/>
        <v>0.16000000000349246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44630</v>
      </c>
      <c r="C15" s="25">
        <v>6182</v>
      </c>
      <c r="D15" s="40" t="s">
        <v>466</v>
      </c>
      <c r="E15" s="27">
        <v>44630</v>
      </c>
      <c r="F15" s="28">
        <v>72383</v>
      </c>
      <c r="G15" s="2"/>
      <c r="H15" s="36">
        <v>44630</v>
      </c>
      <c r="I15" s="30">
        <v>2289</v>
      </c>
      <c r="J15" s="37"/>
      <c r="K15" s="38"/>
      <c r="L15" s="39"/>
      <c r="M15" s="504">
        <v>47170</v>
      </c>
      <c r="N15" s="33">
        <v>16742</v>
      </c>
      <c r="P15" s="39">
        <f t="shared" si="0"/>
        <v>72383</v>
      </c>
      <c r="Q15" s="325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44631</v>
      </c>
      <c r="C16" s="25">
        <v>12113</v>
      </c>
      <c r="D16" s="35" t="s">
        <v>467</v>
      </c>
      <c r="E16" s="27">
        <v>44631</v>
      </c>
      <c r="F16" s="28">
        <v>100070</v>
      </c>
      <c r="G16" s="2"/>
      <c r="H16" s="36">
        <v>44631</v>
      </c>
      <c r="I16" s="30">
        <v>1511.5</v>
      </c>
      <c r="J16" s="37"/>
      <c r="K16" s="169"/>
      <c r="L16" s="9"/>
      <c r="M16" s="504">
        <v>60292.5</v>
      </c>
      <c r="N16" s="33">
        <v>26153</v>
      </c>
      <c r="O16" s="330"/>
      <c r="P16" s="39">
        <f t="shared" si="0"/>
        <v>100070</v>
      </c>
      <c r="Q16" s="325">
        <f t="shared" si="1"/>
        <v>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44632</v>
      </c>
      <c r="C17" s="25">
        <v>10580</v>
      </c>
      <c r="D17" s="42" t="s">
        <v>468</v>
      </c>
      <c r="E17" s="27">
        <v>44632</v>
      </c>
      <c r="F17" s="28">
        <v>131625</v>
      </c>
      <c r="G17" s="2"/>
      <c r="H17" s="36">
        <v>44632</v>
      </c>
      <c r="I17" s="30">
        <v>9503</v>
      </c>
      <c r="J17" s="37">
        <v>44632</v>
      </c>
      <c r="K17" s="38" t="s">
        <v>469</v>
      </c>
      <c r="L17" s="45">
        <v>18054.02</v>
      </c>
      <c r="M17" s="504">
        <v>55203</v>
      </c>
      <c r="N17" s="33">
        <v>38285</v>
      </c>
      <c r="P17" s="39">
        <f t="shared" si="0"/>
        <v>131625.02000000002</v>
      </c>
      <c r="Q17" s="325">
        <f t="shared" si="1"/>
        <v>2.0000000018626451E-2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44633</v>
      </c>
      <c r="C18" s="25">
        <v>8190</v>
      </c>
      <c r="D18" s="35" t="s">
        <v>471</v>
      </c>
      <c r="E18" s="27">
        <v>44633</v>
      </c>
      <c r="F18" s="28">
        <v>79539</v>
      </c>
      <c r="G18" s="2"/>
      <c r="H18" s="36">
        <v>44633</v>
      </c>
      <c r="I18" s="30">
        <v>1711</v>
      </c>
      <c r="J18" s="37"/>
      <c r="K18" s="170"/>
      <c r="L18" s="39"/>
      <c r="M18" s="504">
        <v>47814</v>
      </c>
      <c r="N18" s="33">
        <v>21824</v>
      </c>
      <c r="P18" s="39">
        <f t="shared" si="0"/>
        <v>79539</v>
      </c>
      <c r="Q18" s="325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44634</v>
      </c>
      <c r="C19" s="25">
        <v>29641</v>
      </c>
      <c r="D19" s="35" t="s">
        <v>535</v>
      </c>
      <c r="E19" s="27">
        <v>44634</v>
      </c>
      <c r="F19" s="28">
        <v>101000</v>
      </c>
      <c r="G19" s="2"/>
      <c r="H19" s="36">
        <v>44634</v>
      </c>
      <c r="I19" s="30">
        <v>3079</v>
      </c>
      <c r="J19" s="37"/>
      <c r="K19" s="46"/>
      <c r="L19" s="47"/>
      <c r="M19" s="504">
        <f>30013+8142</f>
        <v>38155</v>
      </c>
      <c r="N19" s="33">
        <v>30125</v>
      </c>
      <c r="P19" s="39">
        <f t="shared" si="0"/>
        <v>101000</v>
      </c>
      <c r="Q19" s="325">
        <f t="shared" si="1"/>
        <v>0</v>
      </c>
      <c r="R19" s="319">
        <v>0</v>
      </c>
      <c r="S19" s="147"/>
      <c r="W19" s="550">
        <f>SUM(W6:W18)</f>
        <v>0</v>
      </c>
      <c r="X19" s="240"/>
      <c r="Y19" s="233"/>
    </row>
    <row r="20" spans="1:26" ht="18" thickBot="1" x14ac:dyDescent="0.35">
      <c r="A20" s="23"/>
      <c r="B20" s="24">
        <v>44635</v>
      </c>
      <c r="C20" s="25">
        <v>14601</v>
      </c>
      <c r="D20" s="35" t="s">
        <v>536</v>
      </c>
      <c r="E20" s="27">
        <v>44635</v>
      </c>
      <c r="F20" s="28">
        <v>86083</v>
      </c>
      <c r="G20" s="2"/>
      <c r="H20" s="36">
        <v>44635</v>
      </c>
      <c r="I20" s="30">
        <v>2368</v>
      </c>
      <c r="J20" s="37"/>
      <c r="K20" s="171"/>
      <c r="L20" s="45"/>
      <c r="M20" s="504">
        <v>33949</v>
      </c>
      <c r="N20" s="33">
        <v>35165</v>
      </c>
      <c r="P20" s="39">
        <f t="shared" si="0"/>
        <v>86083</v>
      </c>
      <c r="Q20" s="325">
        <f t="shared" si="1"/>
        <v>0</v>
      </c>
      <c r="R20" s="319">
        <v>0</v>
      </c>
      <c r="S20" s="147"/>
      <c r="W20" s="551"/>
      <c r="X20" s="268"/>
      <c r="Y20" s="233"/>
    </row>
    <row r="21" spans="1:26" ht="18" thickBot="1" x14ac:dyDescent="0.35">
      <c r="A21" s="23"/>
      <c r="B21" s="24">
        <v>44636</v>
      </c>
      <c r="C21" s="25">
        <v>18610</v>
      </c>
      <c r="D21" s="35" t="s">
        <v>578</v>
      </c>
      <c r="E21" s="27">
        <v>44636</v>
      </c>
      <c r="F21" s="28">
        <v>116930</v>
      </c>
      <c r="G21" s="2"/>
      <c r="H21" s="36">
        <v>44636</v>
      </c>
      <c r="I21" s="30">
        <v>1391</v>
      </c>
      <c r="J21" s="37"/>
      <c r="K21" s="48"/>
      <c r="L21" s="45"/>
      <c r="M21" s="504">
        <v>65434</v>
      </c>
      <c r="N21" s="33">
        <v>31495</v>
      </c>
      <c r="P21" s="39">
        <f t="shared" si="0"/>
        <v>116930</v>
      </c>
      <c r="Q21" s="325">
        <f t="shared" si="1"/>
        <v>0</v>
      </c>
      <c r="R21" s="319">
        <v>0</v>
      </c>
      <c r="S21" s="147"/>
      <c r="W21" s="552"/>
      <c r="X21" s="552"/>
      <c r="Y21" s="233"/>
      <c r="Z21" s="128"/>
    </row>
    <row r="22" spans="1:26" ht="18" thickBot="1" x14ac:dyDescent="0.35">
      <c r="A22" s="23"/>
      <c r="B22" s="24">
        <v>44637</v>
      </c>
      <c r="C22" s="25">
        <v>22003</v>
      </c>
      <c r="D22" s="35" t="s">
        <v>579</v>
      </c>
      <c r="E22" s="27">
        <v>44637</v>
      </c>
      <c r="F22" s="28">
        <v>111279</v>
      </c>
      <c r="G22" s="2"/>
      <c r="H22" s="36">
        <v>44637</v>
      </c>
      <c r="I22" s="30">
        <v>2399</v>
      </c>
      <c r="J22" s="37"/>
      <c r="K22" s="31"/>
      <c r="L22" s="49"/>
      <c r="M22" s="504">
        <f>642+62879</f>
        <v>63521</v>
      </c>
      <c r="N22" s="33">
        <v>23356</v>
      </c>
      <c r="P22" s="39">
        <f t="shared" si="0"/>
        <v>111279</v>
      </c>
      <c r="Q22" s="325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44638</v>
      </c>
      <c r="C23" s="25">
        <v>9219</v>
      </c>
      <c r="D23" s="35" t="s">
        <v>580</v>
      </c>
      <c r="E23" s="27">
        <v>44638</v>
      </c>
      <c r="F23" s="28">
        <v>95289</v>
      </c>
      <c r="G23" s="2"/>
      <c r="H23" s="36">
        <v>44638</v>
      </c>
      <c r="I23" s="30">
        <v>6115</v>
      </c>
      <c r="J23" s="50"/>
      <c r="K23" s="172"/>
      <c r="L23" s="45"/>
      <c r="M23" s="504">
        <v>53950</v>
      </c>
      <c r="N23" s="33">
        <v>26005</v>
      </c>
      <c r="P23" s="39">
        <f t="shared" si="0"/>
        <v>95289</v>
      </c>
      <c r="Q23" s="325">
        <f t="shared" si="1"/>
        <v>0</v>
      </c>
      <c r="R23" s="319">
        <v>0</v>
      </c>
      <c r="S23" s="147"/>
      <c r="W23" s="553"/>
      <c r="X23" s="553"/>
      <c r="Y23" s="233"/>
      <c r="Z23" s="128"/>
    </row>
    <row r="24" spans="1:26" ht="18" thickBot="1" x14ac:dyDescent="0.35">
      <c r="A24" s="23"/>
      <c r="B24" s="24">
        <v>44639</v>
      </c>
      <c r="C24" s="25">
        <v>10938</v>
      </c>
      <c r="D24" s="42" t="s">
        <v>581</v>
      </c>
      <c r="E24" s="27">
        <v>44639</v>
      </c>
      <c r="F24" s="28">
        <v>117091</v>
      </c>
      <c r="G24" s="2"/>
      <c r="H24" s="36">
        <v>44639</v>
      </c>
      <c r="I24" s="30">
        <v>2386</v>
      </c>
      <c r="J24" s="51">
        <v>44639</v>
      </c>
      <c r="K24" s="173" t="s">
        <v>582</v>
      </c>
      <c r="L24" s="52">
        <v>20799.990000000002</v>
      </c>
      <c r="M24" s="504">
        <v>28076</v>
      </c>
      <c r="N24" s="33">
        <v>54891</v>
      </c>
      <c r="P24" s="39">
        <f>N24+M24+L24+I24+C24</f>
        <v>117090.99</v>
      </c>
      <c r="Q24" s="325">
        <f t="shared" si="1"/>
        <v>-9.9999999947613105E-3</v>
      </c>
      <c r="R24" s="319">
        <v>0</v>
      </c>
      <c r="S24" s="147"/>
      <c r="W24" s="553"/>
      <c r="X24" s="553"/>
      <c r="Y24" s="233"/>
      <c r="Z24" s="128"/>
    </row>
    <row r="25" spans="1:26" ht="19.5" thickBot="1" x14ac:dyDescent="0.35">
      <c r="A25" s="23"/>
      <c r="B25" s="24">
        <v>44640</v>
      </c>
      <c r="C25" s="25">
        <v>8565</v>
      </c>
      <c r="D25" s="35" t="s">
        <v>583</v>
      </c>
      <c r="E25" s="27">
        <v>44640</v>
      </c>
      <c r="F25" s="28">
        <v>78608</v>
      </c>
      <c r="G25" s="2"/>
      <c r="H25" s="36">
        <v>44640</v>
      </c>
      <c r="I25" s="30">
        <v>1272.5</v>
      </c>
      <c r="J25" s="50"/>
      <c r="K25" s="38"/>
      <c r="L25" s="54"/>
      <c r="M25" s="504">
        <v>47560.5</v>
      </c>
      <c r="N25" s="33">
        <v>21210</v>
      </c>
      <c r="P25" s="283">
        <f t="shared" si="0"/>
        <v>78608</v>
      </c>
      <c r="Q25" s="325">
        <f t="shared" si="1"/>
        <v>0</v>
      </c>
      <c r="R25" s="319">
        <v>0</v>
      </c>
      <c r="W25" s="554"/>
      <c r="X25" s="554"/>
      <c r="Y25" s="233"/>
      <c r="Z25" s="128"/>
    </row>
    <row r="26" spans="1:26" ht="19.5" thickBot="1" x14ac:dyDescent="0.35">
      <c r="A26" s="23"/>
      <c r="B26" s="24">
        <v>44641</v>
      </c>
      <c r="C26" s="25">
        <v>16233</v>
      </c>
      <c r="D26" s="35" t="s">
        <v>584</v>
      </c>
      <c r="E26" s="27">
        <v>44641</v>
      </c>
      <c r="F26" s="28">
        <v>95964</v>
      </c>
      <c r="G26" s="2"/>
      <c r="H26" s="36">
        <v>44641</v>
      </c>
      <c r="I26" s="30">
        <v>843</v>
      </c>
      <c r="J26" s="37"/>
      <c r="K26" s="173"/>
      <c r="L26" s="45"/>
      <c r="M26" s="504">
        <v>36536</v>
      </c>
      <c r="N26" s="33">
        <v>42352</v>
      </c>
      <c r="O26" s="2"/>
      <c r="P26" s="284">
        <f t="shared" si="0"/>
        <v>95964</v>
      </c>
      <c r="Q26" s="325">
        <f t="shared" si="1"/>
        <v>0</v>
      </c>
      <c r="R26" s="319">
        <v>0</v>
      </c>
      <c r="W26" s="554"/>
      <c r="X26" s="554"/>
      <c r="Y26" s="233"/>
      <c r="Z26" s="128"/>
    </row>
    <row r="27" spans="1:26" ht="18" thickBot="1" x14ac:dyDescent="0.35">
      <c r="A27" s="23"/>
      <c r="B27" s="24">
        <v>44642</v>
      </c>
      <c r="C27" s="25">
        <v>14717</v>
      </c>
      <c r="D27" s="42" t="s">
        <v>585</v>
      </c>
      <c r="E27" s="27">
        <v>44642</v>
      </c>
      <c r="F27" s="28">
        <v>92410</v>
      </c>
      <c r="G27" s="2"/>
      <c r="H27" s="36">
        <v>44642</v>
      </c>
      <c r="I27" s="30">
        <v>563.5</v>
      </c>
      <c r="J27" s="55"/>
      <c r="K27" s="174"/>
      <c r="L27" s="54"/>
      <c r="M27" s="504">
        <v>42310.5</v>
      </c>
      <c r="N27" s="33">
        <v>34989</v>
      </c>
      <c r="O27" s="2"/>
      <c r="P27" s="39">
        <f t="shared" si="0"/>
        <v>92580</v>
      </c>
      <c r="Q27" s="325">
        <v>0</v>
      </c>
      <c r="R27" s="388">
        <v>170</v>
      </c>
      <c r="W27" s="547"/>
      <c r="X27" s="548"/>
      <c r="Y27" s="549"/>
      <c r="Z27" s="128"/>
    </row>
    <row r="28" spans="1:26" ht="18" thickBot="1" x14ac:dyDescent="0.35">
      <c r="A28" s="23"/>
      <c r="B28" s="24">
        <v>44643</v>
      </c>
      <c r="C28" s="25">
        <v>11509</v>
      </c>
      <c r="D28" s="42" t="s">
        <v>586</v>
      </c>
      <c r="E28" s="27">
        <v>44643</v>
      </c>
      <c r="F28" s="28">
        <v>957254</v>
      </c>
      <c r="G28" s="2"/>
      <c r="H28" s="36">
        <v>44643</v>
      </c>
      <c r="I28" s="30">
        <v>1991</v>
      </c>
      <c r="J28" s="56"/>
      <c r="K28" s="57"/>
      <c r="L28" s="54"/>
      <c r="M28" s="504">
        <f>49352+673725.34+200000+33828.02</f>
        <v>956905.36</v>
      </c>
      <c r="N28" s="33">
        <v>24223</v>
      </c>
      <c r="O28" s="2"/>
      <c r="P28" s="34">
        <f t="shared" si="0"/>
        <v>994628.36</v>
      </c>
      <c r="Q28" s="325">
        <v>0</v>
      </c>
      <c r="R28" s="388">
        <v>37374.36</v>
      </c>
      <c r="W28" s="548"/>
      <c r="X28" s="548"/>
      <c r="Y28" s="549"/>
      <c r="Z28" s="128"/>
    </row>
    <row r="29" spans="1:26" ht="18" thickBot="1" x14ac:dyDescent="0.35">
      <c r="A29" s="23"/>
      <c r="B29" s="24">
        <v>44644</v>
      </c>
      <c r="C29" s="25">
        <v>15935</v>
      </c>
      <c r="D29" s="58" t="s">
        <v>587</v>
      </c>
      <c r="E29" s="27">
        <v>44644</v>
      </c>
      <c r="F29" s="28">
        <v>128995</v>
      </c>
      <c r="G29" s="2"/>
      <c r="H29" s="36">
        <v>44644</v>
      </c>
      <c r="I29" s="30">
        <v>1688</v>
      </c>
      <c r="J29" s="59"/>
      <c r="K29" s="175"/>
      <c r="L29" s="54"/>
      <c r="M29" s="504">
        <f>642+79978</f>
        <v>80620</v>
      </c>
      <c r="N29" s="33">
        <v>30752</v>
      </c>
      <c r="O29" s="425"/>
      <c r="P29" s="34">
        <f t="shared" si="0"/>
        <v>128995</v>
      </c>
      <c r="Q29" s="325">
        <f t="shared" si="1"/>
        <v>0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44645</v>
      </c>
      <c r="C30" s="25">
        <v>11160</v>
      </c>
      <c r="D30" s="58" t="s">
        <v>588</v>
      </c>
      <c r="E30" s="27">
        <v>44645</v>
      </c>
      <c r="F30" s="28">
        <v>93781</v>
      </c>
      <c r="G30" s="2"/>
      <c r="H30" s="36">
        <v>44645</v>
      </c>
      <c r="I30" s="30">
        <v>1846</v>
      </c>
      <c r="J30" s="60"/>
      <c r="K30" s="41"/>
      <c r="L30" s="61"/>
      <c r="M30" s="504">
        <v>48450</v>
      </c>
      <c r="N30" s="33">
        <v>32332</v>
      </c>
      <c r="O30" s="426"/>
      <c r="P30" s="34">
        <f t="shared" si="0"/>
        <v>93788</v>
      </c>
      <c r="Q30" s="325">
        <f t="shared" si="1"/>
        <v>7</v>
      </c>
      <c r="R30" s="320">
        <v>0</v>
      </c>
      <c r="T30" s="423">
        <v>26626</v>
      </c>
      <c r="X30" s="225"/>
      <c r="Y30" s="227"/>
    </row>
    <row r="31" spans="1:26" ht="18" thickBot="1" x14ac:dyDescent="0.35">
      <c r="A31" s="23"/>
      <c r="B31" s="24">
        <v>44646</v>
      </c>
      <c r="C31" s="25">
        <v>16631</v>
      </c>
      <c r="D31" s="65" t="s">
        <v>589</v>
      </c>
      <c r="E31" s="27">
        <v>44646</v>
      </c>
      <c r="F31" s="28">
        <v>111426</v>
      </c>
      <c r="G31" s="2"/>
      <c r="H31" s="36">
        <v>44646</v>
      </c>
      <c r="I31" s="30">
        <v>5154</v>
      </c>
      <c r="J31" s="60">
        <v>44649</v>
      </c>
      <c r="K31" s="459" t="s">
        <v>590</v>
      </c>
      <c r="L31" s="460">
        <v>19492.72</v>
      </c>
      <c r="M31" s="504">
        <v>28431</v>
      </c>
      <c r="N31" s="33">
        <v>41717</v>
      </c>
      <c r="O31" s="425"/>
      <c r="P31" s="34">
        <f t="shared" si="0"/>
        <v>111425.72</v>
      </c>
      <c r="Q31" s="325">
        <f t="shared" si="1"/>
        <v>-0.27999999999883585</v>
      </c>
      <c r="R31" s="321">
        <v>0</v>
      </c>
      <c r="T31" s="423">
        <v>10137</v>
      </c>
    </row>
    <row r="32" spans="1:26" ht="18" thickBot="1" x14ac:dyDescent="0.35">
      <c r="A32" s="23"/>
      <c r="B32" s="24">
        <v>44647</v>
      </c>
      <c r="C32" s="25">
        <v>16761</v>
      </c>
      <c r="D32" s="64" t="s">
        <v>592</v>
      </c>
      <c r="E32" s="27">
        <v>44647</v>
      </c>
      <c r="F32" s="28">
        <v>76600</v>
      </c>
      <c r="G32" s="2"/>
      <c r="H32" s="36">
        <v>44647</v>
      </c>
      <c r="I32" s="30">
        <v>101</v>
      </c>
      <c r="J32" s="60"/>
      <c r="K32" s="41"/>
      <c r="L32" s="61"/>
      <c r="M32" s="504">
        <v>32180</v>
      </c>
      <c r="N32" s="33">
        <v>27558</v>
      </c>
      <c r="O32" s="2"/>
      <c r="P32" s="34">
        <f t="shared" si="0"/>
        <v>76600</v>
      </c>
      <c r="Q32" s="325">
        <f t="shared" si="1"/>
        <v>0</v>
      </c>
      <c r="R32" s="228">
        <v>0</v>
      </c>
      <c r="T32" s="423">
        <v>0</v>
      </c>
    </row>
    <row r="33" spans="1:20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O33" s="2"/>
      <c r="P33" s="34">
        <v>0</v>
      </c>
      <c r="Q33" s="111">
        <f t="shared" ref="Q33:Q35" si="2">P33-F33</f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44623</v>
      </c>
      <c r="C34" s="25">
        <v>2564.8000000000002</v>
      </c>
      <c r="D34" s="64" t="s">
        <v>619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O34" s="2"/>
      <c r="P34" s="34">
        <v>0</v>
      </c>
      <c r="Q34" s="111">
        <f t="shared" si="2"/>
        <v>0</v>
      </c>
      <c r="R34" s="228"/>
    </row>
    <row r="35" spans="1:20" ht="18" thickBot="1" x14ac:dyDescent="0.35">
      <c r="A35" s="23"/>
      <c r="B35" s="24">
        <v>44624</v>
      </c>
      <c r="C35" s="25">
        <v>350000</v>
      </c>
      <c r="D35" s="65" t="s">
        <v>49</v>
      </c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/>
      <c r="Q35" s="111">
        <f t="shared" si="2"/>
        <v>0</v>
      </c>
      <c r="R35" s="228"/>
    </row>
    <row r="36" spans="1:20" ht="18" customHeight="1" thickBot="1" x14ac:dyDescent="0.3">
      <c r="A36" s="23"/>
      <c r="B36" s="24">
        <v>44629</v>
      </c>
      <c r="C36" s="25">
        <v>346259.20000000001</v>
      </c>
      <c r="D36" s="62" t="s">
        <v>49</v>
      </c>
      <c r="E36" s="27"/>
      <c r="F36" s="28"/>
      <c r="G36" s="2"/>
      <c r="H36" s="36"/>
      <c r="I36" s="30"/>
      <c r="J36" s="266"/>
      <c r="K36" s="250"/>
      <c r="L36" s="44"/>
      <c r="M36" s="565">
        <f>SUM(M5:M35)</f>
        <v>2220612.02</v>
      </c>
      <c r="N36" s="567">
        <f>SUM(N5:N35)</f>
        <v>833865</v>
      </c>
      <c r="O36" s="276"/>
      <c r="P36" s="277">
        <v>0</v>
      </c>
      <c r="Q36" s="600">
        <f>SUM(Q5:Q35)</f>
        <v>8.3000000000320142</v>
      </c>
      <c r="R36" s="228"/>
    </row>
    <row r="37" spans="1:20" ht="18" customHeight="1" thickBot="1" x14ac:dyDescent="0.3">
      <c r="A37" s="23"/>
      <c r="B37" s="24">
        <v>44645</v>
      </c>
      <c r="C37" s="25">
        <v>350000</v>
      </c>
      <c r="D37" s="65" t="s">
        <v>49</v>
      </c>
      <c r="E37" s="27"/>
      <c r="F37" s="28"/>
      <c r="G37" s="2"/>
      <c r="H37" s="36"/>
      <c r="I37" s="30"/>
      <c r="J37" s="60"/>
      <c r="K37" s="41"/>
      <c r="L37" s="61"/>
      <c r="M37" s="566"/>
      <c r="N37" s="568"/>
      <c r="O37" s="276"/>
      <c r="P37" s="277">
        <v>0</v>
      </c>
      <c r="Q37" s="601"/>
      <c r="R37" s="227" t="s">
        <v>7</v>
      </c>
    </row>
    <row r="38" spans="1:20" ht="18" thickBot="1" x14ac:dyDescent="0.35">
      <c r="A38" s="23"/>
      <c r="B38" s="24">
        <v>44651</v>
      </c>
      <c r="C38" s="25">
        <f>13429.46+396419.2</f>
        <v>409848.66000000003</v>
      </c>
      <c r="D38" s="65" t="s">
        <v>49</v>
      </c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20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602">
        <f>M36+N36</f>
        <v>3054477.02</v>
      </c>
      <c r="N39" s="603"/>
      <c r="P39" s="34">
        <f>SUM(P5:P38)</f>
        <v>3627989.66</v>
      </c>
      <c r="Q39" s="275"/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20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>
        <v>44625</v>
      </c>
      <c r="K41" s="41" t="s">
        <v>457</v>
      </c>
      <c r="L41" s="61">
        <v>15195.26</v>
      </c>
      <c r="M41" s="269"/>
      <c r="N41" s="269"/>
      <c r="P41" s="34"/>
      <c r="Q41" s="13"/>
    </row>
    <row r="42" spans="1:20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>
        <v>44632</v>
      </c>
      <c r="K42" s="173" t="s">
        <v>470</v>
      </c>
      <c r="L42" s="52">
        <v>15748.5</v>
      </c>
      <c r="M42" s="269"/>
      <c r="N42" s="269"/>
      <c r="P42" s="34"/>
      <c r="Q42" s="13"/>
    </row>
    <row r="43" spans="1:20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>
        <v>44639</v>
      </c>
      <c r="K43" s="38" t="s">
        <v>582</v>
      </c>
      <c r="L43" s="54">
        <v>14398.5</v>
      </c>
      <c r="M43" s="269"/>
      <c r="N43" s="269"/>
      <c r="P43" s="34"/>
      <c r="Q43" s="13"/>
    </row>
    <row r="44" spans="1:20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>
        <v>44646</v>
      </c>
      <c r="K44" s="459" t="s">
        <v>591</v>
      </c>
      <c r="L44" s="461">
        <v>17498.5</v>
      </c>
      <c r="M44" s="269"/>
      <c r="N44" s="269"/>
      <c r="P44" s="34"/>
      <c r="Q44" s="13"/>
    </row>
    <row r="45" spans="1:20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20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1877866.6600000001</v>
      </c>
      <c r="D50" s="88"/>
      <c r="E50" s="89" t="s">
        <v>8</v>
      </c>
      <c r="F50" s="90">
        <f>SUM(F5:F49)</f>
        <v>3548268</v>
      </c>
      <c r="G50" s="88"/>
      <c r="H50" s="91" t="s">
        <v>9</v>
      </c>
      <c r="I50" s="92">
        <f>SUM(I5:I49)</f>
        <v>83862.5</v>
      </c>
      <c r="J50" s="93"/>
      <c r="K50" s="94" t="s">
        <v>10</v>
      </c>
      <c r="L50" s="95">
        <f>SUM(L5:L49)</f>
        <v>133296.9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0" t="s">
        <v>11</v>
      </c>
      <c r="I52" s="521"/>
      <c r="J52" s="100"/>
      <c r="K52" s="522">
        <f>I50+L50</f>
        <v>217159.4</v>
      </c>
      <c r="L52" s="555"/>
      <c r="M52" s="272"/>
      <c r="N52" s="272"/>
      <c r="P52" s="34"/>
      <c r="Q52" s="13"/>
    </row>
    <row r="53" spans="1:17" x14ac:dyDescent="0.25">
      <c r="D53" s="526" t="s">
        <v>12</v>
      </c>
      <c r="E53" s="526"/>
      <c r="F53" s="312">
        <f>F50-K52-C50</f>
        <v>1453241.94</v>
      </c>
      <c r="I53" s="102"/>
      <c r="J53" s="103"/>
    </row>
    <row r="54" spans="1:17" ht="18.75" x14ac:dyDescent="0.3">
      <c r="D54" s="556" t="s">
        <v>95</v>
      </c>
      <c r="E54" s="556"/>
      <c r="F54" s="111">
        <v>-1360260.32</v>
      </c>
      <c r="I54" s="527" t="s">
        <v>13</v>
      </c>
      <c r="J54" s="528"/>
      <c r="K54" s="529">
        <f>F56+F57+F58</f>
        <v>1797288.1999999997</v>
      </c>
      <c r="L54" s="529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-206286.1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-113304.48000000013</v>
      </c>
      <c r="H56" s="23"/>
      <c r="I56" s="108" t="s">
        <v>15</v>
      </c>
      <c r="J56" s="109"/>
      <c r="K56" s="531">
        <f>-C4</f>
        <v>-1266568.45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117775</v>
      </c>
    </row>
    <row r="58" spans="1:17" ht="20.25" thickTop="1" thickBot="1" x14ac:dyDescent="0.35">
      <c r="C58" s="112">
        <v>44647</v>
      </c>
      <c r="D58" s="509" t="s">
        <v>18</v>
      </c>
      <c r="E58" s="510"/>
      <c r="F58" s="113">
        <v>1792817.68</v>
      </c>
      <c r="I58" s="511" t="s">
        <v>198</v>
      </c>
      <c r="J58" s="512"/>
      <c r="K58" s="513">
        <f>K54+K56</f>
        <v>530719.74999999977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Y27:Y28"/>
    <mergeCell ref="M36:M37"/>
    <mergeCell ref="N36:N37"/>
    <mergeCell ref="Q36:Q37"/>
    <mergeCell ref="K56:L56"/>
    <mergeCell ref="M39:N39"/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</mergeCells>
  <pageMargins left="0.27559055118110237" right="0.15748031496062992" top="0.39370078740157483" bottom="0.27559055118110237" header="0.31496062992125984" footer="0.31496062992125984"/>
  <pageSetup scale="80" orientation="landscape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15"/>
  <sheetViews>
    <sheetView topLeftCell="A22" workbookViewId="0">
      <selection activeCell="A22" sqref="A1:XFD1048576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2"/>
      <c r="M1" s="303"/>
      <c r="N1" s="377" t="s">
        <v>314</v>
      </c>
    </row>
    <row r="2" spans="1:14" ht="21.75" customHeight="1" thickTop="1" thickBot="1" x14ac:dyDescent="0.35">
      <c r="A2" s="451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3" t="s">
        <v>22</v>
      </c>
      <c r="M2" s="299" t="s">
        <v>23</v>
      </c>
      <c r="N2" s="309" t="s">
        <v>210</v>
      </c>
    </row>
    <row r="3" spans="1:14" ht="15.75" x14ac:dyDescent="0.25">
      <c r="A3" s="452">
        <v>44620</v>
      </c>
      <c r="B3" s="437" t="s">
        <v>521</v>
      </c>
      <c r="C3" s="392">
        <v>2909.4</v>
      </c>
      <c r="D3" s="486">
        <v>44643</v>
      </c>
      <c r="E3" s="487">
        <v>2909.4</v>
      </c>
      <c r="F3" s="392">
        <f>C3-E3</f>
        <v>0</v>
      </c>
      <c r="I3" s="405">
        <v>44620</v>
      </c>
      <c r="J3" s="391">
        <v>8631</v>
      </c>
      <c r="K3" s="392">
        <v>858.6</v>
      </c>
      <c r="L3" s="479">
        <v>44643</v>
      </c>
      <c r="M3" s="480">
        <v>858.6</v>
      </c>
      <c r="N3" s="183">
        <f>K3-M3</f>
        <v>0</v>
      </c>
    </row>
    <row r="4" spans="1:14" ht="18.75" x14ac:dyDescent="0.3">
      <c r="A4" s="452">
        <v>44621</v>
      </c>
      <c r="B4" s="437" t="s">
        <v>522</v>
      </c>
      <c r="C4" s="392">
        <v>74016.2</v>
      </c>
      <c r="D4" s="486">
        <v>44643</v>
      </c>
      <c r="E4" s="487">
        <v>74016.2</v>
      </c>
      <c r="F4" s="392">
        <f t="shared" ref="F4:F46" si="0">C4-E4</f>
        <v>0</v>
      </c>
      <c r="G4" s="138"/>
      <c r="I4" s="370">
        <v>44621</v>
      </c>
      <c r="J4" s="57">
        <v>8638</v>
      </c>
      <c r="K4" s="111">
        <v>240</v>
      </c>
      <c r="L4" s="476">
        <v>44643</v>
      </c>
      <c r="M4" s="261">
        <v>240</v>
      </c>
      <c r="N4" s="137">
        <f>N3+K4-M4</f>
        <v>0</v>
      </c>
    </row>
    <row r="5" spans="1:14" ht="15.75" x14ac:dyDescent="0.25">
      <c r="A5" s="452">
        <v>44622</v>
      </c>
      <c r="B5" s="437" t="s">
        <v>523</v>
      </c>
      <c r="C5" s="392">
        <v>38036.6</v>
      </c>
      <c r="D5" s="486">
        <v>44643</v>
      </c>
      <c r="E5" s="487">
        <v>38036.6</v>
      </c>
      <c r="F5" s="392">
        <f t="shared" si="0"/>
        <v>0</v>
      </c>
      <c r="I5" s="370">
        <v>44622</v>
      </c>
      <c r="J5" s="57">
        <v>8646</v>
      </c>
      <c r="K5" s="111">
        <v>1010</v>
      </c>
      <c r="L5" s="476">
        <v>44643</v>
      </c>
      <c r="M5" s="261">
        <v>1010</v>
      </c>
      <c r="N5" s="137">
        <f t="shared" ref="N5:N68" si="1">N4+K5-M5</f>
        <v>0</v>
      </c>
    </row>
    <row r="6" spans="1:14" ht="15.75" x14ac:dyDescent="0.25">
      <c r="A6" s="452">
        <v>44623</v>
      </c>
      <c r="B6" s="437" t="s">
        <v>524</v>
      </c>
      <c r="C6" s="392">
        <v>52111.11</v>
      </c>
      <c r="D6" s="486">
        <v>44643</v>
      </c>
      <c r="E6" s="487">
        <v>52111.11</v>
      </c>
      <c r="F6" s="392">
        <f t="shared" si="0"/>
        <v>0</v>
      </c>
      <c r="I6" s="370">
        <v>44623</v>
      </c>
      <c r="J6" s="57">
        <v>8652</v>
      </c>
      <c r="K6" s="111">
        <v>2004</v>
      </c>
      <c r="L6" s="476">
        <v>44643</v>
      </c>
      <c r="M6" s="261">
        <v>2004</v>
      </c>
      <c r="N6" s="137">
        <f t="shared" si="1"/>
        <v>0</v>
      </c>
    </row>
    <row r="7" spans="1:14" ht="15.75" x14ac:dyDescent="0.25">
      <c r="A7" s="452">
        <v>44623</v>
      </c>
      <c r="B7" s="437" t="s">
        <v>525</v>
      </c>
      <c r="C7" s="392">
        <v>394.2</v>
      </c>
      <c r="D7" s="486">
        <v>44643</v>
      </c>
      <c r="E7" s="487">
        <v>394.2</v>
      </c>
      <c r="F7" s="392">
        <f t="shared" si="0"/>
        <v>0</v>
      </c>
      <c r="I7" s="370">
        <v>44624</v>
      </c>
      <c r="J7" s="57">
        <v>8662</v>
      </c>
      <c r="K7" s="111">
        <v>13002.8</v>
      </c>
      <c r="L7" s="476">
        <v>44643</v>
      </c>
      <c r="M7" s="261">
        <v>13002.8</v>
      </c>
      <c r="N7" s="137">
        <f t="shared" si="1"/>
        <v>0</v>
      </c>
    </row>
    <row r="8" spans="1:14" ht="15.75" x14ac:dyDescent="0.25">
      <c r="A8" s="452">
        <v>44624</v>
      </c>
      <c r="B8" s="437" t="s">
        <v>526</v>
      </c>
      <c r="C8" s="392">
        <v>52173.7</v>
      </c>
      <c r="D8" s="486">
        <v>44643</v>
      </c>
      <c r="E8" s="487">
        <v>52173.7</v>
      </c>
      <c r="F8" s="392">
        <f t="shared" si="0"/>
        <v>0</v>
      </c>
      <c r="I8" s="370">
        <v>44625</v>
      </c>
      <c r="J8" s="57">
        <v>8666</v>
      </c>
      <c r="K8" s="111">
        <v>3911</v>
      </c>
      <c r="L8" s="476">
        <v>44643</v>
      </c>
      <c r="M8" s="261">
        <v>3911</v>
      </c>
      <c r="N8" s="137">
        <f t="shared" si="1"/>
        <v>0</v>
      </c>
    </row>
    <row r="9" spans="1:14" ht="15.75" x14ac:dyDescent="0.25">
      <c r="A9" s="452">
        <v>44625</v>
      </c>
      <c r="B9" s="437" t="s">
        <v>527</v>
      </c>
      <c r="C9" s="392">
        <v>47563.28</v>
      </c>
      <c r="D9" s="486">
        <v>44643</v>
      </c>
      <c r="E9" s="487">
        <v>47563.28</v>
      </c>
      <c r="F9" s="392">
        <f t="shared" si="0"/>
        <v>0</v>
      </c>
      <c r="I9" s="370">
        <v>44627</v>
      </c>
      <c r="J9" s="57">
        <v>8676</v>
      </c>
      <c r="K9" s="111">
        <v>3530</v>
      </c>
      <c r="L9" s="476">
        <v>44643</v>
      </c>
      <c r="M9" s="261">
        <v>3530</v>
      </c>
      <c r="N9" s="137">
        <f t="shared" si="1"/>
        <v>0</v>
      </c>
    </row>
    <row r="10" spans="1:14" ht="18.75" x14ac:dyDescent="0.3">
      <c r="A10" s="452">
        <v>44625</v>
      </c>
      <c r="B10" s="437" t="s">
        <v>528</v>
      </c>
      <c r="C10" s="392">
        <v>1406</v>
      </c>
      <c r="D10" s="486">
        <v>44643</v>
      </c>
      <c r="E10" s="487">
        <v>1406</v>
      </c>
      <c r="F10" s="392">
        <f t="shared" si="0"/>
        <v>0</v>
      </c>
      <c r="G10" s="138"/>
      <c r="I10" s="370">
        <v>44627</v>
      </c>
      <c r="J10" s="57">
        <v>8677</v>
      </c>
      <c r="K10" s="111">
        <v>1554</v>
      </c>
      <c r="L10" s="476">
        <v>44643</v>
      </c>
      <c r="M10" s="261">
        <v>1554</v>
      </c>
      <c r="N10" s="137">
        <f t="shared" si="1"/>
        <v>0</v>
      </c>
    </row>
    <row r="11" spans="1:14" ht="15.75" x14ac:dyDescent="0.25">
      <c r="A11" s="452">
        <v>44627</v>
      </c>
      <c r="B11" s="437" t="s">
        <v>529</v>
      </c>
      <c r="C11" s="392">
        <v>44449.599999999999</v>
      </c>
      <c r="D11" s="486">
        <v>44643</v>
      </c>
      <c r="E11" s="487">
        <v>44449.599999999999</v>
      </c>
      <c r="F11" s="392">
        <f t="shared" si="0"/>
        <v>0</v>
      </c>
      <c r="I11" s="370">
        <v>44628</v>
      </c>
      <c r="J11" s="57">
        <v>8683</v>
      </c>
      <c r="K11" s="111">
        <v>2734</v>
      </c>
      <c r="L11" s="476">
        <v>44643</v>
      </c>
      <c r="M11" s="261">
        <v>2734</v>
      </c>
      <c r="N11" s="137">
        <f t="shared" si="1"/>
        <v>0</v>
      </c>
    </row>
    <row r="12" spans="1:14" ht="15.75" x14ac:dyDescent="0.25">
      <c r="A12" s="452">
        <v>44627</v>
      </c>
      <c r="B12" s="437" t="s">
        <v>530</v>
      </c>
      <c r="C12" s="392">
        <v>848.4</v>
      </c>
      <c r="D12" s="486">
        <v>44643</v>
      </c>
      <c r="E12" s="487">
        <v>848.4</v>
      </c>
      <c r="F12" s="392">
        <f t="shared" si="0"/>
        <v>0</v>
      </c>
      <c r="I12" s="370">
        <v>44630</v>
      </c>
      <c r="J12" s="57">
        <v>8702</v>
      </c>
      <c r="K12" s="111">
        <v>13641</v>
      </c>
      <c r="L12" s="476">
        <v>44643</v>
      </c>
      <c r="M12" s="261">
        <v>13641</v>
      </c>
      <c r="N12" s="137">
        <f t="shared" si="1"/>
        <v>0</v>
      </c>
    </row>
    <row r="13" spans="1:14" ht="15.75" x14ac:dyDescent="0.25">
      <c r="A13" s="452">
        <v>44628</v>
      </c>
      <c r="B13" s="437" t="s">
        <v>531</v>
      </c>
      <c r="C13" s="392">
        <v>71723.600000000006</v>
      </c>
      <c r="D13" s="486">
        <v>44643</v>
      </c>
      <c r="E13" s="487">
        <v>71723.600000000006</v>
      </c>
      <c r="F13" s="392">
        <f t="shared" si="0"/>
        <v>0</v>
      </c>
      <c r="I13" s="370">
        <v>44631</v>
      </c>
      <c r="J13" s="57">
        <v>8711</v>
      </c>
      <c r="K13" s="111">
        <v>18173</v>
      </c>
      <c r="L13" s="476">
        <v>44643</v>
      </c>
      <c r="M13" s="261">
        <v>18173</v>
      </c>
      <c r="N13" s="137">
        <f t="shared" si="1"/>
        <v>0</v>
      </c>
    </row>
    <row r="14" spans="1:14" ht="15.75" x14ac:dyDescent="0.25">
      <c r="A14" s="452">
        <v>44628</v>
      </c>
      <c r="B14" s="437" t="s">
        <v>532</v>
      </c>
      <c r="C14" s="392">
        <v>1776</v>
      </c>
      <c r="D14" s="486">
        <v>44643</v>
      </c>
      <c r="E14" s="487">
        <v>1776</v>
      </c>
      <c r="F14" s="392">
        <f t="shared" si="0"/>
        <v>0</v>
      </c>
      <c r="I14" s="370">
        <v>44631</v>
      </c>
      <c r="J14" s="57">
        <v>8714</v>
      </c>
      <c r="K14" s="111">
        <v>6720</v>
      </c>
      <c r="L14" s="476">
        <v>44643</v>
      </c>
      <c r="M14" s="261">
        <v>6720</v>
      </c>
      <c r="N14" s="137">
        <f t="shared" si="1"/>
        <v>0</v>
      </c>
    </row>
    <row r="15" spans="1:14" ht="15.75" x14ac:dyDescent="0.25">
      <c r="A15" s="452">
        <v>44629</v>
      </c>
      <c r="B15" s="437" t="s">
        <v>533</v>
      </c>
      <c r="C15" s="392">
        <v>76124.3</v>
      </c>
      <c r="D15" s="486">
        <v>44643</v>
      </c>
      <c r="E15" s="487">
        <v>61979.8</v>
      </c>
      <c r="F15" s="392">
        <f t="shared" si="0"/>
        <v>14144.5</v>
      </c>
      <c r="I15" s="370">
        <v>44631</v>
      </c>
      <c r="J15" s="57">
        <v>8716</v>
      </c>
      <c r="K15" s="111">
        <v>360</v>
      </c>
      <c r="L15" s="476">
        <v>44643</v>
      </c>
      <c r="M15" s="261">
        <v>360</v>
      </c>
      <c r="N15" s="137">
        <f t="shared" si="1"/>
        <v>0</v>
      </c>
    </row>
    <row r="16" spans="1:14" ht="15.75" x14ac:dyDescent="0.25">
      <c r="A16" s="452">
        <v>44630</v>
      </c>
      <c r="B16" s="437" t="s">
        <v>534</v>
      </c>
      <c r="C16" s="392">
        <v>50443.9</v>
      </c>
      <c r="D16" s="405"/>
      <c r="E16" s="392"/>
      <c r="F16" s="392">
        <f t="shared" si="0"/>
        <v>50443.9</v>
      </c>
      <c r="I16" s="370">
        <v>44632</v>
      </c>
      <c r="J16" s="57">
        <v>8720</v>
      </c>
      <c r="K16" s="111">
        <v>450</v>
      </c>
      <c r="L16" s="476">
        <v>44643</v>
      </c>
      <c r="M16" s="261">
        <v>450</v>
      </c>
      <c r="N16" s="137">
        <f t="shared" si="1"/>
        <v>0</v>
      </c>
    </row>
    <row r="17" spans="1:14" ht="15.75" x14ac:dyDescent="0.25">
      <c r="A17" s="452">
        <v>44631</v>
      </c>
      <c r="B17" s="437" t="s">
        <v>537</v>
      </c>
      <c r="C17" s="392">
        <v>94092.05</v>
      </c>
      <c r="D17" s="406"/>
      <c r="E17" s="392"/>
      <c r="F17" s="392">
        <f t="shared" si="0"/>
        <v>94092.05</v>
      </c>
      <c r="I17" s="370">
        <v>44634</v>
      </c>
      <c r="J17" s="57">
        <v>8764</v>
      </c>
      <c r="K17" s="111">
        <v>2120</v>
      </c>
      <c r="L17" s="476">
        <v>44643</v>
      </c>
      <c r="M17" s="261">
        <v>2120</v>
      </c>
      <c r="N17" s="137">
        <f t="shared" si="1"/>
        <v>0</v>
      </c>
    </row>
    <row r="18" spans="1:14" ht="15.75" x14ac:dyDescent="0.25">
      <c r="A18" s="452">
        <v>44631</v>
      </c>
      <c r="B18" s="437" t="s">
        <v>538</v>
      </c>
      <c r="C18" s="392">
        <v>8163.9</v>
      </c>
      <c r="D18" s="405"/>
      <c r="E18" s="392"/>
      <c r="F18" s="392">
        <f t="shared" si="0"/>
        <v>8163.9</v>
      </c>
      <c r="I18" s="370">
        <v>44635</v>
      </c>
      <c r="J18" s="57">
        <v>8773</v>
      </c>
      <c r="K18" s="111">
        <v>4670</v>
      </c>
      <c r="L18" s="476">
        <v>44643</v>
      </c>
      <c r="M18" s="261">
        <v>4670</v>
      </c>
      <c r="N18" s="137">
        <f t="shared" si="1"/>
        <v>0</v>
      </c>
    </row>
    <row r="19" spans="1:14" ht="15.75" x14ac:dyDescent="0.25">
      <c r="A19" s="452">
        <v>44632</v>
      </c>
      <c r="B19" s="437" t="s">
        <v>539</v>
      </c>
      <c r="C19" s="392">
        <v>57174.8</v>
      </c>
      <c r="D19" s="405"/>
      <c r="E19" s="392"/>
      <c r="F19" s="392">
        <f t="shared" si="0"/>
        <v>57174.8</v>
      </c>
      <c r="I19" s="370">
        <v>44636</v>
      </c>
      <c r="J19" s="57">
        <v>8785</v>
      </c>
      <c r="K19" s="111">
        <v>3785</v>
      </c>
      <c r="L19" s="476">
        <v>44643</v>
      </c>
      <c r="M19" s="261">
        <v>3785</v>
      </c>
      <c r="N19" s="137">
        <f t="shared" si="1"/>
        <v>0</v>
      </c>
    </row>
    <row r="20" spans="1:14" ht="15.75" x14ac:dyDescent="0.25">
      <c r="A20" s="452">
        <v>44634</v>
      </c>
      <c r="B20" s="437" t="s">
        <v>540</v>
      </c>
      <c r="C20" s="392">
        <v>9004.7999999999993</v>
      </c>
      <c r="D20" s="405"/>
      <c r="E20" s="392"/>
      <c r="F20" s="392">
        <f t="shared" si="0"/>
        <v>9004.7999999999993</v>
      </c>
      <c r="I20" s="370">
        <v>44638</v>
      </c>
      <c r="J20" s="57">
        <v>8795</v>
      </c>
      <c r="K20" s="111">
        <v>10063</v>
      </c>
      <c r="L20" s="476">
        <v>44643</v>
      </c>
      <c r="M20" s="261">
        <v>10063</v>
      </c>
      <c r="N20" s="137">
        <f t="shared" si="1"/>
        <v>0</v>
      </c>
    </row>
    <row r="21" spans="1:14" ht="15.75" x14ac:dyDescent="0.25">
      <c r="A21" s="452">
        <v>44634</v>
      </c>
      <c r="B21" s="437" t="s">
        <v>541</v>
      </c>
      <c r="C21" s="392">
        <v>80090.45</v>
      </c>
      <c r="D21" s="405"/>
      <c r="E21" s="392"/>
      <c r="F21" s="392">
        <f t="shared" si="0"/>
        <v>80090.45</v>
      </c>
      <c r="I21" s="370">
        <v>44639</v>
      </c>
      <c r="J21" s="57">
        <v>8800</v>
      </c>
      <c r="K21" s="111">
        <v>1988</v>
      </c>
      <c r="L21" s="476">
        <v>44643</v>
      </c>
      <c r="M21" s="261">
        <v>1988</v>
      </c>
      <c r="N21" s="137">
        <f t="shared" si="1"/>
        <v>0</v>
      </c>
    </row>
    <row r="22" spans="1:14" ht="18.75" x14ac:dyDescent="0.3">
      <c r="A22" s="452">
        <v>44634</v>
      </c>
      <c r="B22" s="437" t="s">
        <v>542</v>
      </c>
      <c r="C22" s="392">
        <v>7015.6</v>
      </c>
      <c r="D22" s="405"/>
      <c r="E22" s="392"/>
      <c r="F22" s="392">
        <f t="shared" si="0"/>
        <v>7015.6</v>
      </c>
      <c r="G22" s="138"/>
      <c r="I22" s="370">
        <v>44639</v>
      </c>
      <c r="J22" s="57">
        <v>8801</v>
      </c>
      <c r="K22" s="111">
        <v>270</v>
      </c>
      <c r="L22" s="476">
        <v>44643</v>
      </c>
      <c r="M22" s="261">
        <v>270</v>
      </c>
      <c r="N22" s="137">
        <f t="shared" si="1"/>
        <v>0</v>
      </c>
    </row>
    <row r="23" spans="1:14" ht="15.75" x14ac:dyDescent="0.25">
      <c r="A23" s="452">
        <v>44635</v>
      </c>
      <c r="B23" s="437" t="s">
        <v>543</v>
      </c>
      <c r="C23" s="392">
        <v>2559.1999999999998</v>
      </c>
      <c r="D23" s="405"/>
      <c r="E23" s="392"/>
      <c r="F23" s="392">
        <f t="shared" si="0"/>
        <v>2559.1999999999998</v>
      </c>
      <c r="I23" s="370">
        <v>44641</v>
      </c>
      <c r="J23" s="57">
        <v>8810</v>
      </c>
      <c r="K23" s="111">
        <v>1553</v>
      </c>
      <c r="L23" s="476">
        <v>44643</v>
      </c>
      <c r="M23" s="261">
        <v>1553</v>
      </c>
      <c r="N23" s="137">
        <f t="shared" si="1"/>
        <v>0</v>
      </c>
    </row>
    <row r="24" spans="1:14" ht="15.75" x14ac:dyDescent="0.25">
      <c r="A24" s="452">
        <v>44636</v>
      </c>
      <c r="B24" s="437" t="s">
        <v>544</v>
      </c>
      <c r="C24" s="392">
        <v>11187.2</v>
      </c>
      <c r="D24" s="405"/>
      <c r="E24" s="392"/>
      <c r="F24" s="392">
        <f t="shared" si="0"/>
        <v>11187.2</v>
      </c>
      <c r="I24" s="370">
        <v>44642</v>
      </c>
      <c r="J24" s="57">
        <v>8817</v>
      </c>
      <c r="K24" s="111">
        <v>1450</v>
      </c>
      <c r="L24" s="476">
        <v>44643</v>
      </c>
      <c r="M24" s="261">
        <v>1450</v>
      </c>
      <c r="N24" s="137">
        <f t="shared" si="1"/>
        <v>0</v>
      </c>
    </row>
    <row r="25" spans="1:14" ht="15.75" x14ac:dyDescent="0.25">
      <c r="A25" s="452">
        <v>44637</v>
      </c>
      <c r="B25" s="437" t="s">
        <v>545</v>
      </c>
      <c r="C25" s="392">
        <v>51776.46</v>
      </c>
      <c r="D25" s="405"/>
      <c r="E25" s="392"/>
      <c r="F25" s="392">
        <f t="shared" si="0"/>
        <v>51776.46</v>
      </c>
      <c r="I25" s="498" t="s">
        <v>615</v>
      </c>
      <c r="J25" s="499">
        <v>8832</v>
      </c>
      <c r="K25" s="500">
        <v>36766.699999999997</v>
      </c>
      <c r="L25" s="476"/>
      <c r="M25" s="111"/>
      <c r="N25" s="137">
        <f t="shared" si="1"/>
        <v>36766.699999999997</v>
      </c>
    </row>
    <row r="26" spans="1:14" ht="15.75" x14ac:dyDescent="0.25">
      <c r="A26" s="452">
        <v>44638</v>
      </c>
      <c r="B26" s="437" t="s">
        <v>546</v>
      </c>
      <c r="C26" s="392">
        <v>87124.5</v>
      </c>
      <c r="D26" s="405"/>
      <c r="E26" s="392"/>
      <c r="F26" s="392">
        <f t="shared" si="0"/>
        <v>87124.5</v>
      </c>
      <c r="I26" s="501" t="s">
        <v>615</v>
      </c>
      <c r="J26" s="502">
        <v>8834</v>
      </c>
      <c r="K26" s="503">
        <v>6425.6</v>
      </c>
      <c r="L26" s="476"/>
      <c r="M26" s="111"/>
      <c r="N26" s="137">
        <f t="shared" si="1"/>
        <v>43192.299999999996</v>
      </c>
    </row>
    <row r="27" spans="1:14" ht="15.75" x14ac:dyDescent="0.25">
      <c r="A27" s="452">
        <v>44639</v>
      </c>
      <c r="B27" s="437" t="s">
        <v>599</v>
      </c>
      <c r="C27" s="392">
        <v>67449.740000000005</v>
      </c>
      <c r="D27" s="406"/>
      <c r="E27" s="392"/>
      <c r="F27" s="392">
        <f t="shared" si="0"/>
        <v>67449.740000000005</v>
      </c>
      <c r="I27" s="501" t="s">
        <v>616</v>
      </c>
      <c r="J27" s="502">
        <v>8837</v>
      </c>
      <c r="K27" s="503">
        <v>360</v>
      </c>
      <c r="L27" s="476"/>
      <c r="M27" s="111"/>
      <c r="N27" s="137">
        <f t="shared" si="1"/>
        <v>43552.299999999996</v>
      </c>
    </row>
    <row r="28" spans="1:14" ht="15.75" x14ac:dyDescent="0.25">
      <c r="A28" s="452">
        <v>44639</v>
      </c>
      <c r="B28" s="437" t="s">
        <v>600</v>
      </c>
      <c r="C28" s="392">
        <v>4430.8</v>
      </c>
      <c r="D28" s="405"/>
      <c r="E28" s="392"/>
      <c r="F28" s="392">
        <f t="shared" si="0"/>
        <v>4430.8</v>
      </c>
      <c r="I28" s="498" t="s">
        <v>617</v>
      </c>
      <c r="J28" s="499">
        <v>8849</v>
      </c>
      <c r="K28" s="500">
        <v>23962.400000000001</v>
      </c>
      <c r="L28" s="476"/>
      <c r="M28" s="111"/>
      <c r="N28" s="137">
        <f t="shared" si="1"/>
        <v>67514.7</v>
      </c>
    </row>
    <row r="29" spans="1:14" ht="15.75" x14ac:dyDescent="0.25">
      <c r="A29" s="452">
        <v>44639</v>
      </c>
      <c r="B29" s="437" t="s">
        <v>601</v>
      </c>
      <c r="C29" s="392">
        <v>6400</v>
      </c>
      <c r="D29" s="405"/>
      <c r="E29" s="392"/>
      <c r="F29" s="392">
        <f t="shared" si="0"/>
        <v>6400</v>
      </c>
      <c r="I29" s="498" t="s">
        <v>618</v>
      </c>
      <c r="J29" s="499">
        <v>8859</v>
      </c>
      <c r="K29" s="500">
        <v>180</v>
      </c>
      <c r="L29" s="476"/>
      <c r="M29" s="111"/>
      <c r="N29" s="137">
        <f t="shared" si="1"/>
        <v>67694.7</v>
      </c>
    </row>
    <row r="30" spans="1:14" ht="18.75" x14ac:dyDescent="0.3">
      <c r="A30" s="452">
        <v>44641</v>
      </c>
      <c r="B30" s="437" t="s">
        <v>602</v>
      </c>
      <c r="C30" s="392">
        <v>129051.65</v>
      </c>
      <c r="D30" s="405"/>
      <c r="E30" s="392"/>
      <c r="F30" s="392">
        <f t="shared" si="0"/>
        <v>129051.65</v>
      </c>
      <c r="G30" s="138"/>
      <c r="I30" s="501" t="s">
        <v>618</v>
      </c>
      <c r="J30" s="502">
        <v>8863</v>
      </c>
      <c r="K30" s="503">
        <v>44504</v>
      </c>
      <c r="L30" s="476"/>
      <c r="M30" s="69"/>
      <c r="N30" s="137">
        <f t="shared" si="1"/>
        <v>112198.7</v>
      </c>
    </row>
    <row r="31" spans="1:14" ht="15.75" x14ac:dyDescent="0.25">
      <c r="A31" s="452">
        <v>44641</v>
      </c>
      <c r="B31" s="437" t="s">
        <v>603</v>
      </c>
      <c r="C31" s="392">
        <v>9483.7999999999993</v>
      </c>
      <c r="D31" s="405"/>
      <c r="E31" s="392"/>
      <c r="F31" s="392">
        <f t="shared" si="0"/>
        <v>9483.7999999999993</v>
      </c>
      <c r="I31" s="370"/>
      <c r="J31" s="57"/>
      <c r="K31" s="111"/>
      <c r="L31" s="476"/>
      <c r="M31" s="69"/>
      <c r="N31" s="137">
        <f t="shared" si="1"/>
        <v>112198.7</v>
      </c>
    </row>
    <row r="32" spans="1:14" ht="15.75" x14ac:dyDescent="0.25">
      <c r="A32" s="452">
        <v>44642</v>
      </c>
      <c r="B32" s="437" t="s">
        <v>604</v>
      </c>
      <c r="C32" s="392">
        <v>9623.1</v>
      </c>
      <c r="D32" s="405"/>
      <c r="E32" s="392"/>
      <c r="F32" s="392">
        <f t="shared" si="0"/>
        <v>9623.1</v>
      </c>
      <c r="I32" s="370"/>
      <c r="J32" s="57"/>
      <c r="K32" s="111"/>
      <c r="L32" s="476"/>
      <c r="M32" s="69"/>
      <c r="N32" s="137">
        <f t="shared" si="1"/>
        <v>112198.7</v>
      </c>
    </row>
    <row r="33" spans="1:14" ht="15.75" x14ac:dyDescent="0.25">
      <c r="A33" s="452">
        <v>44642</v>
      </c>
      <c r="B33" s="437" t="s">
        <v>605</v>
      </c>
      <c r="C33" s="392">
        <v>869.4</v>
      </c>
      <c r="D33" s="405"/>
      <c r="E33" s="392"/>
      <c r="F33" s="392">
        <f t="shared" si="0"/>
        <v>869.4</v>
      </c>
      <c r="I33" s="370"/>
      <c r="J33" s="57"/>
      <c r="K33" s="111"/>
      <c r="L33" s="476"/>
      <c r="M33" s="69"/>
      <c r="N33" s="137">
        <f t="shared" si="1"/>
        <v>112198.7</v>
      </c>
    </row>
    <row r="34" spans="1:14" ht="15.75" x14ac:dyDescent="0.25">
      <c r="A34" s="452">
        <v>44643</v>
      </c>
      <c r="B34" s="437" t="s">
        <v>606</v>
      </c>
      <c r="C34" s="392">
        <v>7771.4</v>
      </c>
      <c r="D34" s="405"/>
      <c r="E34" s="392"/>
      <c r="F34" s="392">
        <f t="shared" si="0"/>
        <v>7771.4</v>
      </c>
      <c r="I34" s="370"/>
      <c r="J34" s="57"/>
      <c r="K34" s="111"/>
      <c r="L34" s="476"/>
      <c r="M34" s="69"/>
      <c r="N34" s="137">
        <f t="shared" si="1"/>
        <v>112198.7</v>
      </c>
    </row>
    <row r="35" spans="1:14" ht="15.75" x14ac:dyDescent="0.25">
      <c r="A35" s="452">
        <v>44644</v>
      </c>
      <c r="B35" s="437" t="s">
        <v>607</v>
      </c>
      <c r="C35" s="392">
        <v>46801.67</v>
      </c>
      <c r="D35" s="405"/>
      <c r="E35" s="392"/>
      <c r="F35" s="392">
        <f t="shared" si="0"/>
        <v>46801.67</v>
      </c>
      <c r="I35" s="370"/>
      <c r="J35" s="57"/>
      <c r="K35" s="111"/>
      <c r="L35" s="476"/>
      <c r="M35" s="69"/>
      <c r="N35" s="137">
        <f t="shared" si="1"/>
        <v>112198.7</v>
      </c>
    </row>
    <row r="36" spans="1:14" ht="15.75" x14ac:dyDescent="0.25">
      <c r="A36" s="452">
        <v>44645</v>
      </c>
      <c r="B36" s="437" t="s">
        <v>608</v>
      </c>
      <c r="C36" s="392">
        <v>106305.33</v>
      </c>
      <c r="D36" s="405"/>
      <c r="E36" s="392"/>
      <c r="F36" s="392">
        <f t="shared" si="0"/>
        <v>106305.33</v>
      </c>
      <c r="I36" s="370"/>
      <c r="J36" s="57"/>
      <c r="K36" s="111"/>
      <c r="L36" s="476"/>
      <c r="M36" s="69"/>
      <c r="N36" s="137">
        <f t="shared" si="1"/>
        <v>112198.7</v>
      </c>
    </row>
    <row r="37" spans="1:14" ht="15.75" x14ac:dyDescent="0.25">
      <c r="A37" s="452">
        <v>44646</v>
      </c>
      <c r="B37" s="437" t="s">
        <v>609</v>
      </c>
      <c r="C37" s="392">
        <v>49908.18</v>
      </c>
      <c r="D37" s="405"/>
      <c r="E37" s="392"/>
      <c r="F37" s="392">
        <f t="shared" si="0"/>
        <v>49908.18</v>
      </c>
      <c r="I37" s="370"/>
      <c r="J37" s="57"/>
      <c r="K37" s="111"/>
      <c r="L37" s="476"/>
      <c r="M37" s="69"/>
      <c r="N37" s="137">
        <f t="shared" si="1"/>
        <v>112198.7</v>
      </c>
    </row>
    <row r="38" spans="1:14" ht="15.75" x14ac:dyDescent="0.25">
      <c r="A38" s="452"/>
      <c r="B38" s="438"/>
      <c r="C38" s="410"/>
      <c r="D38" s="411"/>
      <c r="E38" s="410"/>
      <c r="F38" s="392">
        <f t="shared" si="0"/>
        <v>0</v>
      </c>
      <c r="I38" s="288"/>
      <c r="J38" s="57"/>
      <c r="K38" s="111"/>
      <c r="L38" s="476"/>
      <c r="M38" s="69"/>
      <c r="N38" s="137">
        <f t="shared" si="1"/>
        <v>112198.7</v>
      </c>
    </row>
    <row r="39" spans="1:14" ht="15.75" x14ac:dyDescent="0.25">
      <c r="A39" s="452"/>
      <c r="B39" s="246"/>
      <c r="C39" s="111"/>
      <c r="D39" s="412"/>
      <c r="E39" s="111"/>
      <c r="F39" s="392">
        <f t="shared" si="0"/>
        <v>0</v>
      </c>
      <c r="I39" s="288"/>
      <c r="J39" s="57"/>
      <c r="K39" s="111"/>
      <c r="L39" s="476"/>
      <c r="M39" s="69"/>
      <c r="N39" s="137">
        <f t="shared" si="1"/>
        <v>112198.7</v>
      </c>
    </row>
    <row r="40" spans="1:14" ht="15.75" x14ac:dyDescent="0.25">
      <c r="A40" s="452"/>
      <c r="B40" s="246"/>
      <c r="C40" s="111"/>
      <c r="D40" s="412"/>
      <c r="E40" s="111"/>
      <c r="F40" s="392">
        <f t="shared" si="0"/>
        <v>0</v>
      </c>
      <c r="I40" s="288"/>
      <c r="J40" s="57"/>
      <c r="K40" s="111"/>
      <c r="L40" s="476"/>
      <c r="M40" s="69"/>
      <c r="N40" s="137">
        <f t="shared" si="1"/>
        <v>112198.7</v>
      </c>
    </row>
    <row r="41" spans="1:14" ht="15.75" x14ac:dyDescent="0.25">
      <c r="A41" s="452"/>
      <c r="B41" s="246"/>
      <c r="C41" s="111"/>
      <c r="D41" s="412"/>
      <c r="E41" s="111"/>
      <c r="F41" s="392">
        <f t="shared" si="0"/>
        <v>0</v>
      </c>
      <c r="I41" s="288"/>
      <c r="J41" s="57"/>
      <c r="K41" s="111"/>
      <c r="L41" s="476"/>
      <c r="M41" s="69"/>
      <c r="N41" s="137">
        <f t="shared" si="1"/>
        <v>112198.7</v>
      </c>
    </row>
    <row r="42" spans="1:14" ht="15.75" x14ac:dyDescent="0.25">
      <c r="A42" s="453"/>
      <c r="B42" s="246"/>
      <c r="C42" s="111"/>
      <c r="D42" s="253"/>
      <c r="E42" s="69"/>
      <c r="F42" s="392">
        <f t="shared" si="0"/>
        <v>0</v>
      </c>
      <c r="I42" s="288"/>
      <c r="J42" s="57"/>
      <c r="K42" s="111"/>
      <c r="L42" s="476"/>
      <c r="M42" s="69"/>
      <c r="N42" s="137">
        <f t="shared" si="1"/>
        <v>112198.7</v>
      </c>
    </row>
    <row r="43" spans="1:14" ht="15.75" x14ac:dyDescent="0.25">
      <c r="A43" s="453"/>
      <c r="B43" s="439"/>
      <c r="C43" s="413"/>
      <c r="D43" s="413"/>
      <c r="E43" s="413"/>
      <c r="F43" s="392">
        <f t="shared" si="0"/>
        <v>0</v>
      </c>
      <c r="I43" s="288"/>
      <c r="J43" s="57"/>
      <c r="K43" s="111"/>
      <c r="L43" s="476"/>
      <c r="M43" s="69"/>
      <c r="N43" s="137">
        <f t="shared" si="1"/>
        <v>112198.7</v>
      </c>
    </row>
    <row r="44" spans="1:14" ht="15" customHeight="1" x14ac:dyDescent="0.25">
      <c r="A44" s="453"/>
      <c r="B44" s="439"/>
      <c r="C44" s="413"/>
      <c r="D44" s="413"/>
      <c r="E44" s="413"/>
      <c r="F44" s="392">
        <f t="shared" si="0"/>
        <v>0</v>
      </c>
      <c r="I44" s="288"/>
      <c r="J44" s="57"/>
      <c r="K44" s="111"/>
      <c r="L44" s="476"/>
      <c r="M44" s="69"/>
      <c r="N44" s="137">
        <f t="shared" si="1"/>
        <v>112198.7</v>
      </c>
    </row>
    <row r="45" spans="1:14" ht="15.75" x14ac:dyDescent="0.25">
      <c r="A45" s="453"/>
      <c r="B45" s="439"/>
      <c r="C45" s="413"/>
      <c r="D45" s="413"/>
      <c r="E45" s="413"/>
      <c r="F45" s="392">
        <f t="shared" si="0"/>
        <v>0</v>
      </c>
      <c r="I45" s="288"/>
      <c r="J45" s="57"/>
      <c r="K45" s="111"/>
      <c r="L45" s="476"/>
      <c r="M45" s="69"/>
      <c r="N45" s="137">
        <f t="shared" si="1"/>
        <v>112198.7</v>
      </c>
    </row>
    <row r="46" spans="1:14" ht="15.75" x14ac:dyDescent="0.25">
      <c r="A46" s="453"/>
      <c r="B46" s="246"/>
      <c r="C46" s="111"/>
      <c r="D46" s="253"/>
      <c r="E46" s="69"/>
      <c r="F46" s="392">
        <f t="shared" si="0"/>
        <v>0</v>
      </c>
      <c r="I46" s="288"/>
      <c r="J46" s="57"/>
      <c r="K46" s="111"/>
      <c r="L46" s="476"/>
      <c r="M46" s="69"/>
      <c r="N46" s="137">
        <f t="shared" si="1"/>
        <v>112198.7</v>
      </c>
    </row>
    <row r="47" spans="1:14" ht="15.75" x14ac:dyDescent="0.25">
      <c r="A47" s="454"/>
      <c r="B47" s="246"/>
      <c r="C47" s="111"/>
      <c r="D47" s="253"/>
      <c r="E47" s="69"/>
      <c r="F47" s="137">
        <f t="shared" ref="F47:F78" si="2">F46+C47-E47</f>
        <v>0</v>
      </c>
      <c r="I47" s="350"/>
      <c r="J47" s="415"/>
      <c r="K47" s="34"/>
      <c r="L47" s="416"/>
      <c r="M47" s="215"/>
      <c r="N47" s="137">
        <f t="shared" si="1"/>
        <v>112198.7</v>
      </c>
    </row>
    <row r="48" spans="1:14" ht="15.75" x14ac:dyDescent="0.25">
      <c r="A48" s="454"/>
      <c r="B48" s="246"/>
      <c r="C48" s="111"/>
      <c r="D48" s="253"/>
      <c r="E48" s="69"/>
      <c r="F48" s="137">
        <f t="shared" si="2"/>
        <v>0</v>
      </c>
      <c r="I48" s="348"/>
      <c r="J48" s="414"/>
      <c r="K48" s="414"/>
      <c r="L48" s="477"/>
      <c r="M48" s="206"/>
      <c r="N48" s="137">
        <f>N47+K48-M48</f>
        <v>112198.7</v>
      </c>
    </row>
    <row r="49" spans="1:14" ht="15.75" x14ac:dyDescent="0.25">
      <c r="A49" s="134"/>
      <c r="B49" s="139"/>
      <c r="C49" s="69"/>
      <c r="D49" s="253"/>
      <c r="E49" s="69"/>
      <c r="F49" s="137">
        <f t="shared" si="2"/>
        <v>0</v>
      </c>
      <c r="I49" s="348"/>
      <c r="J49" s="414"/>
      <c r="K49" s="414"/>
      <c r="L49" s="477"/>
      <c r="M49" s="206"/>
      <c r="N49" s="137">
        <f t="shared" si="1"/>
        <v>112198.7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134"/>
      <c r="J50" s="408"/>
      <c r="K50" s="215">
        <v>0</v>
      </c>
      <c r="L50" s="409"/>
      <c r="M50" s="69"/>
      <c r="N50" s="137">
        <f t="shared" si="1"/>
        <v>112198.7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2"/>
        <v>0</v>
      </c>
      <c r="I51" s="134"/>
      <c r="J51" s="139"/>
      <c r="K51" s="69"/>
      <c r="L51" s="140"/>
      <c r="M51" s="69"/>
      <c r="N51" s="137">
        <f t="shared" si="1"/>
        <v>112198.7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2"/>
        <v>0</v>
      </c>
      <c r="I52" s="134"/>
      <c r="J52" s="139"/>
      <c r="K52" s="69"/>
      <c r="L52" s="140"/>
      <c r="M52" s="69"/>
      <c r="N52" s="137">
        <f t="shared" si="1"/>
        <v>112198.7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2"/>
        <v>0</v>
      </c>
      <c r="I53" s="134"/>
      <c r="J53" s="139"/>
      <c r="K53" s="69"/>
      <c r="L53" s="140"/>
      <c r="M53" s="69"/>
      <c r="N53" s="137">
        <f t="shared" si="1"/>
        <v>112198.7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2"/>
        <v>0</v>
      </c>
      <c r="I54" s="134"/>
      <c r="J54" s="139"/>
      <c r="K54" s="69"/>
      <c r="L54" s="140"/>
      <c r="M54" s="69"/>
      <c r="N54" s="137">
        <f t="shared" si="1"/>
        <v>112198.7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2"/>
        <v>0</v>
      </c>
      <c r="I55" s="134"/>
      <c r="J55" s="139"/>
      <c r="K55" s="69"/>
      <c r="L55" s="140"/>
      <c r="M55" s="69"/>
      <c r="N55" s="137">
        <f t="shared" si="1"/>
        <v>112198.7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2"/>
        <v>0</v>
      </c>
      <c r="I56" s="134"/>
      <c r="J56" s="139"/>
      <c r="K56" s="69"/>
      <c r="L56" s="140"/>
      <c r="M56" s="69"/>
      <c r="N56" s="137">
        <f t="shared" si="1"/>
        <v>112198.7</v>
      </c>
    </row>
    <row r="57" spans="1:14" ht="15.75" hidden="1" x14ac:dyDescent="0.25">
      <c r="A57" s="134"/>
      <c r="B57" s="139"/>
      <c r="C57" s="69"/>
      <c r="D57" s="253"/>
      <c r="E57" s="69"/>
      <c r="F57" s="137">
        <f t="shared" si="2"/>
        <v>0</v>
      </c>
      <c r="I57" s="134"/>
      <c r="J57" s="139"/>
      <c r="K57" s="69"/>
      <c r="L57" s="140"/>
      <c r="M57" s="69"/>
      <c r="N57" s="137">
        <f t="shared" si="1"/>
        <v>112198.7</v>
      </c>
    </row>
    <row r="58" spans="1:14" ht="15.75" hidden="1" x14ac:dyDescent="0.25">
      <c r="A58" s="134"/>
      <c r="B58" s="139"/>
      <c r="C58" s="69"/>
      <c r="D58" s="253"/>
      <c r="E58" s="69"/>
      <c r="F58" s="137">
        <f t="shared" si="2"/>
        <v>0</v>
      </c>
      <c r="I58" s="134"/>
      <c r="J58" s="139"/>
      <c r="K58" s="69"/>
      <c r="L58" s="140"/>
      <c r="M58" s="69"/>
      <c r="N58" s="137">
        <f t="shared" si="1"/>
        <v>112198.7</v>
      </c>
    </row>
    <row r="59" spans="1:14" ht="15.75" hidden="1" x14ac:dyDescent="0.25">
      <c r="A59" s="134"/>
      <c r="B59" s="139"/>
      <c r="C59" s="69"/>
      <c r="D59" s="253"/>
      <c r="E59" s="69"/>
      <c r="F59" s="137">
        <f t="shared" si="2"/>
        <v>0</v>
      </c>
      <c r="I59" s="134"/>
      <c r="J59" s="139"/>
      <c r="K59" s="69"/>
      <c r="L59" s="140"/>
      <c r="M59" s="69"/>
      <c r="N59" s="137">
        <f t="shared" si="1"/>
        <v>112198.7</v>
      </c>
    </row>
    <row r="60" spans="1:14" ht="15.75" hidden="1" x14ac:dyDescent="0.25">
      <c r="A60" s="134"/>
      <c r="B60" s="139"/>
      <c r="C60" s="69"/>
      <c r="D60" s="253"/>
      <c r="E60" s="69"/>
      <c r="F60" s="137">
        <f t="shared" si="2"/>
        <v>0</v>
      </c>
      <c r="I60" s="134"/>
      <c r="J60" s="139"/>
      <c r="K60" s="69"/>
      <c r="L60" s="140"/>
      <c r="M60" s="69"/>
      <c r="N60" s="137">
        <f t="shared" si="1"/>
        <v>112198.7</v>
      </c>
    </row>
    <row r="61" spans="1:14" ht="15.75" hidden="1" x14ac:dyDescent="0.25">
      <c r="A61" s="134"/>
      <c r="B61" s="139"/>
      <c r="C61" s="69"/>
      <c r="D61" s="253"/>
      <c r="E61" s="69"/>
      <c r="F61" s="137">
        <f t="shared" si="2"/>
        <v>0</v>
      </c>
      <c r="I61" s="134"/>
      <c r="J61" s="139"/>
      <c r="K61" s="69"/>
      <c r="L61" s="140"/>
      <c r="M61" s="69"/>
      <c r="N61" s="137">
        <f t="shared" si="1"/>
        <v>112198.7</v>
      </c>
    </row>
    <row r="62" spans="1:14" ht="15.75" hidden="1" x14ac:dyDescent="0.25">
      <c r="A62" s="134"/>
      <c r="B62" s="139"/>
      <c r="C62" s="69"/>
      <c r="D62" s="254"/>
      <c r="E62" s="69"/>
      <c r="F62" s="137">
        <f t="shared" si="2"/>
        <v>0</v>
      </c>
      <c r="I62" s="356"/>
      <c r="J62" s="357"/>
      <c r="K62" s="34"/>
      <c r="L62" s="147"/>
      <c r="M62" s="34"/>
      <c r="N62" s="137">
        <f t="shared" si="1"/>
        <v>112198.7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2"/>
        <v>0</v>
      </c>
      <c r="I63" s="356"/>
      <c r="J63" s="357"/>
      <c r="K63" s="34"/>
      <c r="L63" s="147"/>
      <c r="M63" s="34"/>
      <c r="N63" s="137">
        <f t="shared" si="1"/>
        <v>112198.7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2"/>
        <v>0</v>
      </c>
      <c r="I64" s="356"/>
      <c r="J64" s="357"/>
      <c r="K64" s="34"/>
      <c r="L64" s="147"/>
      <c r="M64" s="34"/>
      <c r="N64" s="137">
        <f t="shared" si="1"/>
        <v>112198.7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2"/>
        <v>0</v>
      </c>
      <c r="I65" s="356"/>
      <c r="J65" s="357"/>
      <c r="K65" s="34"/>
      <c r="L65" s="147"/>
      <c r="M65" s="34"/>
      <c r="N65" s="137">
        <f t="shared" si="1"/>
        <v>112198.7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2"/>
        <v>0</v>
      </c>
      <c r="I66" s="356"/>
      <c r="J66" s="357"/>
      <c r="K66" s="34"/>
      <c r="L66" s="147"/>
      <c r="M66" s="34"/>
      <c r="N66" s="137">
        <f t="shared" si="1"/>
        <v>112198.7</v>
      </c>
    </row>
    <row r="67" spans="1:14" ht="15.75" hidden="1" x14ac:dyDescent="0.25">
      <c r="A67" s="356"/>
      <c r="B67" s="357"/>
      <c r="C67" s="34"/>
      <c r="D67" s="118"/>
      <c r="E67" s="34"/>
      <c r="F67" s="137">
        <f t="shared" si="2"/>
        <v>0</v>
      </c>
      <c r="I67" s="356"/>
      <c r="J67" s="357"/>
      <c r="K67" s="34"/>
      <c r="L67" s="147"/>
      <c r="M67" s="34"/>
      <c r="N67" s="137">
        <f t="shared" si="1"/>
        <v>112198.7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2"/>
        <v>0</v>
      </c>
      <c r="I68" s="134"/>
      <c r="J68" s="139"/>
      <c r="K68" s="69"/>
      <c r="L68" s="148"/>
      <c r="M68" s="69"/>
      <c r="N68" s="137">
        <f t="shared" si="1"/>
        <v>112198.7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si="2"/>
        <v>0</v>
      </c>
      <c r="I69" s="134"/>
      <c r="J69" s="139"/>
      <c r="K69" s="69"/>
      <c r="L69" s="148"/>
      <c r="M69" s="69"/>
      <c r="N69" s="137">
        <f t="shared" ref="N69:N78" si="3">N68+K69-M69</f>
        <v>112198.7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2"/>
        <v>0</v>
      </c>
      <c r="I70" s="134"/>
      <c r="J70" s="139"/>
      <c r="K70" s="69"/>
      <c r="L70" s="148"/>
      <c r="M70" s="69"/>
      <c r="N70" s="137">
        <f t="shared" si="3"/>
        <v>112198.7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2"/>
        <v>0</v>
      </c>
      <c r="I71" s="134"/>
      <c r="J71" s="139"/>
      <c r="K71" s="69"/>
      <c r="L71" s="148"/>
      <c r="M71" s="69"/>
      <c r="N71" s="137">
        <f t="shared" si="3"/>
        <v>112198.7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si="2"/>
        <v>0</v>
      </c>
      <c r="I72" s="134"/>
      <c r="J72" s="139"/>
      <c r="K72" s="69"/>
      <c r="L72" s="148"/>
      <c r="M72" s="69"/>
      <c r="N72" s="137">
        <f t="shared" si="3"/>
        <v>112198.7</v>
      </c>
    </row>
    <row r="73" spans="1:14" ht="15.75" hidden="1" x14ac:dyDescent="0.25">
      <c r="A73" s="134"/>
      <c r="B73" s="139"/>
      <c r="C73" s="69"/>
      <c r="D73" s="254"/>
      <c r="E73" s="69"/>
      <c r="F73" s="137">
        <f t="shared" si="2"/>
        <v>0</v>
      </c>
      <c r="I73" s="134"/>
      <c r="J73" s="139"/>
      <c r="K73" s="69"/>
      <c r="L73" s="148"/>
      <c r="M73" s="69"/>
      <c r="N73" s="137">
        <f t="shared" si="3"/>
        <v>112198.7</v>
      </c>
    </row>
    <row r="74" spans="1:14" ht="15.75" hidden="1" x14ac:dyDescent="0.25">
      <c r="A74" s="134"/>
      <c r="B74" s="139"/>
      <c r="C74" s="69"/>
      <c r="D74" s="254"/>
      <c r="E74" s="69"/>
      <c r="F74" s="137">
        <f t="shared" si="2"/>
        <v>0</v>
      </c>
      <c r="I74" s="134"/>
      <c r="J74" s="139"/>
      <c r="K74" s="69"/>
      <c r="L74" s="148"/>
      <c r="M74" s="69"/>
      <c r="N74" s="137">
        <f t="shared" si="3"/>
        <v>112198.7</v>
      </c>
    </row>
    <row r="75" spans="1:14" ht="15.75" hidden="1" x14ac:dyDescent="0.25">
      <c r="A75" s="134"/>
      <c r="B75" s="139"/>
      <c r="C75" s="69"/>
      <c r="D75" s="254"/>
      <c r="E75" s="69"/>
      <c r="F75" s="137">
        <f t="shared" si="2"/>
        <v>0</v>
      </c>
      <c r="I75" s="134"/>
      <c r="J75" s="139"/>
      <c r="K75" s="69"/>
      <c r="L75" s="148"/>
      <c r="M75" s="69"/>
      <c r="N75" s="137">
        <f t="shared" si="3"/>
        <v>112198.7</v>
      </c>
    </row>
    <row r="76" spans="1:14" ht="15.75" hidden="1" x14ac:dyDescent="0.25">
      <c r="A76" s="134"/>
      <c r="B76" s="139"/>
      <c r="C76" s="69"/>
      <c r="D76" s="254"/>
      <c r="E76" s="69"/>
      <c r="F76" s="137">
        <f t="shared" si="2"/>
        <v>0</v>
      </c>
      <c r="I76" s="134"/>
      <c r="J76" s="139"/>
      <c r="K76" s="69"/>
      <c r="L76" s="148"/>
      <c r="M76" s="69"/>
      <c r="N76" s="137">
        <f t="shared" si="3"/>
        <v>112198.7</v>
      </c>
    </row>
    <row r="77" spans="1:14" ht="15.75" hidden="1" x14ac:dyDescent="0.25">
      <c r="A77" s="134"/>
      <c r="B77" s="139"/>
      <c r="C77" s="69"/>
      <c r="D77" s="254"/>
      <c r="E77" s="69"/>
      <c r="F77" s="137">
        <f t="shared" si="2"/>
        <v>0</v>
      </c>
      <c r="I77" s="134"/>
      <c r="J77" s="139"/>
      <c r="K77" s="69"/>
      <c r="L77" s="148"/>
      <c r="M77" s="69"/>
      <c r="N77" s="137">
        <f t="shared" si="3"/>
        <v>112198.7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 t="shared" si="2"/>
        <v>0</v>
      </c>
      <c r="I78" s="149"/>
      <c r="J78" s="150"/>
      <c r="K78" s="151">
        <v>0</v>
      </c>
      <c r="L78" s="152"/>
      <c r="M78" s="151"/>
      <c r="N78" s="137">
        <f t="shared" si="3"/>
        <v>112198.7</v>
      </c>
    </row>
    <row r="79" spans="1:14" ht="19.5" thickTop="1" x14ac:dyDescent="0.3">
      <c r="B79" s="440"/>
      <c r="C79" s="212">
        <f>SUM(C3:C78)</f>
        <v>1360260.3199999998</v>
      </c>
      <c r="D79" s="407"/>
      <c r="E79" s="395">
        <f>SUM(E3:E78)</f>
        <v>449387.88999999996</v>
      </c>
      <c r="F79" s="153">
        <f>SUM(F3:F78)</f>
        <v>910872.43000000028</v>
      </c>
      <c r="K79" s="209">
        <f>SUM(K3:K78)</f>
        <v>206286.09999999998</v>
      </c>
      <c r="L79" s="478"/>
      <c r="M79" s="209">
        <f>SUM(M3:M78)</f>
        <v>94087.4</v>
      </c>
      <c r="N79" s="153">
        <f>N78</f>
        <v>112198.7</v>
      </c>
    </row>
    <row r="80" spans="1:14" ht="15.75" thickBot="1" x14ac:dyDescent="0.3">
      <c r="B80" s="441"/>
      <c r="C80" s="214"/>
      <c r="D80" s="256"/>
      <c r="E80" s="3"/>
      <c r="F80" s="571" t="s">
        <v>207</v>
      </c>
      <c r="K80" s="1"/>
      <c r="L80" s="97"/>
      <c r="M80" s="3"/>
      <c r="N80" s="1"/>
    </row>
    <row r="81" spans="1:14" x14ac:dyDescent="0.25">
      <c r="B81" s="163"/>
      <c r="C81" s="1"/>
      <c r="D81" s="256"/>
      <c r="E81" s="3"/>
      <c r="F81" s="572"/>
      <c r="K81" s="1"/>
      <c r="L81" s="97"/>
      <c r="M81" s="3"/>
      <c r="N81" s="1"/>
    </row>
    <row r="82" spans="1:14" ht="16.5" thickBot="1" x14ac:dyDescent="0.3">
      <c r="A82" s="456"/>
      <c r="B82" s="442"/>
      <c r="I82" s="482" t="s">
        <v>596</v>
      </c>
      <c r="J82" s="483"/>
      <c r="K82" s="484"/>
      <c r="L82" s="485"/>
      <c r="M82" s="484"/>
    </row>
    <row r="83" spans="1:14" x14ac:dyDescent="0.25">
      <c r="A83" s="456"/>
      <c r="B83" s="442"/>
      <c r="I83" s="609" t="s">
        <v>594</v>
      </c>
      <c r="J83" s="610"/>
    </row>
    <row r="84" spans="1:14" ht="15.75" thickBot="1" x14ac:dyDescent="0.3">
      <c r="A84" s="456"/>
      <c r="B84" s="442"/>
      <c r="I84" s="611"/>
      <c r="J84" s="612"/>
    </row>
    <row r="85" spans="1:14" x14ac:dyDescent="0.25">
      <c r="A85" s="456"/>
      <c r="B85" s="442"/>
      <c r="F85"/>
      <c r="I85"/>
      <c r="J85" s="194"/>
      <c r="N85"/>
    </row>
    <row r="86" spans="1:14" x14ac:dyDescent="0.25">
      <c r="A86" s="456"/>
      <c r="B86" s="442"/>
      <c r="F86"/>
      <c r="I86"/>
      <c r="J86" s="194"/>
      <c r="N86"/>
    </row>
    <row r="87" spans="1:14" x14ac:dyDescent="0.25">
      <c r="A87" s="456"/>
      <c r="B87" s="442"/>
      <c r="F87"/>
      <c r="I87"/>
      <c r="J87" s="194"/>
      <c r="N87"/>
    </row>
    <row r="88" spans="1:14" x14ac:dyDescent="0.25">
      <c r="A88" s="456"/>
      <c r="B88" s="442"/>
      <c r="F88"/>
      <c r="I88"/>
      <c r="J88" s="194"/>
      <c r="N88"/>
    </row>
    <row r="89" spans="1:14" ht="15.75" x14ac:dyDescent="0.25">
      <c r="A89" s="493">
        <v>44648</v>
      </c>
      <c r="B89" s="494" t="s">
        <v>610</v>
      </c>
      <c r="C89" s="495">
        <v>10026.200000000001</v>
      </c>
      <c r="F89"/>
      <c r="I89"/>
      <c r="J89" s="194"/>
      <c r="N89"/>
    </row>
    <row r="90" spans="1:14" ht="15.75" x14ac:dyDescent="0.25">
      <c r="A90" s="493">
        <v>44649</v>
      </c>
      <c r="B90" s="496" t="s">
        <v>611</v>
      </c>
      <c r="C90" s="489">
        <v>94987.44</v>
      </c>
      <c r="F90"/>
      <c r="I90"/>
      <c r="J90" s="194"/>
      <c r="N90"/>
    </row>
    <row r="91" spans="1:14" ht="15.75" x14ac:dyDescent="0.25">
      <c r="A91" s="493">
        <v>44650</v>
      </c>
      <c r="B91" s="496" t="s">
        <v>612</v>
      </c>
      <c r="C91" s="489">
        <v>8900.25</v>
      </c>
      <c r="F91"/>
      <c r="I91"/>
      <c r="J91" s="194"/>
      <c r="N91"/>
    </row>
    <row r="92" spans="1:14" ht="15.75" x14ac:dyDescent="0.25">
      <c r="A92" s="493">
        <v>44650</v>
      </c>
      <c r="B92" s="496" t="s">
        <v>613</v>
      </c>
      <c r="C92" s="489">
        <v>8045.4</v>
      </c>
      <c r="F92"/>
      <c r="I92"/>
      <c r="J92" s="194"/>
      <c r="N92"/>
    </row>
    <row r="93" spans="1:14" ht="15.75" x14ac:dyDescent="0.25">
      <c r="A93" s="497">
        <v>44651</v>
      </c>
      <c r="B93" s="496" t="s">
        <v>614</v>
      </c>
      <c r="C93" s="489">
        <v>41855.9</v>
      </c>
      <c r="F93"/>
      <c r="I93"/>
      <c r="J93" s="194"/>
      <c r="N93"/>
    </row>
    <row r="94" spans="1:14" x14ac:dyDescent="0.25">
      <c r="A94" s="456"/>
      <c r="B94" s="442"/>
      <c r="E94"/>
      <c r="F94"/>
      <c r="I94"/>
      <c r="J94" s="194"/>
      <c r="M94"/>
      <c r="N94"/>
    </row>
    <row r="95" spans="1:14" x14ac:dyDescent="0.25">
      <c r="A95" s="456"/>
      <c r="B95" s="442"/>
      <c r="E95"/>
      <c r="F95"/>
      <c r="I95"/>
      <c r="J95" s="194"/>
      <c r="M95"/>
      <c r="N95"/>
    </row>
    <row r="96" spans="1:14" x14ac:dyDescent="0.25">
      <c r="A96" s="456"/>
      <c r="B96" s="442"/>
      <c r="E96"/>
      <c r="F96"/>
      <c r="I96"/>
      <c r="J96" s="194"/>
      <c r="M96"/>
      <c r="N96"/>
    </row>
    <row r="97" spans="1:14" x14ac:dyDescent="0.25">
      <c r="A97" s="456"/>
      <c r="B97" s="442"/>
      <c r="E97"/>
      <c r="F97"/>
      <c r="I97"/>
      <c r="J97" s="194"/>
      <c r="M97"/>
      <c r="N97"/>
    </row>
    <row r="98" spans="1:14" x14ac:dyDescent="0.25">
      <c r="A98" s="456"/>
      <c r="B98" s="442"/>
      <c r="E98"/>
      <c r="F98"/>
      <c r="I98"/>
      <c r="J98" s="194"/>
      <c r="M98"/>
      <c r="N98"/>
    </row>
    <row r="99" spans="1:14" x14ac:dyDescent="0.25">
      <c r="A99" s="456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2">
    <mergeCell ref="F80:F81"/>
    <mergeCell ref="I83:J8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Z80"/>
  <sheetViews>
    <sheetView tabSelected="1" topLeftCell="H16" workbookViewId="0">
      <selection activeCell="R24" sqref="R24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11.85546875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533"/>
      <c r="C1" s="575" t="s">
        <v>620</v>
      </c>
      <c r="D1" s="576"/>
      <c r="E1" s="576"/>
      <c r="F1" s="576"/>
      <c r="G1" s="576"/>
      <c r="H1" s="576"/>
      <c r="I1" s="576"/>
      <c r="J1" s="576"/>
      <c r="K1" s="576"/>
      <c r="L1" s="576"/>
      <c r="M1" s="576"/>
    </row>
    <row r="2" spans="1:25" ht="16.5" thickBot="1" x14ac:dyDescent="0.3">
      <c r="B2" s="534"/>
      <c r="C2" s="3"/>
      <c r="H2" s="5"/>
      <c r="I2" s="6"/>
      <c r="J2" s="7"/>
      <c r="L2" s="8"/>
      <c r="M2" s="6"/>
      <c r="N2" s="9"/>
    </row>
    <row r="3" spans="1:25" ht="21.75" thickBot="1" x14ac:dyDescent="0.35">
      <c r="B3" s="537" t="s">
        <v>0</v>
      </c>
      <c r="C3" s="538"/>
      <c r="D3" s="10"/>
      <c r="E3" s="11"/>
      <c r="F3" s="11"/>
      <c r="H3" s="539" t="s">
        <v>26</v>
      </c>
      <c r="I3" s="539"/>
      <c r="K3" s="165"/>
      <c r="L3" s="13"/>
      <c r="M3" s="14"/>
      <c r="P3" s="563" t="s">
        <v>6</v>
      </c>
      <c r="R3" s="573" t="s">
        <v>216</v>
      </c>
    </row>
    <row r="4" spans="1:25" ht="32.25" thickTop="1" thickBot="1" x14ac:dyDescent="0.35">
      <c r="A4" s="15" t="s">
        <v>1</v>
      </c>
      <c r="B4" s="16"/>
      <c r="C4" s="17">
        <v>1792817.68</v>
      </c>
      <c r="D4" s="18">
        <v>44647</v>
      </c>
      <c r="E4" s="540" t="s">
        <v>2</v>
      </c>
      <c r="F4" s="541"/>
      <c r="H4" s="542" t="s">
        <v>3</v>
      </c>
      <c r="I4" s="543"/>
      <c r="J4" s="19"/>
      <c r="K4" s="166"/>
      <c r="L4" s="20"/>
      <c r="M4" s="21" t="s">
        <v>4</v>
      </c>
      <c r="N4" s="22" t="s">
        <v>5</v>
      </c>
      <c r="P4" s="564"/>
      <c r="Q4" s="322" t="s">
        <v>217</v>
      </c>
      <c r="R4" s="574"/>
      <c r="W4" s="546" t="s">
        <v>124</v>
      </c>
      <c r="X4" s="546"/>
      <c r="Y4" s="227"/>
    </row>
    <row r="5" spans="1:25" ht="18" thickBot="1" x14ac:dyDescent="0.35">
      <c r="A5" s="23" t="s">
        <v>7</v>
      </c>
      <c r="B5" s="24">
        <v>44648</v>
      </c>
      <c r="C5" s="25">
        <v>3368</v>
      </c>
      <c r="D5" s="26" t="s">
        <v>621</v>
      </c>
      <c r="E5" s="27">
        <v>44648</v>
      </c>
      <c r="F5" s="28">
        <v>121665</v>
      </c>
      <c r="G5" s="2"/>
      <c r="H5" s="29">
        <v>44648</v>
      </c>
      <c r="I5" s="30">
        <v>1321</v>
      </c>
      <c r="J5" s="37"/>
      <c r="K5" s="31"/>
      <c r="L5" s="9"/>
      <c r="M5" s="32">
        <v>66588</v>
      </c>
      <c r="N5" s="33">
        <v>50388</v>
      </c>
      <c r="O5" s="318"/>
      <c r="P5" s="34">
        <f>N5+M5+L5+I5+C5</f>
        <v>121665</v>
      </c>
      <c r="Q5" s="325">
        <f>P5-F5</f>
        <v>0</v>
      </c>
      <c r="R5" s="379">
        <v>0</v>
      </c>
      <c r="S5" s="324"/>
      <c r="W5" s="546"/>
      <c r="X5" s="546"/>
      <c r="Y5" s="233"/>
    </row>
    <row r="6" spans="1:25" ht="18" thickBot="1" x14ac:dyDescent="0.35">
      <c r="A6" s="23"/>
      <c r="B6" s="24">
        <v>44649</v>
      </c>
      <c r="C6" s="25">
        <v>20069.5</v>
      </c>
      <c r="D6" s="35" t="s">
        <v>622</v>
      </c>
      <c r="E6" s="27">
        <v>44649</v>
      </c>
      <c r="F6" s="28">
        <v>63399</v>
      </c>
      <c r="G6" s="2"/>
      <c r="H6" s="36">
        <v>44649</v>
      </c>
      <c r="I6" s="30">
        <v>1812.5</v>
      </c>
      <c r="J6" s="37"/>
      <c r="K6" s="38"/>
      <c r="L6" s="39"/>
      <c r="M6" s="32">
        <v>22578</v>
      </c>
      <c r="N6" s="33">
        <v>18939</v>
      </c>
      <c r="O6" s="2"/>
      <c r="P6" s="39">
        <f>N6+M6+L6+I6+C6</f>
        <v>63399</v>
      </c>
      <c r="Q6" s="325">
        <f t="shared" ref="Q6:Q32" si="0"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44650</v>
      </c>
      <c r="C7" s="25">
        <v>5606</v>
      </c>
      <c r="D7" s="40" t="s">
        <v>623</v>
      </c>
      <c r="E7" s="27">
        <v>44650</v>
      </c>
      <c r="F7" s="28">
        <v>87430</v>
      </c>
      <c r="G7" s="2"/>
      <c r="H7" s="36">
        <v>44650</v>
      </c>
      <c r="I7" s="30">
        <v>1580</v>
      </c>
      <c r="J7" s="37"/>
      <c r="K7" s="38"/>
      <c r="L7" s="39"/>
      <c r="M7" s="32">
        <v>45014</v>
      </c>
      <c r="N7" s="33">
        <v>36285</v>
      </c>
      <c r="O7" s="224"/>
      <c r="P7" s="39">
        <f>N7+M7+L7+I7+C7</f>
        <v>88485</v>
      </c>
      <c r="Q7" s="325">
        <v>0</v>
      </c>
      <c r="R7" s="388">
        <v>1055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44651</v>
      </c>
      <c r="C8" s="25">
        <v>13705</v>
      </c>
      <c r="D8" s="42" t="s">
        <v>624</v>
      </c>
      <c r="E8" s="27">
        <v>44651</v>
      </c>
      <c r="F8" s="28">
        <v>76401</v>
      </c>
      <c r="G8" s="2"/>
      <c r="H8" s="36">
        <v>44651</v>
      </c>
      <c r="I8" s="30">
        <v>2835</v>
      </c>
      <c r="J8" s="43"/>
      <c r="K8" s="38"/>
      <c r="L8" s="39"/>
      <c r="M8" s="32">
        <v>38613</v>
      </c>
      <c r="N8" s="33">
        <v>21248</v>
      </c>
      <c r="O8" s="2"/>
      <c r="P8" s="39">
        <f t="shared" ref="P8:P32" si="1">N8+M8+L8+I8+C8</f>
        <v>76401</v>
      </c>
      <c r="Q8" s="325">
        <f t="shared" si="0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44652</v>
      </c>
      <c r="C9" s="25">
        <v>12457</v>
      </c>
      <c r="D9" s="42" t="s">
        <v>625</v>
      </c>
      <c r="E9" s="27">
        <v>44652</v>
      </c>
      <c r="F9" s="28">
        <v>101172</v>
      </c>
      <c r="G9" s="2"/>
      <c r="H9" s="36">
        <v>44652</v>
      </c>
      <c r="I9" s="30">
        <v>7222</v>
      </c>
      <c r="J9" s="37"/>
      <c r="K9" s="223"/>
      <c r="L9" s="39"/>
      <c r="M9" s="32">
        <v>50714.5</v>
      </c>
      <c r="N9" s="33">
        <v>30778</v>
      </c>
      <c r="O9" s="2"/>
      <c r="P9" s="39">
        <f t="shared" si="1"/>
        <v>101171.5</v>
      </c>
      <c r="Q9" s="317">
        <f t="shared" si="0"/>
        <v>-0.5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44653</v>
      </c>
      <c r="C10" s="25">
        <v>7464</v>
      </c>
      <c r="D10" s="40" t="s">
        <v>626</v>
      </c>
      <c r="E10" s="27">
        <v>44653</v>
      </c>
      <c r="F10" s="28">
        <v>125353</v>
      </c>
      <c r="G10" s="2"/>
      <c r="H10" s="36">
        <v>44653</v>
      </c>
      <c r="I10" s="30">
        <v>5404</v>
      </c>
      <c r="J10" s="37">
        <v>44653</v>
      </c>
      <c r="K10" s="167" t="s">
        <v>627</v>
      </c>
      <c r="L10" s="45">
        <v>18725.98</v>
      </c>
      <c r="M10" s="32">
        <v>45200</v>
      </c>
      <c r="N10" s="33">
        <v>48562</v>
      </c>
      <c r="O10" s="2"/>
      <c r="P10" s="39">
        <f>N10+M10+L10+I10+C10</f>
        <v>125355.98</v>
      </c>
      <c r="Q10" s="325">
        <f t="shared" si="0"/>
        <v>2.9799999999959255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44654</v>
      </c>
      <c r="C11" s="25">
        <v>15824</v>
      </c>
      <c r="D11" s="35" t="s">
        <v>628</v>
      </c>
      <c r="E11" s="27">
        <v>44654</v>
      </c>
      <c r="F11" s="28">
        <v>87054</v>
      </c>
      <c r="G11" s="2"/>
      <c r="H11" s="36">
        <v>44654</v>
      </c>
      <c r="I11" s="30">
        <v>1419.5</v>
      </c>
      <c r="J11" s="43"/>
      <c r="K11" s="168"/>
      <c r="L11" s="39"/>
      <c r="M11" s="32">
        <v>75362.5</v>
      </c>
      <c r="N11" s="33">
        <v>23086</v>
      </c>
      <c r="O11" s="2"/>
      <c r="P11" s="39">
        <f t="shared" si="1"/>
        <v>115692</v>
      </c>
      <c r="Q11" s="325">
        <v>0</v>
      </c>
      <c r="R11" s="388">
        <v>28638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44655</v>
      </c>
      <c r="C12" s="25">
        <v>20396</v>
      </c>
      <c r="D12" s="35" t="s">
        <v>629</v>
      </c>
      <c r="E12" s="27">
        <v>44655</v>
      </c>
      <c r="F12" s="28">
        <v>110632</v>
      </c>
      <c r="G12" s="2"/>
      <c r="H12" s="36">
        <v>44655</v>
      </c>
      <c r="I12" s="30">
        <v>1651</v>
      </c>
      <c r="J12" s="37"/>
      <c r="K12" s="169"/>
      <c r="L12" s="39"/>
      <c r="M12" s="32">
        <v>48559</v>
      </c>
      <c r="N12" s="33">
        <v>40026</v>
      </c>
      <c r="O12" s="328"/>
      <c r="P12" s="39">
        <f t="shared" si="1"/>
        <v>110632</v>
      </c>
      <c r="Q12" s="325">
        <f t="shared" si="0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44656</v>
      </c>
      <c r="C13" s="25">
        <v>14935.5</v>
      </c>
      <c r="D13" s="42" t="s">
        <v>630</v>
      </c>
      <c r="E13" s="27">
        <v>44656</v>
      </c>
      <c r="F13" s="28">
        <v>91313</v>
      </c>
      <c r="G13" s="2"/>
      <c r="H13" s="36">
        <v>44656</v>
      </c>
      <c r="I13" s="30">
        <v>2222.5</v>
      </c>
      <c r="J13" s="37"/>
      <c r="K13" s="38"/>
      <c r="L13" s="39"/>
      <c r="M13" s="32">
        <v>52480</v>
      </c>
      <c r="N13" s="33">
        <v>21675</v>
      </c>
      <c r="O13" s="2"/>
      <c r="P13" s="39">
        <f t="shared" si="1"/>
        <v>91313</v>
      </c>
      <c r="Q13" s="325">
        <f t="shared" si="0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44657</v>
      </c>
      <c r="C14" s="25">
        <v>11860</v>
      </c>
      <c r="D14" s="40" t="s">
        <v>631</v>
      </c>
      <c r="E14" s="27">
        <v>44657</v>
      </c>
      <c r="F14" s="28">
        <v>92801</v>
      </c>
      <c r="G14" s="2"/>
      <c r="H14" s="36">
        <v>44657</v>
      </c>
      <c r="I14" s="30">
        <v>4649</v>
      </c>
      <c r="J14" s="37"/>
      <c r="K14" s="38"/>
      <c r="L14" s="39"/>
      <c r="M14" s="32">
        <v>53976</v>
      </c>
      <c r="N14" s="33">
        <v>32114</v>
      </c>
      <c r="O14" s="2"/>
      <c r="P14" s="39">
        <f t="shared" si="1"/>
        <v>102599</v>
      </c>
      <c r="Q14" s="325">
        <v>0</v>
      </c>
      <c r="R14" s="388">
        <v>9798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44658</v>
      </c>
      <c r="C15" s="25">
        <v>8090</v>
      </c>
      <c r="D15" s="40" t="s">
        <v>237</v>
      </c>
      <c r="E15" s="27">
        <v>44658</v>
      </c>
      <c r="F15" s="28">
        <v>75862</v>
      </c>
      <c r="G15" s="2"/>
      <c r="H15" s="36">
        <v>44658</v>
      </c>
      <c r="I15" s="30">
        <v>1192</v>
      </c>
      <c r="J15" s="37"/>
      <c r="K15" s="38"/>
      <c r="L15" s="39"/>
      <c r="M15" s="32">
        <v>44706</v>
      </c>
      <c r="N15" s="33">
        <v>21874</v>
      </c>
      <c r="P15" s="39">
        <f t="shared" si="1"/>
        <v>75862</v>
      </c>
      <c r="Q15" s="325">
        <f t="shared" si="0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44659</v>
      </c>
      <c r="C16" s="25">
        <v>17672</v>
      </c>
      <c r="D16" s="35" t="s">
        <v>632</v>
      </c>
      <c r="E16" s="27">
        <v>44659</v>
      </c>
      <c r="F16" s="28">
        <v>106532</v>
      </c>
      <c r="G16" s="2"/>
      <c r="H16" s="36">
        <v>44659</v>
      </c>
      <c r="I16" s="30">
        <v>10802.5</v>
      </c>
      <c r="J16" s="37"/>
      <c r="K16" s="169"/>
      <c r="L16" s="9"/>
      <c r="M16" s="32">
        <v>46655.5</v>
      </c>
      <c r="N16" s="33">
        <v>31402</v>
      </c>
      <c r="O16" s="330"/>
      <c r="P16" s="39">
        <f t="shared" si="1"/>
        <v>106532</v>
      </c>
      <c r="Q16" s="325">
        <f t="shared" si="0"/>
        <v>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44660</v>
      </c>
      <c r="C17" s="25">
        <v>20121</v>
      </c>
      <c r="D17" s="42" t="s">
        <v>633</v>
      </c>
      <c r="E17" s="27">
        <v>44660</v>
      </c>
      <c r="F17" s="28">
        <v>123571</v>
      </c>
      <c r="G17" s="2"/>
      <c r="H17" s="36">
        <v>44660</v>
      </c>
      <c r="I17" s="30">
        <v>7186.5</v>
      </c>
      <c r="J17" s="37">
        <v>44660</v>
      </c>
      <c r="K17" s="38" t="s">
        <v>634</v>
      </c>
      <c r="L17" s="45">
        <v>20363</v>
      </c>
      <c r="M17" s="32">
        <v>31634.5</v>
      </c>
      <c r="N17" s="33">
        <v>44266</v>
      </c>
      <c r="P17" s="39">
        <f t="shared" si="1"/>
        <v>123571</v>
      </c>
      <c r="Q17" s="325">
        <f t="shared" si="0"/>
        <v>0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44661</v>
      </c>
      <c r="C18" s="25">
        <v>19394</v>
      </c>
      <c r="D18" s="35" t="s">
        <v>635</v>
      </c>
      <c r="E18" s="27">
        <v>44661</v>
      </c>
      <c r="F18" s="28">
        <v>78602</v>
      </c>
      <c r="G18" s="2"/>
      <c r="H18" s="36">
        <v>44661</v>
      </c>
      <c r="I18" s="30">
        <v>2156.5</v>
      </c>
      <c r="J18" s="37"/>
      <c r="K18" s="170"/>
      <c r="L18" s="39"/>
      <c r="M18" s="32">
        <v>32400</v>
      </c>
      <c r="N18" s="33">
        <v>24653</v>
      </c>
      <c r="P18" s="39">
        <f t="shared" si="1"/>
        <v>78603.5</v>
      </c>
      <c r="Q18" s="325">
        <f t="shared" si="0"/>
        <v>1.5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44662</v>
      </c>
      <c r="C19" s="25">
        <v>37019.5</v>
      </c>
      <c r="D19" s="35" t="s">
        <v>636</v>
      </c>
      <c r="E19" s="27">
        <v>44662</v>
      </c>
      <c r="F19" s="28">
        <v>99617</v>
      </c>
      <c r="G19" s="2"/>
      <c r="H19" s="36">
        <v>44662</v>
      </c>
      <c r="I19" s="30">
        <v>899.5</v>
      </c>
      <c r="J19" s="37"/>
      <c r="K19" s="46"/>
      <c r="L19" s="47"/>
      <c r="M19" s="32">
        <v>19790</v>
      </c>
      <c r="N19" s="33">
        <v>41908</v>
      </c>
      <c r="P19" s="39">
        <f t="shared" si="1"/>
        <v>99617</v>
      </c>
      <c r="Q19" s="325">
        <f t="shared" si="0"/>
        <v>0</v>
      </c>
      <c r="R19" s="319">
        <v>0</v>
      </c>
      <c r="S19" s="147"/>
      <c r="W19" s="550">
        <f>SUM(W6:W18)</f>
        <v>0</v>
      </c>
      <c r="X19" s="240"/>
      <c r="Y19" s="233"/>
    </row>
    <row r="20" spans="1:26" ht="18" thickBot="1" x14ac:dyDescent="0.35">
      <c r="A20" s="23"/>
      <c r="B20" s="24">
        <v>44663</v>
      </c>
      <c r="C20" s="25">
        <v>13442</v>
      </c>
      <c r="D20" s="35" t="s">
        <v>637</v>
      </c>
      <c r="E20" s="27">
        <v>44663</v>
      </c>
      <c r="F20" s="28">
        <v>90870</v>
      </c>
      <c r="G20" s="2"/>
      <c r="H20" s="36">
        <v>44663</v>
      </c>
      <c r="I20" s="30">
        <v>1715</v>
      </c>
      <c r="J20" s="37"/>
      <c r="K20" s="171"/>
      <c r="L20" s="45"/>
      <c r="M20" s="32">
        <v>36429</v>
      </c>
      <c r="N20" s="33">
        <v>39283</v>
      </c>
      <c r="P20" s="39">
        <f t="shared" si="1"/>
        <v>90869</v>
      </c>
      <c r="Q20" s="317">
        <f t="shared" si="0"/>
        <v>-1</v>
      </c>
      <c r="R20" s="319">
        <v>0</v>
      </c>
      <c r="S20" s="147"/>
      <c r="W20" s="551"/>
      <c r="X20" s="268"/>
      <c r="Y20" s="233"/>
    </row>
    <row r="21" spans="1:26" ht="18" thickBot="1" x14ac:dyDescent="0.35">
      <c r="A21" s="23"/>
      <c r="B21" s="24">
        <v>44664</v>
      </c>
      <c r="C21" s="25">
        <v>8539</v>
      </c>
      <c r="D21" s="35" t="s">
        <v>638</v>
      </c>
      <c r="E21" s="27">
        <v>44664</v>
      </c>
      <c r="F21" s="28">
        <v>95475</v>
      </c>
      <c r="G21" s="2"/>
      <c r="H21" s="36">
        <v>44664</v>
      </c>
      <c r="I21" s="30">
        <v>2376.5</v>
      </c>
      <c r="J21" s="37"/>
      <c r="K21" s="48"/>
      <c r="L21" s="45"/>
      <c r="M21" s="32">
        <v>55154.5</v>
      </c>
      <c r="N21" s="33">
        <v>29405</v>
      </c>
      <c r="P21" s="39">
        <f t="shared" si="1"/>
        <v>95475</v>
      </c>
      <c r="Q21" s="325">
        <f t="shared" si="0"/>
        <v>0</v>
      </c>
      <c r="R21" s="319">
        <v>0</v>
      </c>
      <c r="S21" s="147"/>
      <c r="W21" s="552"/>
      <c r="X21" s="552"/>
      <c r="Y21" s="233"/>
      <c r="Z21" s="128"/>
    </row>
    <row r="22" spans="1:26" ht="18" thickBot="1" x14ac:dyDescent="0.35">
      <c r="A22" s="23"/>
      <c r="B22" s="24">
        <v>44665</v>
      </c>
      <c r="C22" s="25">
        <v>17441</v>
      </c>
      <c r="D22" s="35" t="s">
        <v>639</v>
      </c>
      <c r="E22" s="27">
        <v>44665</v>
      </c>
      <c r="F22" s="28">
        <v>136630</v>
      </c>
      <c r="G22" s="2"/>
      <c r="H22" s="36">
        <v>44665</v>
      </c>
      <c r="I22" s="30">
        <v>2063</v>
      </c>
      <c r="J22" s="37"/>
      <c r="K22" s="31"/>
      <c r="L22" s="49"/>
      <c r="M22" s="32">
        <v>84420</v>
      </c>
      <c r="N22" s="33">
        <v>32706</v>
      </c>
      <c r="P22" s="39">
        <f t="shared" si="1"/>
        <v>136630</v>
      </c>
      <c r="Q22" s="325">
        <f t="shared" si="0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44666</v>
      </c>
      <c r="C23" s="25">
        <v>0</v>
      </c>
      <c r="D23" s="35"/>
      <c r="E23" s="27">
        <v>44666</v>
      </c>
      <c r="F23" s="28">
        <v>87396</v>
      </c>
      <c r="G23" s="2"/>
      <c r="H23" s="36">
        <v>44666</v>
      </c>
      <c r="I23" s="30">
        <v>1960</v>
      </c>
      <c r="J23" s="50"/>
      <c r="K23" s="172"/>
      <c r="L23" s="45"/>
      <c r="M23" s="32">
        <v>53912</v>
      </c>
      <c r="N23" s="33">
        <v>31524</v>
      </c>
      <c r="P23" s="39">
        <f t="shared" si="1"/>
        <v>87396</v>
      </c>
      <c r="Q23" s="325">
        <f t="shared" si="0"/>
        <v>0</v>
      </c>
      <c r="R23" s="319">
        <v>0</v>
      </c>
      <c r="S23" s="147"/>
      <c r="W23" s="553"/>
      <c r="X23" s="553"/>
      <c r="Y23" s="233"/>
      <c r="Z23" s="128"/>
    </row>
    <row r="24" spans="1:26" ht="18" thickBot="1" x14ac:dyDescent="0.35">
      <c r="A24" s="23"/>
      <c r="B24" s="24">
        <v>44667</v>
      </c>
      <c r="C24" s="25">
        <v>13715</v>
      </c>
      <c r="D24" s="42" t="s">
        <v>640</v>
      </c>
      <c r="E24" s="27">
        <v>44667</v>
      </c>
      <c r="F24" s="28">
        <v>149665</v>
      </c>
      <c r="G24" s="2"/>
      <c r="H24" s="36">
        <v>44667</v>
      </c>
      <c r="I24" s="30">
        <v>3412</v>
      </c>
      <c r="J24" s="51">
        <v>44667</v>
      </c>
      <c r="K24" s="173" t="s">
        <v>641</v>
      </c>
      <c r="L24" s="52">
        <v>18095</v>
      </c>
      <c r="M24" s="32">
        <v>65743</v>
      </c>
      <c r="N24" s="33">
        <v>48700</v>
      </c>
      <c r="P24" s="39">
        <f>N24+M24+L24+I24+C24</f>
        <v>149665</v>
      </c>
      <c r="Q24" s="325">
        <f t="shared" si="0"/>
        <v>0</v>
      </c>
      <c r="R24" s="319" t="s">
        <v>642</v>
      </c>
      <c r="S24" s="147"/>
      <c r="W24" s="553"/>
      <c r="X24" s="553"/>
      <c r="Y24" s="233"/>
      <c r="Z24" s="128"/>
    </row>
    <row r="25" spans="1:26" ht="19.5" thickBot="1" x14ac:dyDescent="0.35">
      <c r="A25" s="23"/>
      <c r="B25" s="24">
        <v>44668</v>
      </c>
      <c r="C25" s="25"/>
      <c r="D25" s="35"/>
      <c r="E25" s="27">
        <v>44668</v>
      </c>
      <c r="F25" s="28"/>
      <c r="G25" s="2"/>
      <c r="H25" s="36">
        <v>44668</v>
      </c>
      <c r="I25" s="30"/>
      <c r="J25" s="50"/>
      <c r="K25" s="38"/>
      <c r="L25" s="54"/>
      <c r="M25" s="32"/>
      <c r="N25" s="33"/>
      <c r="P25" s="283">
        <f t="shared" si="1"/>
        <v>0</v>
      </c>
      <c r="Q25" s="325">
        <f t="shared" si="0"/>
        <v>0</v>
      </c>
      <c r="R25" s="319">
        <v>0</v>
      </c>
      <c r="W25" s="554"/>
      <c r="X25" s="554"/>
      <c r="Y25" s="233"/>
      <c r="Z25" s="128"/>
    </row>
    <row r="26" spans="1:26" ht="19.5" thickBot="1" x14ac:dyDescent="0.35">
      <c r="A26" s="23"/>
      <c r="B26" s="24">
        <v>44669</v>
      </c>
      <c r="C26" s="25"/>
      <c r="D26" s="35"/>
      <c r="E26" s="27">
        <v>44669</v>
      </c>
      <c r="F26" s="28"/>
      <c r="G26" s="2"/>
      <c r="H26" s="36">
        <v>44669</v>
      </c>
      <c r="I26" s="30"/>
      <c r="J26" s="37"/>
      <c r="K26" s="173"/>
      <c r="L26" s="45"/>
      <c r="M26" s="32"/>
      <c r="N26" s="33"/>
      <c r="O26" s="2"/>
      <c r="P26" s="284">
        <f t="shared" si="1"/>
        <v>0</v>
      </c>
      <c r="Q26" s="325">
        <f t="shared" si="0"/>
        <v>0</v>
      </c>
      <c r="R26" s="319">
        <v>0</v>
      </c>
      <c r="W26" s="554"/>
      <c r="X26" s="554"/>
      <c r="Y26" s="233"/>
      <c r="Z26" s="128"/>
    </row>
    <row r="27" spans="1:26" ht="18" thickBot="1" x14ac:dyDescent="0.35">
      <c r="A27" s="23"/>
      <c r="B27" s="24">
        <v>44670</v>
      </c>
      <c r="C27" s="25"/>
      <c r="D27" s="42"/>
      <c r="E27" s="27">
        <v>44670</v>
      </c>
      <c r="F27" s="28"/>
      <c r="G27" s="2"/>
      <c r="H27" s="36">
        <v>44670</v>
      </c>
      <c r="I27" s="30"/>
      <c r="J27" s="55"/>
      <c r="K27" s="174"/>
      <c r="L27" s="54"/>
      <c r="M27" s="32"/>
      <c r="N27" s="33"/>
      <c r="O27" s="2"/>
      <c r="P27" s="39">
        <f t="shared" si="1"/>
        <v>0</v>
      </c>
      <c r="Q27" s="325">
        <f t="shared" si="0"/>
        <v>0</v>
      </c>
      <c r="R27" s="319">
        <v>0</v>
      </c>
      <c r="W27" s="547"/>
      <c r="X27" s="548"/>
      <c r="Y27" s="549"/>
      <c r="Z27" s="128"/>
    </row>
    <row r="28" spans="1:26" ht="18" thickBot="1" x14ac:dyDescent="0.35">
      <c r="A28" s="23"/>
      <c r="B28" s="24">
        <v>44671</v>
      </c>
      <c r="C28" s="25"/>
      <c r="D28" s="42"/>
      <c r="E28" s="27">
        <v>44671</v>
      </c>
      <c r="F28" s="28"/>
      <c r="G28" s="2"/>
      <c r="H28" s="36">
        <v>44671</v>
      </c>
      <c r="I28" s="30"/>
      <c r="J28" s="56"/>
      <c r="K28" s="57"/>
      <c r="L28" s="54"/>
      <c r="M28" s="32"/>
      <c r="N28" s="33"/>
      <c r="O28" s="2"/>
      <c r="P28" s="34">
        <f t="shared" si="1"/>
        <v>0</v>
      </c>
      <c r="Q28" s="325">
        <f t="shared" si="0"/>
        <v>0</v>
      </c>
      <c r="R28" s="319">
        <v>0</v>
      </c>
      <c r="W28" s="548"/>
      <c r="X28" s="548"/>
      <c r="Y28" s="549"/>
      <c r="Z28" s="128"/>
    </row>
    <row r="29" spans="1:26" ht="18" thickBot="1" x14ac:dyDescent="0.35">
      <c r="A29" s="23"/>
      <c r="B29" s="24">
        <v>44672</v>
      </c>
      <c r="C29" s="25"/>
      <c r="D29" s="58"/>
      <c r="E29" s="27">
        <v>44672</v>
      </c>
      <c r="F29" s="28"/>
      <c r="G29" s="2"/>
      <c r="H29" s="36">
        <v>44672</v>
      </c>
      <c r="I29" s="30"/>
      <c r="J29" s="59"/>
      <c r="K29" s="175"/>
      <c r="L29" s="54"/>
      <c r="M29" s="32"/>
      <c r="N29" s="33"/>
      <c r="O29" s="425"/>
      <c r="P29" s="34">
        <f t="shared" si="1"/>
        <v>0</v>
      </c>
      <c r="Q29" s="325">
        <f t="shared" si="0"/>
        <v>0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44673</v>
      </c>
      <c r="C30" s="25"/>
      <c r="D30" s="58"/>
      <c r="E30" s="27">
        <v>44673</v>
      </c>
      <c r="F30" s="28"/>
      <c r="G30" s="2"/>
      <c r="H30" s="36">
        <v>44673</v>
      </c>
      <c r="I30" s="30"/>
      <c r="J30" s="60"/>
      <c r="K30" s="41"/>
      <c r="L30" s="61"/>
      <c r="M30" s="32"/>
      <c r="N30" s="33"/>
      <c r="O30" s="426"/>
      <c r="P30" s="34">
        <f t="shared" si="1"/>
        <v>0</v>
      </c>
      <c r="Q30" s="325">
        <f t="shared" si="0"/>
        <v>0</v>
      </c>
      <c r="R30" s="319">
        <v>0</v>
      </c>
      <c r="T30" s="423">
        <v>26626</v>
      </c>
      <c r="X30" s="225"/>
      <c r="Y30" s="227"/>
    </row>
    <row r="31" spans="1:26" ht="18" thickBot="1" x14ac:dyDescent="0.35">
      <c r="A31" s="23"/>
      <c r="B31" s="24">
        <v>44674</v>
      </c>
      <c r="C31" s="25"/>
      <c r="D31" s="65"/>
      <c r="E31" s="27">
        <v>44674</v>
      </c>
      <c r="F31" s="28"/>
      <c r="G31" s="2"/>
      <c r="H31" s="36">
        <v>44674</v>
      </c>
      <c r="I31" s="30"/>
      <c r="J31" s="60"/>
      <c r="K31" s="41"/>
      <c r="L31" s="63"/>
      <c r="M31" s="32"/>
      <c r="N31" s="33"/>
      <c r="O31" s="425"/>
      <c r="P31" s="34">
        <f t="shared" si="1"/>
        <v>0</v>
      </c>
      <c r="Q31" s="325">
        <f t="shared" si="0"/>
        <v>0</v>
      </c>
      <c r="R31" s="319">
        <v>0</v>
      </c>
      <c r="T31" s="423">
        <v>10137</v>
      </c>
    </row>
    <row r="32" spans="1:26" ht="18" thickBot="1" x14ac:dyDescent="0.35">
      <c r="A32" s="23"/>
      <c r="B32" s="24">
        <v>44675</v>
      </c>
      <c r="C32" s="25"/>
      <c r="D32" s="64"/>
      <c r="E32" s="27">
        <v>44675</v>
      </c>
      <c r="F32" s="28"/>
      <c r="G32" s="2"/>
      <c r="H32" s="36">
        <v>44675</v>
      </c>
      <c r="I32" s="30"/>
      <c r="J32" s="60"/>
      <c r="K32" s="41"/>
      <c r="L32" s="61"/>
      <c r="M32" s="32"/>
      <c r="N32" s="33"/>
      <c r="O32" s="2"/>
      <c r="P32" s="34">
        <f t="shared" si="1"/>
        <v>0</v>
      </c>
      <c r="Q32" s="325">
        <f t="shared" si="0"/>
        <v>0</v>
      </c>
      <c r="R32" s="319">
        <v>0</v>
      </c>
      <c r="T32" s="423">
        <v>0</v>
      </c>
    </row>
    <row r="33" spans="1:20" ht="18" thickBot="1" x14ac:dyDescent="0.35">
      <c r="A33" s="23"/>
      <c r="B33" s="24">
        <v>44676</v>
      </c>
      <c r="C33" s="25"/>
      <c r="D33" s="65"/>
      <c r="E33" s="27">
        <v>44676</v>
      </c>
      <c r="F33" s="28"/>
      <c r="G33" s="2"/>
      <c r="H33" s="36">
        <v>44676</v>
      </c>
      <c r="I33" s="30"/>
      <c r="J33" s="60"/>
      <c r="K33" s="247"/>
      <c r="L33" s="66"/>
      <c r="M33" s="32"/>
      <c r="N33" s="33"/>
      <c r="O33" s="2"/>
      <c r="P33" s="34">
        <v>0</v>
      </c>
      <c r="Q33" s="111">
        <f t="shared" ref="Q33:Q35" si="2">P33-F33</f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44677</v>
      </c>
      <c r="C34" s="25"/>
      <c r="D34" s="64"/>
      <c r="E34" s="27">
        <v>44677</v>
      </c>
      <c r="F34" s="28"/>
      <c r="G34" s="2"/>
      <c r="H34" s="36">
        <v>44677</v>
      </c>
      <c r="I34" s="30"/>
      <c r="J34" s="266"/>
      <c r="K34" s="248"/>
      <c r="L34" s="44"/>
      <c r="M34" s="32"/>
      <c r="N34" s="33"/>
      <c r="O34" s="2"/>
      <c r="P34" s="34">
        <v>0</v>
      </c>
      <c r="Q34" s="111">
        <f t="shared" si="2"/>
        <v>0</v>
      </c>
      <c r="R34" s="228"/>
    </row>
    <row r="35" spans="1:20" ht="18" thickBot="1" x14ac:dyDescent="0.35">
      <c r="A35" s="23"/>
      <c r="B35" s="24">
        <v>44678</v>
      </c>
      <c r="C35" s="25"/>
      <c r="D35" s="65"/>
      <c r="E35" s="27">
        <v>44678</v>
      </c>
      <c r="F35" s="28"/>
      <c r="G35" s="2"/>
      <c r="H35" s="36">
        <v>44678</v>
      </c>
      <c r="I35" s="30"/>
      <c r="J35" s="266"/>
      <c r="K35" s="249"/>
      <c r="L35" s="66"/>
      <c r="M35" s="267">
        <v>0</v>
      </c>
      <c r="N35" s="268">
        <v>0</v>
      </c>
      <c r="P35" s="34"/>
      <c r="Q35" s="111">
        <f t="shared" si="2"/>
        <v>0</v>
      </c>
      <c r="R35" s="228"/>
    </row>
    <row r="36" spans="1:20" ht="18" customHeight="1" thickBot="1" x14ac:dyDescent="0.3">
      <c r="A36" s="23"/>
      <c r="B36" s="24">
        <v>44679</v>
      </c>
      <c r="C36" s="25"/>
      <c r="D36" s="62"/>
      <c r="E36" s="27">
        <v>44679</v>
      </c>
      <c r="F36" s="28"/>
      <c r="G36" s="2"/>
      <c r="H36" s="36">
        <v>44679</v>
      </c>
      <c r="I36" s="30"/>
      <c r="J36" s="266"/>
      <c r="K36" s="250"/>
      <c r="L36" s="44"/>
      <c r="M36" s="565">
        <f>SUM(M5:M35)</f>
        <v>969929.5</v>
      </c>
      <c r="N36" s="567">
        <f>SUM(N5:N35)</f>
        <v>668822</v>
      </c>
      <c r="O36" s="276"/>
      <c r="P36" s="277">
        <v>0</v>
      </c>
      <c r="Q36" s="600">
        <f>SUM(Q5:Q35)</f>
        <v>2.9799999999959255</v>
      </c>
      <c r="R36" s="228"/>
    </row>
    <row r="37" spans="1:20" ht="18" customHeight="1" thickBot="1" x14ac:dyDescent="0.3">
      <c r="A37" s="23"/>
      <c r="B37" s="24">
        <v>44680</v>
      </c>
      <c r="C37" s="25"/>
      <c r="D37" s="65"/>
      <c r="E37" s="27">
        <v>44680</v>
      </c>
      <c r="F37" s="28"/>
      <c r="G37" s="2"/>
      <c r="H37" s="36">
        <v>44680</v>
      </c>
      <c r="I37" s="30"/>
      <c r="J37" s="60"/>
      <c r="K37" s="41"/>
      <c r="L37" s="61"/>
      <c r="M37" s="566"/>
      <c r="N37" s="568"/>
      <c r="O37" s="276"/>
      <c r="P37" s="277">
        <v>0</v>
      </c>
      <c r="Q37" s="601"/>
      <c r="R37" s="227" t="s">
        <v>7</v>
      </c>
    </row>
    <row r="38" spans="1:20" ht="18" thickBot="1" x14ac:dyDescent="0.35">
      <c r="A38" s="23"/>
      <c r="B38" s="24">
        <v>44681</v>
      </c>
      <c r="C38" s="25"/>
      <c r="D38" s="65"/>
      <c r="E38" s="27">
        <v>44681</v>
      </c>
      <c r="F38" s="28"/>
      <c r="G38" s="2"/>
      <c r="H38" s="36">
        <v>44681</v>
      </c>
      <c r="I38" s="30"/>
      <c r="J38" s="60"/>
      <c r="K38" s="177"/>
      <c r="L38" s="61"/>
      <c r="M38" s="270"/>
      <c r="N38" s="271"/>
      <c r="P38" s="151">
        <v>0</v>
      </c>
      <c r="Q38" s="274"/>
    </row>
    <row r="39" spans="1:20" ht="19.5" thickBot="1" x14ac:dyDescent="0.35">
      <c r="A39" s="23"/>
      <c r="B39" s="24">
        <v>44682</v>
      </c>
      <c r="C39" s="69"/>
      <c r="D39" s="62"/>
      <c r="E39" s="27">
        <v>44682</v>
      </c>
      <c r="F39" s="70"/>
      <c r="G39" s="2"/>
      <c r="H39" s="36">
        <v>44682</v>
      </c>
      <c r="I39" s="71"/>
      <c r="J39" s="60"/>
      <c r="K39" s="177"/>
      <c r="L39" s="61"/>
      <c r="M39" s="602">
        <f>M36+N36</f>
        <v>1638751.5</v>
      </c>
      <c r="N39" s="603"/>
      <c r="P39" s="34">
        <f>SUM(P5:P38)</f>
        <v>2040933.98</v>
      </c>
      <c r="Q39" s="275"/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20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>
        <v>44653</v>
      </c>
      <c r="K41" s="41" t="s">
        <v>627</v>
      </c>
      <c r="L41" s="61">
        <v>15798.5</v>
      </c>
      <c r="M41" s="269"/>
      <c r="N41" s="269"/>
      <c r="P41" s="34"/>
      <c r="Q41" s="13"/>
    </row>
    <row r="42" spans="1:20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>
        <v>44660</v>
      </c>
      <c r="K42" s="173" t="s">
        <v>634</v>
      </c>
      <c r="L42" s="52">
        <v>15298.5</v>
      </c>
      <c r="M42" s="269"/>
      <c r="N42" s="269"/>
      <c r="P42" s="34"/>
      <c r="Q42" s="13"/>
    </row>
    <row r="43" spans="1:20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>
        <v>44667</v>
      </c>
      <c r="K43" s="38" t="s">
        <v>641</v>
      </c>
      <c r="L43" s="54">
        <v>14698.79</v>
      </c>
      <c r="M43" s="269"/>
      <c r="N43" s="269"/>
      <c r="P43" s="34"/>
      <c r="Q43" s="13"/>
    </row>
    <row r="44" spans="1:20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20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20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281118.5</v>
      </c>
      <c r="D50" s="88"/>
      <c r="E50" s="89" t="s">
        <v>8</v>
      </c>
      <c r="F50" s="90">
        <f>SUM(F5:F49)</f>
        <v>2001440</v>
      </c>
      <c r="G50" s="88"/>
      <c r="H50" s="91" t="s">
        <v>9</v>
      </c>
      <c r="I50" s="92">
        <f>SUM(I5:I49)</f>
        <v>63880</v>
      </c>
      <c r="J50" s="93"/>
      <c r="K50" s="94" t="s">
        <v>10</v>
      </c>
      <c r="L50" s="95">
        <f>SUM(L5:L49)</f>
        <v>102979.76999999999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520" t="s">
        <v>11</v>
      </c>
      <c r="I52" s="521"/>
      <c r="J52" s="100"/>
      <c r="K52" s="522">
        <f>I50+L50</f>
        <v>166859.76999999999</v>
      </c>
      <c r="L52" s="555"/>
      <c r="M52" s="272"/>
      <c r="N52" s="272"/>
      <c r="P52" s="34"/>
      <c r="Q52" s="13"/>
    </row>
    <row r="53" spans="1:17" x14ac:dyDescent="0.25">
      <c r="D53" s="526" t="s">
        <v>12</v>
      </c>
      <c r="E53" s="526"/>
      <c r="F53" s="312">
        <f>F50-K52-C50</f>
        <v>1553461.73</v>
      </c>
      <c r="I53" s="102"/>
      <c r="J53" s="103"/>
    </row>
    <row r="54" spans="1:17" ht="18.75" x14ac:dyDescent="0.3">
      <c r="D54" s="556" t="s">
        <v>95</v>
      </c>
      <c r="E54" s="556"/>
      <c r="F54" s="111">
        <v>0</v>
      </c>
      <c r="I54" s="527" t="s">
        <v>13</v>
      </c>
      <c r="J54" s="528"/>
      <c r="K54" s="529">
        <f>F56+F57+F58</f>
        <v>1553461.73</v>
      </c>
      <c r="L54" s="529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0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1553461.73</v>
      </c>
      <c r="H56" s="23"/>
      <c r="I56" s="108" t="s">
        <v>15</v>
      </c>
      <c r="J56" s="109"/>
      <c r="K56" s="531">
        <f>-C4</f>
        <v>-1792817.68</v>
      </c>
      <c r="L56" s="532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/>
      <c r="D58" s="509" t="s">
        <v>18</v>
      </c>
      <c r="E58" s="510"/>
      <c r="F58" s="113">
        <v>0</v>
      </c>
      <c r="I58" s="511" t="s">
        <v>198</v>
      </c>
      <c r="J58" s="512"/>
      <c r="K58" s="513">
        <f>K54+K56</f>
        <v>-239355.94999999995</v>
      </c>
      <c r="L58" s="513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Y27:Y28"/>
    <mergeCell ref="M36:M37"/>
    <mergeCell ref="N36:N37"/>
    <mergeCell ref="Q36:Q37"/>
    <mergeCell ref="K56:L56"/>
    <mergeCell ref="M39:N39"/>
    <mergeCell ref="W4:X5"/>
    <mergeCell ref="W19:W20"/>
    <mergeCell ref="W21:X21"/>
    <mergeCell ref="W23:X24"/>
    <mergeCell ref="W25:X25"/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</mergeCells>
  <pageMargins left="0.23622047244094491" right="0.23622047244094491" top="0.39370078740157483" bottom="0.35433070866141736" header="0.31496062992125984" footer="0.31496062992125984"/>
  <pageSetup scale="85" orientation="landscape" horizontalDpi="0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15"/>
  <sheetViews>
    <sheetView workbookViewId="0">
      <pane ySplit="2" topLeftCell="A9" activePane="bottomLeft" state="frozen"/>
      <selection pane="bottomLeft" activeCell="D15" sqref="D15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2"/>
      <c r="M1" s="303"/>
      <c r="N1" s="377" t="s">
        <v>314</v>
      </c>
    </row>
    <row r="2" spans="1:14" ht="21.75" customHeight="1" thickTop="1" thickBot="1" x14ac:dyDescent="0.35">
      <c r="A2" s="451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3" t="s">
        <v>22</v>
      </c>
      <c r="M2" s="299" t="s">
        <v>23</v>
      </c>
      <c r="N2" s="309" t="s">
        <v>210</v>
      </c>
    </row>
    <row r="3" spans="1:14" ht="15.75" x14ac:dyDescent="0.25">
      <c r="A3" s="507"/>
      <c r="B3" s="438"/>
      <c r="C3" s="410"/>
      <c r="D3" s="411"/>
      <c r="E3" s="410"/>
      <c r="F3" s="410">
        <f>C3-E3</f>
        <v>0</v>
      </c>
      <c r="I3" s="405"/>
      <c r="J3" s="391"/>
      <c r="K3" s="392"/>
      <c r="L3" s="479"/>
      <c r="M3" s="392"/>
      <c r="N3" s="183">
        <f>K3-M3</f>
        <v>0</v>
      </c>
    </row>
    <row r="4" spans="1:14" ht="18.75" x14ac:dyDescent="0.3">
      <c r="A4" s="454"/>
      <c r="B4" s="246"/>
      <c r="C4" s="111"/>
      <c r="D4" s="412"/>
      <c r="E4" s="111"/>
      <c r="F4" s="111">
        <f t="shared" ref="F4:F46" si="0">C4-E4</f>
        <v>0</v>
      </c>
      <c r="G4" s="138"/>
      <c r="I4" s="370"/>
      <c r="J4" s="57"/>
      <c r="K4" s="111"/>
      <c r="L4" s="476"/>
      <c r="M4" s="111"/>
      <c r="N4" s="137">
        <f>N3+K4-M4</f>
        <v>0</v>
      </c>
    </row>
    <row r="5" spans="1:14" ht="15.75" x14ac:dyDescent="0.25">
      <c r="A5" s="454"/>
      <c r="B5" s="246"/>
      <c r="C5" s="111"/>
      <c r="D5" s="412"/>
      <c r="E5" s="111"/>
      <c r="F5" s="111">
        <f t="shared" si="0"/>
        <v>0</v>
      </c>
      <c r="I5" s="370"/>
      <c r="J5" s="57"/>
      <c r="K5" s="111"/>
      <c r="L5" s="476"/>
      <c r="M5" s="111"/>
      <c r="N5" s="137">
        <f t="shared" ref="N5:N68" si="1">N4+K5-M5</f>
        <v>0</v>
      </c>
    </row>
    <row r="6" spans="1:14" ht="15.75" x14ac:dyDescent="0.25">
      <c r="A6" s="454"/>
      <c r="B6" s="246"/>
      <c r="C6" s="111"/>
      <c r="D6" s="412"/>
      <c r="E6" s="111"/>
      <c r="F6" s="111">
        <f t="shared" si="0"/>
        <v>0</v>
      </c>
      <c r="I6" s="370"/>
      <c r="J6" s="57"/>
      <c r="K6" s="111"/>
      <c r="L6" s="476"/>
      <c r="M6" s="111"/>
      <c r="N6" s="137">
        <f t="shared" si="1"/>
        <v>0</v>
      </c>
    </row>
    <row r="7" spans="1:14" ht="15.75" x14ac:dyDescent="0.25">
      <c r="A7" s="454"/>
      <c r="B7" s="246"/>
      <c r="C7" s="111"/>
      <c r="D7" s="412"/>
      <c r="E7" s="111"/>
      <c r="F7" s="111">
        <f t="shared" si="0"/>
        <v>0</v>
      </c>
      <c r="I7" s="370"/>
      <c r="J7" s="57"/>
      <c r="K7" s="111"/>
      <c r="L7" s="476"/>
      <c r="M7" s="111"/>
      <c r="N7" s="137">
        <f t="shared" si="1"/>
        <v>0</v>
      </c>
    </row>
    <row r="8" spans="1:14" ht="15.75" x14ac:dyDescent="0.25">
      <c r="A8" s="454"/>
      <c r="B8" s="246"/>
      <c r="C8" s="111"/>
      <c r="D8" s="412"/>
      <c r="E8" s="111"/>
      <c r="F8" s="111">
        <f t="shared" si="0"/>
        <v>0</v>
      </c>
      <c r="I8" s="370"/>
      <c r="J8" s="57"/>
      <c r="K8" s="111"/>
      <c r="L8" s="476"/>
      <c r="M8" s="111"/>
      <c r="N8" s="137">
        <f t="shared" si="1"/>
        <v>0</v>
      </c>
    </row>
    <row r="9" spans="1:14" ht="15.75" x14ac:dyDescent="0.25">
      <c r="A9" s="454"/>
      <c r="B9" s="246"/>
      <c r="C9" s="111"/>
      <c r="D9" s="412"/>
      <c r="E9" s="111"/>
      <c r="F9" s="111">
        <f t="shared" si="0"/>
        <v>0</v>
      </c>
      <c r="I9" s="370"/>
      <c r="J9" s="57"/>
      <c r="K9" s="111"/>
      <c r="L9" s="476"/>
      <c r="M9" s="111"/>
      <c r="N9" s="137">
        <f t="shared" si="1"/>
        <v>0</v>
      </c>
    </row>
    <row r="10" spans="1:14" ht="18.75" x14ac:dyDescent="0.3">
      <c r="A10" s="454"/>
      <c r="B10" s="246"/>
      <c r="C10" s="111"/>
      <c r="D10" s="412"/>
      <c r="E10" s="111"/>
      <c r="F10" s="111">
        <f t="shared" si="0"/>
        <v>0</v>
      </c>
      <c r="G10" s="138"/>
      <c r="I10" s="370"/>
      <c r="J10" s="57"/>
      <c r="K10" s="111"/>
      <c r="L10" s="476"/>
      <c r="M10" s="111"/>
      <c r="N10" s="137">
        <f t="shared" si="1"/>
        <v>0</v>
      </c>
    </row>
    <row r="11" spans="1:14" ht="15.75" x14ac:dyDescent="0.25">
      <c r="A11" s="454"/>
      <c r="B11" s="246"/>
      <c r="C11" s="111"/>
      <c r="D11" s="412"/>
      <c r="E11" s="111"/>
      <c r="F11" s="111">
        <f t="shared" si="0"/>
        <v>0</v>
      </c>
      <c r="I11" s="370"/>
      <c r="J11" s="57"/>
      <c r="K11" s="111"/>
      <c r="L11" s="476"/>
      <c r="M11" s="111"/>
      <c r="N11" s="137">
        <f t="shared" si="1"/>
        <v>0</v>
      </c>
    </row>
    <row r="12" spans="1:14" ht="15.75" x14ac:dyDescent="0.25">
      <c r="A12" s="454"/>
      <c r="B12" s="246"/>
      <c r="C12" s="111"/>
      <c r="D12" s="412"/>
      <c r="E12" s="111"/>
      <c r="F12" s="111">
        <f t="shared" si="0"/>
        <v>0</v>
      </c>
      <c r="I12" s="370"/>
      <c r="J12" s="57"/>
      <c r="K12" s="111"/>
      <c r="L12" s="476"/>
      <c r="M12" s="111"/>
      <c r="N12" s="137">
        <f t="shared" si="1"/>
        <v>0</v>
      </c>
    </row>
    <row r="13" spans="1:14" ht="15.75" x14ac:dyDescent="0.25">
      <c r="A13" s="454"/>
      <c r="B13" s="246"/>
      <c r="C13" s="111"/>
      <c r="D13" s="412"/>
      <c r="E13" s="111"/>
      <c r="F13" s="111">
        <f t="shared" si="0"/>
        <v>0</v>
      </c>
      <c r="I13" s="370"/>
      <c r="J13" s="57"/>
      <c r="K13" s="111"/>
      <c r="L13" s="476"/>
      <c r="M13" s="111"/>
      <c r="N13" s="137">
        <f t="shared" si="1"/>
        <v>0</v>
      </c>
    </row>
    <row r="14" spans="1:14" ht="15.75" x14ac:dyDescent="0.25">
      <c r="A14" s="454"/>
      <c r="B14" s="246"/>
      <c r="C14" s="111"/>
      <c r="D14" s="412"/>
      <c r="E14" s="111"/>
      <c r="F14" s="111">
        <f t="shared" si="0"/>
        <v>0</v>
      </c>
      <c r="I14" s="370"/>
      <c r="J14" s="57"/>
      <c r="K14" s="111"/>
      <c r="L14" s="476"/>
      <c r="M14" s="111"/>
      <c r="N14" s="137">
        <f t="shared" si="1"/>
        <v>0</v>
      </c>
    </row>
    <row r="15" spans="1:14" ht="15.75" x14ac:dyDescent="0.25">
      <c r="A15" s="454"/>
      <c r="B15" s="246"/>
      <c r="C15" s="111"/>
      <c r="D15" s="412"/>
      <c r="E15" s="111"/>
      <c r="F15" s="111">
        <f t="shared" si="0"/>
        <v>0</v>
      </c>
      <c r="I15" s="370"/>
      <c r="J15" s="57"/>
      <c r="K15" s="111"/>
      <c r="L15" s="476"/>
      <c r="M15" s="111"/>
      <c r="N15" s="137">
        <f t="shared" si="1"/>
        <v>0</v>
      </c>
    </row>
    <row r="16" spans="1:14" ht="15.75" x14ac:dyDescent="0.25">
      <c r="A16" s="454"/>
      <c r="B16" s="246"/>
      <c r="C16" s="111"/>
      <c r="D16" s="412"/>
      <c r="E16" s="111"/>
      <c r="F16" s="111">
        <f t="shared" si="0"/>
        <v>0</v>
      </c>
      <c r="I16" s="370"/>
      <c r="J16" s="57"/>
      <c r="K16" s="111"/>
      <c r="L16" s="476"/>
      <c r="M16" s="111"/>
      <c r="N16" s="137">
        <f t="shared" si="1"/>
        <v>0</v>
      </c>
    </row>
    <row r="17" spans="1:14" ht="15.75" x14ac:dyDescent="0.25">
      <c r="A17" s="454"/>
      <c r="B17" s="246"/>
      <c r="C17" s="111"/>
      <c r="D17" s="508"/>
      <c r="E17" s="111"/>
      <c r="F17" s="111">
        <f t="shared" si="0"/>
        <v>0</v>
      </c>
      <c r="I17" s="370"/>
      <c r="J17" s="57"/>
      <c r="K17" s="111"/>
      <c r="L17" s="476"/>
      <c r="M17" s="111"/>
      <c r="N17" s="137">
        <f t="shared" si="1"/>
        <v>0</v>
      </c>
    </row>
    <row r="18" spans="1:14" ht="15.75" x14ac:dyDescent="0.25">
      <c r="A18" s="454"/>
      <c r="B18" s="246"/>
      <c r="C18" s="111"/>
      <c r="D18" s="412"/>
      <c r="E18" s="111"/>
      <c r="F18" s="111">
        <f t="shared" si="0"/>
        <v>0</v>
      </c>
      <c r="I18" s="370"/>
      <c r="J18" s="57"/>
      <c r="K18" s="111"/>
      <c r="L18" s="476"/>
      <c r="M18" s="111"/>
      <c r="N18" s="137">
        <f t="shared" si="1"/>
        <v>0</v>
      </c>
    </row>
    <row r="19" spans="1:14" ht="15.75" x14ac:dyDescent="0.25">
      <c r="A19" s="454"/>
      <c r="B19" s="246"/>
      <c r="C19" s="111"/>
      <c r="D19" s="412"/>
      <c r="E19" s="111"/>
      <c r="F19" s="111">
        <f t="shared" si="0"/>
        <v>0</v>
      </c>
      <c r="I19" s="370"/>
      <c r="J19" s="57"/>
      <c r="K19" s="111"/>
      <c r="L19" s="476"/>
      <c r="M19" s="111"/>
      <c r="N19" s="137">
        <f t="shared" si="1"/>
        <v>0</v>
      </c>
    </row>
    <row r="20" spans="1:14" ht="15.75" x14ac:dyDescent="0.25">
      <c r="A20" s="454"/>
      <c r="B20" s="246"/>
      <c r="C20" s="111"/>
      <c r="D20" s="412"/>
      <c r="E20" s="111"/>
      <c r="F20" s="111">
        <f t="shared" si="0"/>
        <v>0</v>
      </c>
      <c r="I20" s="370"/>
      <c r="J20" s="57"/>
      <c r="K20" s="111"/>
      <c r="L20" s="476"/>
      <c r="M20" s="111"/>
      <c r="N20" s="137">
        <f t="shared" si="1"/>
        <v>0</v>
      </c>
    </row>
    <row r="21" spans="1:14" ht="15.75" x14ac:dyDescent="0.25">
      <c r="A21" s="454"/>
      <c r="B21" s="246"/>
      <c r="C21" s="111"/>
      <c r="D21" s="412"/>
      <c r="E21" s="111"/>
      <c r="F21" s="111">
        <f t="shared" si="0"/>
        <v>0</v>
      </c>
      <c r="I21" s="370"/>
      <c r="J21" s="57"/>
      <c r="K21" s="111"/>
      <c r="L21" s="476"/>
      <c r="M21" s="111"/>
      <c r="N21" s="137">
        <f t="shared" si="1"/>
        <v>0</v>
      </c>
    </row>
    <row r="22" spans="1:14" ht="18.75" x14ac:dyDescent="0.3">
      <c r="A22" s="454"/>
      <c r="B22" s="246"/>
      <c r="C22" s="111"/>
      <c r="D22" s="412"/>
      <c r="E22" s="111"/>
      <c r="F22" s="111">
        <f t="shared" si="0"/>
        <v>0</v>
      </c>
      <c r="G22" s="138"/>
      <c r="I22" s="370"/>
      <c r="J22" s="57"/>
      <c r="K22" s="111"/>
      <c r="L22" s="476"/>
      <c r="M22" s="111"/>
      <c r="N22" s="137">
        <f t="shared" si="1"/>
        <v>0</v>
      </c>
    </row>
    <row r="23" spans="1:14" ht="15.75" x14ac:dyDescent="0.25">
      <c r="A23" s="454"/>
      <c r="B23" s="246"/>
      <c r="C23" s="111"/>
      <c r="D23" s="412"/>
      <c r="E23" s="111"/>
      <c r="F23" s="111">
        <f t="shared" si="0"/>
        <v>0</v>
      </c>
      <c r="I23" s="370"/>
      <c r="J23" s="57"/>
      <c r="K23" s="111"/>
      <c r="L23" s="476"/>
      <c r="M23" s="111"/>
      <c r="N23" s="137">
        <f t="shared" si="1"/>
        <v>0</v>
      </c>
    </row>
    <row r="24" spans="1:14" ht="15.75" x14ac:dyDescent="0.25">
      <c r="A24" s="454"/>
      <c r="B24" s="246"/>
      <c r="C24" s="111"/>
      <c r="D24" s="412"/>
      <c r="E24" s="111"/>
      <c r="F24" s="111">
        <f t="shared" si="0"/>
        <v>0</v>
      </c>
      <c r="I24" s="370"/>
      <c r="J24" s="57"/>
      <c r="K24" s="111"/>
      <c r="L24" s="476"/>
      <c r="M24" s="111"/>
      <c r="N24" s="137">
        <f t="shared" si="1"/>
        <v>0</v>
      </c>
    </row>
    <row r="25" spans="1:14" ht="15.75" x14ac:dyDescent="0.25">
      <c r="A25" s="454"/>
      <c r="B25" s="246"/>
      <c r="C25" s="111"/>
      <c r="D25" s="412"/>
      <c r="E25" s="111"/>
      <c r="F25" s="111">
        <f t="shared" si="0"/>
        <v>0</v>
      </c>
      <c r="I25" s="245"/>
      <c r="J25" s="57"/>
      <c r="K25" s="111"/>
      <c r="L25" s="476"/>
      <c r="M25" s="111"/>
      <c r="N25" s="137">
        <f t="shared" si="1"/>
        <v>0</v>
      </c>
    </row>
    <row r="26" spans="1:14" ht="15.75" x14ac:dyDescent="0.25">
      <c r="A26" s="454"/>
      <c r="B26" s="246"/>
      <c r="C26" s="111"/>
      <c r="D26" s="412"/>
      <c r="E26" s="111"/>
      <c r="F26" s="111">
        <f t="shared" si="0"/>
        <v>0</v>
      </c>
      <c r="I26" s="245"/>
      <c r="J26" s="57"/>
      <c r="K26" s="111"/>
      <c r="L26" s="476"/>
      <c r="M26" s="111"/>
      <c r="N26" s="137">
        <f t="shared" si="1"/>
        <v>0</v>
      </c>
    </row>
    <row r="27" spans="1:14" ht="15.75" x14ac:dyDescent="0.25">
      <c r="A27" s="454"/>
      <c r="B27" s="246"/>
      <c r="C27" s="111"/>
      <c r="D27" s="508"/>
      <c r="E27" s="111"/>
      <c r="F27" s="111">
        <f t="shared" si="0"/>
        <v>0</v>
      </c>
      <c r="I27" s="245"/>
      <c r="J27" s="57"/>
      <c r="K27" s="111"/>
      <c r="L27" s="476"/>
      <c r="M27" s="111"/>
      <c r="N27" s="137">
        <f t="shared" si="1"/>
        <v>0</v>
      </c>
    </row>
    <row r="28" spans="1:14" ht="15.75" x14ac:dyDescent="0.25">
      <c r="A28" s="454"/>
      <c r="B28" s="246"/>
      <c r="C28" s="111"/>
      <c r="D28" s="412"/>
      <c r="E28" s="111"/>
      <c r="F28" s="111">
        <f t="shared" si="0"/>
        <v>0</v>
      </c>
      <c r="I28" s="245"/>
      <c r="J28" s="57"/>
      <c r="K28" s="111"/>
      <c r="L28" s="476"/>
      <c r="M28" s="111"/>
      <c r="N28" s="137">
        <f t="shared" si="1"/>
        <v>0</v>
      </c>
    </row>
    <row r="29" spans="1:14" ht="15.75" x14ac:dyDescent="0.25">
      <c r="A29" s="454"/>
      <c r="B29" s="246"/>
      <c r="C29" s="111"/>
      <c r="D29" s="412"/>
      <c r="E29" s="111"/>
      <c r="F29" s="111">
        <f t="shared" si="0"/>
        <v>0</v>
      </c>
      <c r="I29" s="245"/>
      <c r="J29" s="57"/>
      <c r="K29" s="111"/>
      <c r="L29" s="476"/>
      <c r="M29" s="111"/>
      <c r="N29" s="137">
        <f t="shared" si="1"/>
        <v>0</v>
      </c>
    </row>
    <row r="30" spans="1:14" ht="18.75" x14ac:dyDescent="0.3">
      <c r="A30" s="454"/>
      <c r="B30" s="246"/>
      <c r="C30" s="111"/>
      <c r="D30" s="412"/>
      <c r="E30" s="111"/>
      <c r="F30" s="111">
        <f t="shared" si="0"/>
        <v>0</v>
      </c>
      <c r="G30" s="138"/>
      <c r="I30" s="245"/>
      <c r="J30" s="57"/>
      <c r="K30" s="111"/>
      <c r="L30" s="476"/>
      <c r="M30" s="69"/>
      <c r="N30" s="137">
        <f t="shared" si="1"/>
        <v>0</v>
      </c>
    </row>
    <row r="31" spans="1:14" ht="15.75" x14ac:dyDescent="0.25">
      <c r="A31" s="454"/>
      <c r="B31" s="246"/>
      <c r="C31" s="111"/>
      <c r="D31" s="412"/>
      <c r="E31" s="111"/>
      <c r="F31" s="111">
        <f t="shared" si="0"/>
        <v>0</v>
      </c>
      <c r="I31" s="370"/>
      <c r="J31" s="57"/>
      <c r="K31" s="111"/>
      <c r="L31" s="476"/>
      <c r="M31" s="69"/>
      <c r="N31" s="137">
        <f t="shared" si="1"/>
        <v>0</v>
      </c>
    </row>
    <row r="32" spans="1:14" ht="15.75" x14ac:dyDescent="0.25">
      <c r="A32" s="454"/>
      <c r="B32" s="246"/>
      <c r="C32" s="111"/>
      <c r="D32" s="412"/>
      <c r="E32" s="111"/>
      <c r="F32" s="111">
        <f t="shared" si="0"/>
        <v>0</v>
      </c>
      <c r="I32" s="370"/>
      <c r="J32" s="57"/>
      <c r="K32" s="111"/>
      <c r="L32" s="476"/>
      <c r="M32" s="69"/>
      <c r="N32" s="137">
        <f t="shared" si="1"/>
        <v>0</v>
      </c>
    </row>
    <row r="33" spans="1:14" ht="15.75" x14ac:dyDescent="0.25">
      <c r="A33" s="454"/>
      <c r="B33" s="246"/>
      <c r="C33" s="111"/>
      <c r="D33" s="412"/>
      <c r="E33" s="111"/>
      <c r="F33" s="111">
        <f t="shared" si="0"/>
        <v>0</v>
      </c>
      <c r="I33" s="370"/>
      <c r="J33" s="57"/>
      <c r="K33" s="111"/>
      <c r="L33" s="476"/>
      <c r="M33" s="69"/>
      <c r="N33" s="137">
        <f t="shared" si="1"/>
        <v>0</v>
      </c>
    </row>
    <row r="34" spans="1:14" ht="15.75" x14ac:dyDescent="0.25">
      <c r="A34" s="454"/>
      <c r="B34" s="246"/>
      <c r="C34" s="111"/>
      <c r="D34" s="412"/>
      <c r="E34" s="111"/>
      <c r="F34" s="111">
        <f t="shared" si="0"/>
        <v>0</v>
      </c>
      <c r="I34" s="370"/>
      <c r="J34" s="57"/>
      <c r="K34" s="111"/>
      <c r="L34" s="476"/>
      <c r="M34" s="69"/>
      <c r="N34" s="137">
        <f t="shared" si="1"/>
        <v>0</v>
      </c>
    </row>
    <row r="35" spans="1:14" ht="15.75" x14ac:dyDescent="0.25">
      <c r="A35" s="454"/>
      <c r="B35" s="246"/>
      <c r="C35" s="111"/>
      <c r="D35" s="412"/>
      <c r="E35" s="111"/>
      <c r="F35" s="111">
        <f t="shared" si="0"/>
        <v>0</v>
      </c>
      <c r="I35" s="370"/>
      <c r="J35" s="57"/>
      <c r="K35" s="111"/>
      <c r="L35" s="476"/>
      <c r="M35" s="69"/>
      <c r="N35" s="137">
        <f t="shared" si="1"/>
        <v>0</v>
      </c>
    </row>
    <row r="36" spans="1:14" ht="15.75" x14ac:dyDescent="0.25">
      <c r="A36" s="454"/>
      <c r="B36" s="246"/>
      <c r="C36" s="111"/>
      <c r="D36" s="412"/>
      <c r="E36" s="111"/>
      <c r="F36" s="111">
        <f t="shared" si="0"/>
        <v>0</v>
      </c>
      <c r="I36" s="370"/>
      <c r="J36" s="57"/>
      <c r="K36" s="111"/>
      <c r="L36" s="476"/>
      <c r="M36" s="69"/>
      <c r="N36" s="137">
        <f t="shared" si="1"/>
        <v>0</v>
      </c>
    </row>
    <row r="37" spans="1:14" ht="15.75" x14ac:dyDescent="0.25">
      <c r="A37" s="454"/>
      <c r="B37" s="246"/>
      <c r="C37" s="111"/>
      <c r="D37" s="412"/>
      <c r="E37" s="111"/>
      <c r="F37" s="111">
        <f t="shared" si="0"/>
        <v>0</v>
      </c>
      <c r="I37" s="370"/>
      <c r="J37" s="57"/>
      <c r="K37" s="111"/>
      <c r="L37" s="476"/>
      <c r="M37" s="69"/>
      <c r="N37" s="137">
        <f t="shared" si="1"/>
        <v>0</v>
      </c>
    </row>
    <row r="38" spans="1:14" ht="15.75" x14ac:dyDescent="0.25">
      <c r="A38" s="454"/>
      <c r="B38" s="246"/>
      <c r="C38" s="111"/>
      <c r="D38" s="412"/>
      <c r="E38" s="111"/>
      <c r="F38" s="111">
        <f t="shared" si="0"/>
        <v>0</v>
      </c>
      <c r="I38" s="288"/>
      <c r="J38" s="57"/>
      <c r="K38" s="111"/>
      <c r="L38" s="476"/>
      <c r="M38" s="69"/>
      <c r="N38" s="137">
        <f t="shared" si="1"/>
        <v>0</v>
      </c>
    </row>
    <row r="39" spans="1:14" ht="15.75" x14ac:dyDescent="0.25">
      <c r="A39" s="454"/>
      <c r="B39" s="246"/>
      <c r="C39" s="111"/>
      <c r="D39" s="412"/>
      <c r="E39" s="111"/>
      <c r="F39" s="111">
        <f t="shared" si="0"/>
        <v>0</v>
      </c>
      <c r="I39" s="288"/>
      <c r="J39" s="57"/>
      <c r="K39" s="111"/>
      <c r="L39" s="476"/>
      <c r="M39" s="69"/>
      <c r="N39" s="137">
        <f t="shared" si="1"/>
        <v>0</v>
      </c>
    </row>
    <row r="40" spans="1:14" ht="15.75" x14ac:dyDescent="0.25">
      <c r="A40" s="454"/>
      <c r="B40" s="246"/>
      <c r="C40" s="111"/>
      <c r="D40" s="412"/>
      <c r="E40" s="111"/>
      <c r="F40" s="111">
        <f t="shared" si="0"/>
        <v>0</v>
      </c>
      <c r="I40" s="288"/>
      <c r="J40" s="57"/>
      <c r="K40" s="111"/>
      <c r="L40" s="476"/>
      <c r="M40" s="69"/>
      <c r="N40" s="137">
        <f t="shared" si="1"/>
        <v>0</v>
      </c>
    </row>
    <row r="41" spans="1:14" ht="15.75" x14ac:dyDescent="0.25">
      <c r="A41" s="454"/>
      <c r="B41" s="246"/>
      <c r="C41" s="111"/>
      <c r="D41" s="412"/>
      <c r="E41" s="111"/>
      <c r="F41" s="111">
        <f t="shared" si="0"/>
        <v>0</v>
      </c>
      <c r="I41" s="288"/>
      <c r="J41" s="57"/>
      <c r="K41" s="111"/>
      <c r="L41" s="476"/>
      <c r="M41" s="69"/>
      <c r="N41" s="137">
        <f t="shared" si="1"/>
        <v>0</v>
      </c>
    </row>
    <row r="42" spans="1:14" ht="15.75" x14ac:dyDescent="0.25">
      <c r="A42" s="454"/>
      <c r="B42" s="246"/>
      <c r="C42" s="111"/>
      <c r="D42" s="253"/>
      <c r="E42" s="69"/>
      <c r="F42" s="111">
        <f t="shared" si="0"/>
        <v>0</v>
      </c>
      <c r="I42" s="288"/>
      <c r="J42" s="57"/>
      <c r="K42" s="111"/>
      <c r="L42" s="476"/>
      <c r="M42" s="69"/>
      <c r="N42" s="137">
        <f t="shared" si="1"/>
        <v>0</v>
      </c>
    </row>
    <row r="43" spans="1:14" ht="15.75" x14ac:dyDescent="0.25">
      <c r="A43" s="454"/>
      <c r="B43" s="439"/>
      <c r="C43" s="413"/>
      <c r="D43" s="413"/>
      <c r="E43" s="413"/>
      <c r="F43" s="111">
        <f t="shared" si="0"/>
        <v>0</v>
      </c>
      <c r="I43" s="288"/>
      <c r="J43" s="57"/>
      <c r="K43" s="111"/>
      <c r="L43" s="476"/>
      <c r="M43" s="69"/>
      <c r="N43" s="137">
        <f t="shared" si="1"/>
        <v>0</v>
      </c>
    </row>
    <row r="44" spans="1:14" ht="15" customHeight="1" x14ac:dyDescent="0.25">
      <c r="A44" s="454"/>
      <c r="B44" s="439"/>
      <c r="C44" s="413"/>
      <c r="D44" s="413"/>
      <c r="E44" s="413"/>
      <c r="F44" s="111">
        <f t="shared" si="0"/>
        <v>0</v>
      </c>
      <c r="I44" s="288"/>
      <c r="J44" s="57"/>
      <c r="K44" s="111"/>
      <c r="L44" s="476"/>
      <c r="M44" s="69"/>
      <c r="N44" s="137">
        <f t="shared" si="1"/>
        <v>0</v>
      </c>
    </row>
    <row r="45" spans="1:14" ht="15.75" x14ac:dyDescent="0.25">
      <c r="A45" s="454"/>
      <c r="B45" s="439"/>
      <c r="C45" s="413"/>
      <c r="D45" s="413"/>
      <c r="E45" s="413"/>
      <c r="F45" s="111">
        <f t="shared" si="0"/>
        <v>0</v>
      </c>
      <c r="I45" s="288"/>
      <c r="J45" s="57"/>
      <c r="K45" s="111"/>
      <c r="L45" s="476"/>
      <c r="M45" s="69"/>
      <c r="N45" s="137">
        <f t="shared" si="1"/>
        <v>0</v>
      </c>
    </row>
    <row r="46" spans="1:14" ht="15.75" x14ac:dyDescent="0.25">
      <c r="A46" s="454"/>
      <c r="B46" s="246"/>
      <c r="C46" s="111"/>
      <c r="D46" s="253"/>
      <c r="E46" s="69"/>
      <c r="F46" s="111">
        <f t="shared" si="0"/>
        <v>0</v>
      </c>
      <c r="I46" s="288"/>
      <c r="J46" s="57"/>
      <c r="K46" s="111"/>
      <c r="L46" s="476"/>
      <c r="M46" s="69"/>
      <c r="N46" s="137">
        <f t="shared" si="1"/>
        <v>0</v>
      </c>
    </row>
    <row r="47" spans="1:14" ht="15.75" x14ac:dyDescent="0.25">
      <c r="A47" s="454"/>
      <c r="B47" s="246"/>
      <c r="C47" s="111"/>
      <c r="D47" s="253"/>
      <c r="E47" s="69"/>
      <c r="F47" s="363">
        <f t="shared" ref="F47:F78" si="2">F46+C47-E47</f>
        <v>0</v>
      </c>
      <c r="I47" s="350"/>
      <c r="J47" s="415"/>
      <c r="K47" s="34"/>
      <c r="L47" s="416"/>
      <c r="M47" s="215"/>
      <c r="N47" s="137">
        <f t="shared" si="1"/>
        <v>0</v>
      </c>
    </row>
    <row r="48" spans="1:14" ht="15.75" x14ac:dyDescent="0.25">
      <c r="A48" s="454"/>
      <c r="B48" s="246"/>
      <c r="C48" s="111"/>
      <c r="D48" s="253"/>
      <c r="E48" s="69"/>
      <c r="F48" s="363">
        <f t="shared" si="2"/>
        <v>0</v>
      </c>
      <c r="I48" s="348"/>
      <c r="J48" s="414"/>
      <c r="K48" s="414"/>
      <c r="L48" s="477"/>
      <c r="M48" s="206"/>
      <c r="N48" s="137">
        <f>N47+K48-M48</f>
        <v>0</v>
      </c>
    </row>
    <row r="49" spans="1:14" ht="15.75" x14ac:dyDescent="0.25">
      <c r="A49" s="134"/>
      <c r="B49" s="139"/>
      <c r="C49" s="69"/>
      <c r="D49" s="253"/>
      <c r="E49" s="69"/>
      <c r="F49" s="137">
        <f t="shared" si="2"/>
        <v>0</v>
      </c>
      <c r="I49" s="348"/>
      <c r="J49" s="414"/>
      <c r="K49" s="414"/>
      <c r="L49" s="477"/>
      <c r="M49" s="206"/>
      <c r="N49" s="137">
        <f t="shared" si="1"/>
        <v>0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134"/>
      <c r="J50" s="408"/>
      <c r="K50" s="215">
        <v>0</v>
      </c>
      <c r="L50" s="409"/>
      <c r="M50" s="69"/>
      <c r="N50" s="137">
        <f t="shared" si="1"/>
        <v>0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2"/>
        <v>0</v>
      </c>
      <c r="I51" s="134"/>
      <c r="J51" s="139"/>
      <c r="K51" s="69"/>
      <c r="L51" s="140"/>
      <c r="M51" s="69"/>
      <c r="N51" s="137">
        <f t="shared" si="1"/>
        <v>0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2"/>
        <v>0</v>
      </c>
      <c r="I52" s="134"/>
      <c r="J52" s="139"/>
      <c r="K52" s="69"/>
      <c r="L52" s="140"/>
      <c r="M52" s="69"/>
      <c r="N52" s="137">
        <f t="shared" si="1"/>
        <v>0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2"/>
        <v>0</v>
      </c>
      <c r="I53" s="134"/>
      <c r="J53" s="139"/>
      <c r="K53" s="69"/>
      <c r="L53" s="140"/>
      <c r="M53" s="69"/>
      <c r="N53" s="137">
        <f t="shared" si="1"/>
        <v>0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2"/>
        <v>0</v>
      </c>
      <c r="I54" s="134"/>
      <c r="J54" s="139"/>
      <c r="K54" s="69"/>
      <c r="L54" s="140"/>
      <c r="M54" s="69"/>
      <c r="N54" s="137">
        <f t="shared" si="1"/>
        <v>0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2"/>
        <v>0</v>
      </c>
      <c r="I55" s="134"/>
      <c r="J55" s="139"/>
      <c r="K55" s="69"/>
      <c r="L55" s="140"/>
      <c r="M55" s="69"/>
      <c r="N55" s="137">
        <f t="shared" si="1"/>
        <v>0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2"/>
        <v>0</v>
      </c>
      <c r="I56" s="134"/>
      <c r="J56" s="139"/>
      <c r="K56" s="69"/>
      <c r="L56" s="140"/>
      <c r="M56" s="69"/>
      <c r="N56" s="137">
        <f t="shared" si="1"/>
        <v>0</v>
      </c>
    </row>
    <row r="57" spans="1:14" ht="15.75" hidden="1" x14ac:dyDescent="0.25">
      <c r="A57" s="134"/>
      <c r="B57" s="139"/>
      <c r="C57" s="69"/>
      <c r="D57" s="253"/>
      <c r="E57" s="69"/>
      <c r="F57" s="137">
        <f t="shared" si="2"/>
        <v>0</v>
      </c>
      <c r="I57" s="134"/>
      <c r="J57" s="139"/>
      <c r="K57" s="69"/>
      <c r="L57" s="140"/>
      <c r="M57" s="69"/>
      <c r="N57" s="137">
        <f t="shared" si="1"/>
        <v>0</v>
      </c>
    </row>
    <row r="58" spans="1:14" ht="15.75" hidden="1" x14ac:dyDescent="0.25">
      <c r="A58" s="134"/>
      <c r="B58" s="139"/>
      <c r="C58" s="69"/>
      <c r="D58" s="253"/>
      <c r="E58" s="69"/>
      <c r="F58" s="137">
        <f t="shared" si="2"/>
        <v>0</v>
      </c>
      <c r="I58" s="134"/>
      <c r="J58" s="139"/>
      <c r="K58" s="69"/>
      <c r="L58" s="140"/>
      <c r="M58" s="69"/>
      <c r="N58" s="137">
        <f t="shared" si="1"/>
        <v>0</v>
      </c>
    </row>
    <row r="59" spans="1:14" ht="15.75" hidden="1" x14ac:dyDescent="0.25">
      <c r="A59" s="134"/>
      <c r="B59" s="139"/>
      <c r="C59" s="69"/>
      <c r="D59" s="253"/>
      <c r="E59" s="69"/>
      <c r="F59" s="137">
        <f t="shared" si="2"/>
        <v>0</v>
      </c>
      <c r="I59" s="134"/>
      <c r="J59" s="139"/>
      <c r="K59" s="69"/>
      <c r="L59" s="140"/>
      <c r="M59" s="69"/>
      <c r="N59" s="137">
        <f t="shared" si="1"/>
        <v>0</v>
      </c>
    </row>
    <row r="60" spans="1:14" ht="15.75" hidden="1" x14ac:dyDescent="0.25">
      <c r="A60" s="134"/>
      <c r="B60" s="139"/>
      <c r="C60" s="69"/>
      <c r="D60" s="253"/>
      <c r="E60" s="69"/>
      <c r="F60" s="137">
        <f t="shared" si="2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hidden="1" x14ac:dyDescent="0.25">
      <c r="A61" s="134"/>
      <c r="B61" s="139"/>
      <c r="C61" s="69"/>
      <c r="D61" s="253"/>
      <c r="E61" s="69"/>
      <c r="F61" s="137">
        <f t="shared" si="2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5.75" hidden="1" x14ac:dyDescent="0.25">
      <c r="A62" s="134"/>
      <c r="B62" s="139"/>
      <c r="C62" s="69"/>
      <c r="D62" s="254"/>
      <c r="E62" s="69"/>
      <c r="F62" s="137">
        <f t="shared" si="2"/>
        <v>0</v>
      </c>
      <c r="I62" s="356"/>
      <c r="J62" s="357"/>
      <c r="K62" s="34"/>
      <c r="L62" s="147"/>
      <c r="M62" s="34"/>
      <c r="N62" s="137">
        <f t="shared" si="1"/>
        <v>0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2"/>
        <v>0</v>
      </c>
      <c r="I63" s="356"/>
      <c r="J63" s="357"/>
      <c r="K63" s="34"/>
      <c r="L63" s="147"/>
      <c r="M63" s="34"/>
      <c r="N63" s="137">
        <f t="shared" si="1"/>
        <v>0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2"/>
        <v>0</v>
      </c>
      <c r="I64" s="356"/>
      <c r="J64" s="357"/>
      <c r="K64" s="34"/>
      <c r="L64" s="147"/>
      <c r="M64" s="34"/>
      <c r="N64" s="137">
        <f t="shared" si="1"/>
        <v>0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2"/>
        <v>0</v>
      </c>
      <c r="I65" s="356"/>
      <c r="J65" s="357"/>
      <c r="K65" s="34"/>
      <c r="L65" s="147"/>
      <c r="M65" s="34"/>
      <c r="N65" s="137">
        <f t="shared" si="1"/>
        <v>0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2"/>
        <v>0</v>
      </c>
      <c r="I66" s="356"/>
      <c r="J66" s="357"/>
      <c r="K66" s="34"/>
      <c r="L66" s="147"/>
      <c r="M66" s="34"/>
      <c r="N66" s="137">
        <f t="shared" si="1"/>
        <v>0</v>
      </c>
    </row>
    <row r="67" spans="1:14" ht="15.75" hidden="1" x14ac:dyDescent="0.25">
      <c r="A67" s="356"/>
      <c r="B67" s="357"/>
      <c r="C67" s="34"/>
      <c r="D67" s="118"/>
      <c r="E67" s="34"/>
      <c r="F67" s="137">
        <f t="shared" si="2"/>
        <v>0</v>
      </c>
      <c r="I67" s="356"/>
      <c r="J67" s="357"/>
      <c r="K67" s="34"/>
      <c r="L67" s="147"/>
      <c r="M67" s="34"/>
      <c r="N67" s="137">
        <f t="shared" si="1"/>
        <v>0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2"/>
        <v>0</v>
      </c>
      <c r="I68" s="134"/>
      <c r="J68" s="139"/>
      <c r="K68" s="69"/>
      <c r="L68" s="148"/>
      <c r="M68" s="69"/>
      <c r="N68" s="137">
        <f t="shared" si="1"/>
        <v>0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si="2"/>
        <v>0</v>
      </c>
      <c r="I69" s="134"/>
      <c r="J69" s="139"/>
      <c r="K69" s="69"/>
      <c r="L69" s="148"/>
      <c r="M69" s="69"/>
      <c r="N69" s="137">
        <f t="shared" ref="N69:N78" si="3">N68+K69-M69</f>
        <v>0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2"/>
        <v>0</v>
      </c>
      <c r="I70" s="134"/>
      <c r="J70" s="139"/>
      <c r="K70" s="69"/>
      <c r="L70" s="148"/>
      <c r="M70" s="69"/>
      <c r="N70" s="137">
        <f t="shared" si="3"/>
        <v>0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2"/>
        <v>0</v>
      </c>
      <c r="I71" s="134"/>
      <c r="J71" s="139"/>
      <c r="K71" s="69"/>
      <c r="L71" s="148"/>
      <c r="M71" s="69"/>
      <c r="N71" s="137">
        <f t="shared" si="3"/>
        <v>0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si="2"/>
        <v>0</v>
      </c>
      <c r="I72" s="134"/>
      <c r="J72" s="139"/>
      <c r="K72" s="69"/>
      <c r="L72" s="148"/>
      <c r="M72" s="69"/>
      <c r="N72" s="137">
        <f t="shared" si="3"/>
        <v>0</v>
      </c>
    </row>
    <row r="73" spans="1:14" ht="15.75" hidden="1" x14ac:dyDescent="0.25">
      <c r="A73" s="134"/>
      <c r="B73" s="139"/>
      <c r="C73" s="69"/>
      <c r="D73" s="254"/>
      <c r="E73" s="69"/>
      <c r="F73" s="137">
        <f t="shared" si="2"/>
        <v>0</v>
      </c>
      <c r="I73" s="134"/>
      <c r="J73" s="139"/>
      <c r="K73" s="69"/>
      <c r="L73" s="148"/>
      <c r="M73" s="69"/>
      <c r="N73" s="137">
        <f t="shared" si="3"/>
        <v>0</v>
      </c>
    </row>
    <row r="74" spans="1:14" ht="15.75" hidden="1" x14ac:dyDescent="0.25">
      <c r="A74" s="134"/>
      <c r="B74" s="139"/>
      <c r="C74" s="69"/>
      <c r="D74" s="254"/>
      <c r="E74" s="69"/>
      <c r="F74" s="137">
        <f t="shared" si="2"/>
        <v>0</v>
      </c>
      <c r="I74" s="134"/>
      <c r="J74" s="139"/>
      <c r="K74" s="69"/>
      <c r="L74" s="148"/>
      <c r="M74" s="69"/>
      <c r="N74" s="137">
        <f t="shared" si="3"/>
        <v>0</v>
      </c>
    </row>
    <row r="75" spans="1:14" ht="15.75" hidden="1" x14ac:dyDescent="0.25">
      <c r="A75" s="134"/>
      <c r="B75" s="139"/>
      <c r="C75" s="69"/>
      <c r="D75" s="254"/>
      <c r="E75" s="69"/>
      <c r="F75" s="137">
        <f t="shared" si="2"/>
        <v>0</v>
      </c>
      <c r="I75" s="134"/>
      <c r="J75" s="139"/>
      <c r="K75" s="69"/>
      <c r="L75" s="148"/>
      <c r="M75" s="69"/>
      <c r="N75" s="137">
        <f t="shared" si="3"/>
        <v>0</v>
      </c>
    </row>
    <row r="76" spans="1:14" ht="15.75" hidden="1" x14ac:dyDescent="0.25">
      <c r="A76" s="134"/>
      <c r="B76" s="139"/>
      <c r="C76" s="69"/>
      <c r="D76" s="254"/>
      <c r="E76" s="69"/>
      <c r="F76" s="137">
        <f t="shared" si="2"/>
        <v>0</v>
      </c>
      <c r="I76" s="134"/>
      <c r="J76" s="139"/>
      <c r="K76" s="69"/>
      <c r="L76" s="148"/>
      <c r="M76" s="69"/>
      <c r="N76" s="137">
        <f t="shared" si="3"/>
        <v>0</v>
      </c>
    </row>
    <row r="77" spans="1:14" ht="15.75" hidden="1" x14ac:dyDescent="0.25">
      <c r="A77" s="134"/>
      <c r="B77" s="139"/>
      <c r="C77" s="69"/>
      <c r="D77" s="254"/>
      <c r="E77" s="69"/>
      <c r="F77" s="137">
        <f t="shared" si="2"/>
        <v>0</v>
      </c>
      <c r="I77" s="134"/>
      <c r="J77" s="139"/>
      <c r="K77" s="69"/>
      <c r="L77" s="148"/>
      <c r="M77" s="69"/>
      <c r="N77" s="137">
        <f t="shared" si="3"/>
        <v>0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 t="shared" si="2"/>
        <v>0</v>
      </c>
      <c r="I78" s="149"/>
      <c r="J78" s="150"/>
      <c r="K78" s="151">
        <v>0</v>
      </c>
      <c r="L78" s="152"/>
      <c r="M78" s="151"/>
      <c r="N78" s="137">
        <f t="shared" si="3"/>
        <v>0</v>
      </c>
    </row>
    <row r="79" spans="1:14" ht="19.5" thickTop="1" x14ac:dyDescent="0.3">
      <c r="B79" s="440"/>
      <c r="C79" s="212">
        <f>SUM(C3:C78)</f>
        <v>0</v>
      </c>
      <c r="D79" s="407"/>
      <c r="E79" s="395">
        <f>SUM(E3:E78)</f>
        <v>0</v>
      </c>
      <c r="F79" s="153">
        <f>SUM(F3:F78)</f>
        <v>0</v>
      </c>
      <c r="K79" s="209">
        <f>SUM(K3:K78)</f>
        <v>0</v>
      </c>
      <c r="L79" s="478"/>
      <c r="M79" s="209">
        <f>SUM(M3:M78)</f>
        <v>0</v>
      </c>
      <c r="N79" s="153">
        <f>N78</f>
        <v>0</v>
      </c>
    </row>
    <row r="80" spans="1:14" ht="15.75" thickBot="1" x14ac:dyDescent="0.3">
      <c r="B80" s="441"/>
      <c r="C80" s="214"/>
      <c r="D80" s="256"/>
      <c r="E80" s="3"/>
      <c r="F80" s="571" t="s">
        <v>207</v>
      </c>
      <c r="K80" s="1"/>
      <c r="L80" s="97"/>
      <c r="M80" s="3"/>
      <c r="N80" s="1"/>
    </row>
    <row r="81" spans="1:14" x14ac:dyDescent="0.25">
      <c r="B81" s="163"/>
      <c r="C81" s="1"/>
      <c r="D81" s="256"/>
      <c r="E81" s="3"/>
      <c r="F81" s="572"/>
      <c r="K81" s="1"/>
      <c r="L81" s="97"/>
      <c r="M81" s="3"/>
      <c r="N81" s="1"/>
    </row>
    <row r="82" spans="1:14" ht="16.5" thickBot="1" x14ac:dyDescent="0.3">
      <c r="A82" s="456"/>
      <c r="B82" s="442"/>
      <c r="H82" s="2"/>
      <c r="I82" s="14"/>
      <c r="J82" s="505"/>
      <c r="K82" s="6"/>
      <c r="L82" s="506"/>
      <c r="M82" s="6"/>
    </row>
    <row r="83" spans="1:14" x14ac:dyDescent="0.25">
      <c r="A83" s="456"/>
      <c r="B83" s="442"/>
      <c r="I83" s="609" t="s">
        <v>594</v>
      </c>
      <c r="J83" s="610"/>
    </row>
    <row r="84" spans="1:14" ht="15.75" thickBot="1" x14ac:dyDescent="0.3">
      <c r="A84" s="456"/>
      <c r="B84" s="442"/>
      <c r="I84" s="611"/>
      <c r="J84" s="612"/>
    </row>
    <row r="85" spans="1:14" x14ac:dyDescent="0.25">
      <c r="A85" s="456"/>
      <c r="B85" s="442"/>
      <c r="F85"/>
      <c r="I85"/>
      <c r="J85" s="194"/>
      <c r="N85"/>
    </row>
    <row r="86" spans="1:14" x14ac:dyDescent="0.25">
      <c r="A86" s="456"/>
      <c r="B86" s="442"/>
      <c r="F86"/>
      <c r="I86"/>
      <c r="J86" s="194"/>
      <c r="N86"/>
    </row>
    <row r="87" spans="1:14" x14ac:dyDescent="0.25">
      <c r="A87" s="456"/>
      <c r="B87" s="442"/>
      <c r="F87"/>
      <c r="I87"/>
      <c r="J87" s="194"/>
      <c r="N87"/>
    </row>
    <row r="88" spans="1:14" x14ac:dyDescent="0.25">
      <c r="A88" s="456"/>
      <c r="B88" s="442"/>
      <c r="F88"/>
      <c r="I88"/>
      <c r="J88" s="194"/>
      <c r="N88"/>
    </row>
    <row r="89" spans="1:14" ht="15.75" x14ac:dyDescent="0.25">
      <c r="A89" s="493">
        <v>44648</v>
      </c>
      <c r="B89" s="494" t="s">
        <v>610</v>
      </c>
      <c r="C89" s="495">
        <v>10026.200000000001</v>
      </c>
      <c r="F89"/>
      <c r="I89"/>
      <c r="J89" s="194"/>
      <c r="N89"/>
    </row>
    <row r="90" spans="1:14" ht="15.75" x14ac:dyDescent="0.25">
      <c r="A90" s="493">
        <v>44649</v>
      </c>
      <c r="B90" s="496" t="s">
        <v>611</v>
      </c>
      <c r="C90" s="489">
        <v>94987.44</v>
      </c>
      <c r="F90"/>
      <c r="I90"/>
      <c r="J90" s="194"/>
      <c r="N90"/>
    </row>
    <row r="91" spans="1:14" ht="15.75" x14ac:dyDescent="0.25">
      <c r="A91" s="493">
        <v>44650</v>
      </c>
      <c r="B91" s="496" t="s">
        <v>612</v>
      </c>
      <c r="C91" s="489">
        <v>8900.25</v>
      </c>
      <c r="F91"/>
      <c r="I91"/>
      <c r="J91" s="194"/>
      <c r="N91"/>
    </row>
    <row r="92" spans="1:14" ht="15.75" x14ac:dyDescent="0.25">
      <c r="A92" s="493">
        <v>44650</v>
      </c>
      <c r="B92" s="496" t="s">
        <v>613</v>
      </c>
      <c r="C92" s="489">
        <v>8045.4</v>
      </c>
      <c r="F92"/>
      <c r="I92"/>
      <c r="J92" s="194"/>
      <c r="N92"/>
    </row>
    <row r="93" spans="1:14" ht="15.75" x14ac:dyDescent="0.25">
      <c r="A93" s="497">
        <v>44651</v>
      </c>
      <c r="B93" s="496" t="s">
        <v>614</v>
      </c>
      <c r="C93" s="489">
        <v>41855.9</v>
      </c>
      <c r="F93"/>
      <c r="I93"/>
      <c r="J93" s="194"/>
      <c r="N93"/>
    </row>
    <row r="94" spans="1:14" x14ac:dyDescent="0.25">
      <c r="A94" s="456"/>
      <c r="B94" s="442"/>
      <c r="E94"/>
      <c r="F94"/>
      <c r="I94"/>
      <c r="J94" s="194"/>
      <c r="M94"/>
      <c r="N94"/>
    </row>
    <row r="95" spans="1:14" x14ac:dyDescent="0.25">
      <c r="A95" s="456"/>
      <c r="B95" s="442"/>
      <c r="E95"/>
      <c r="F95"/>
      <c r="I95"/>
      <c r="J95" s="194"/>
      <c r="M95"/>
      <c r="N95"/>
    </row>
    <row r="96" spans="1:14" x14ac:dyDescent="0.25">
      <c r="A96" s="456"/>
      <c r="B96" s="442"/>
      <c r="E96"/>
      <c r="F96"/>
      <c r="I96"/>
      <c r="J96" s="194"/>
      <c r="M96"/>
      <c r="N96"/>
    </row>
    <row r="97" spans="1:14" x14ac:dyDescent="0.25">
      <c r="A97" s="456"/>
      <c r="B97" s="442"/>
      <c r="E97"/>
      <c r="F97"/>
      <c r="I97"/>
      <c r="J97" s="194"/>
      <c r="M97"/>
      <c r="N97"/>
    </row>
    <row r="98" spans="1:14" x14ac:dyDescent="0.25">
      <c r="A98" s="456"/>
      <c r="B98" s="442"/>
      <c r="E98"/>
      <c r="F98"/>
      <c r="I98"/>
      <c r="J98" s="194"/>
      <c r="M98"/>
      <c r="N98"/>
    </row>
    <row r="99" spans="1:14" x14ac:dyDescent="0.25">
      <c r="A99" s="456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2">
    <mergeCell ref="F80:F81"/>
    <mergeCell ref="I83:J84"/>
  </mergeCells>
  <pageMargins left="0.34" right="0.13" top="0.26" bottom="0.26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OCTUBRE      2 0 2 1     </vt:lpstr>
      <vt:lpstr>REMISIONES    OCTUBRE    2021  </vt:lpstr>
      <vt:lpstr>     NOVIEMBRE   2 0 2 1     </vt:lpstr>
      <vt:lpstr>REMISIONES  NOVIEMBRE  2021  </vt:lpstr>
      <vt:lpstr>DICIEMBRE    2 0 2 1      </vt:lpstr>
      <vt:lpstr>REMISIONES  DICIEMBRE  2021   </vt:lpstr>
      <vt:lpstr>    E N E R O     2 0 2 2   </vt:lpstr>
      <vt:lpstr>COMPRAS  DE ENERO  2022</vt:lpstr>
      <vt:lpstr>FEBRERO       2 0 2 2      </vt:lpstr>
      <vt:lpstr>COMPRAS   FEBRERO    2 0  2 2  </vt:lpstr>
      <vt:lpstr>    M A R Z O     2 0 2 2      </vt:lpstr>
      <vt:lpstr>COMPRAS     MARZO     2022    </vt:lpstr>
      <vt:lpstr>     A B R I L     2 0 2 2     </vt:lpstr>
      <vt:lpstr>   COMPRAS    ABRIL    2 02 2 2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2022-04-21T15:14:51Z</cp:lastPrinted>
  <dcterms:created xsi:type="dcterms:W3CDTF">2021-11-04T19:08:42Z</dcterms:created>
  <dcterms:modified xsi:type="dcterms:W3CDTF">2022-04-22T20:51:05Z</dcterms:modified>
</cp:coreProperties>
</file>