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drawings/drawing15.xml" ContentType="application/vnd.openxmlformats-officedocument.drawing+xml"/>
  <Override PartName="/xl/comments12.xml" ContentType="application/vnd.openxmlformats-officedocument.spreadsheetml.comments+xml"/>
  <Override PartName="/xl/drawings/drawing16.xml" ContentType="application/vnd.openxmlformats-officedocument.drawing+xml"/>
  <Override PartName="/xl/comments13.xml" ContentType="application/vnd.openxmlformats-officedocument.spreadsheetml.comments+xml"/>
  <Override PartName="/xl/drawings/drawing17.xml" ContentType="application/vnd.openxmlformats-officedocument.drawing+xml"/>
  <Override PartName="/xl/comments14.xml" ContentType="application/vnd.openxmlformats-officedocument.spreadsheetml.comments+xml"/>
  <Override PartName="/xl/drawings/drawing18.xml" ContentType="application/vnd.openxmlformats-officedocument.drawing+xml"/>
  <Override PartName="/xl/comments1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12  DICIEMBRE 2022\"/>
    </mc:Choice>
  </mc:AlternateContent>
  <bookViews>
    <workbookView xWindow="3690" yWindow="0" windowWidth="16605" windowHeight="10920" firstSheet="27" activeTab="29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 S E P T I E M B R E     2022  " sheetId="26" r:id="rId24"/>
    <sheet name="COMPRAS  SEPTIEMBRE  2022    " sheetId="28" r:id="rId25"/>
    <sheet name="   O C T U B R E     2 0 2 2   " sheetId="30" r:id="rId26"/>
    <sheet name=" COMPRAS  OCTUBRE   2022    " sheetId="27" r:id="rId27"/>
    <sheet name="   N O V I E M B R E   2 0 2 2 " sheetId="29" r:id="rId28"/>
    <sheet name="COMPRAS  NOVIEMBRE 2022" sheetId="31" r:id="rId29"/>
    <sheet name="  D I C I E M B R E    2  0 2 2" sheetId="32" r:id="rId30"/>
    <sheet name="COMPRAS DICIEMBRE  2022  " sheetId="33" r:id="rId31"/>
    <sheet name="Hoja3" sheetId="34" r:id="rId3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67" i="33" l="1"/>
  <c r="M67" i="33"/>
  <c r="K67" i="33"/>
  <c r="F67" i="33"/>
  <c r="D67" i="33"/>
  <c r="G65" i="33"/>
  <c r="G64" i="33"/>
  <c r="G63" i="33"/>
  <c r="G62" i="33"/>
  <c r="G61" i="33"/>
  <c r="G60" i="33"/>
  <c r="G59" i="33"/>
  <c r="G58" i="33"/>
  <c r="G57" i="33"/>
  <c r="G56" i="33"/>
  <c r="G55" i="33"/>
  <c r="G54" i="33"/>
  <c r="G53" i="33"/>
  <c r="G52" i="33"/>
  <c r="G51" i="33"/>
  <c r="G50" i="33"/>
  <c r="G49" i="33"/>
  <c r="G48" i="33"/>
  <c r="G47" i="33"/>
  <c r="G46" i="33"/>
  <c r="G45" i="33"/>
  <c r="G44" i="33"/>
  <c r="G43" i="33"/>
  <c r="G42" i="33"/>
  <c r="G41" i="33"/>
  <c r="G40" i="33"/>
  <c r="G39" i="33"/>
  <c r="G38" i="33"/>
  <c r="G37" i="33"/>
  <c r="G36" i="33"/>
  <c r="G35" i="33"/>
  <c r="G34" i="33"/>
  <c r="G33" i="33"/>
  <c r="G32" i="33"/>
  <c r="G31" i="33"/>
  <c r="G30" i="33"/>
  <c r="G29" i="33"/>
  <c r="G28" i="33"/>
  <c r="G27" i="33"/>
  <c r="G26" i="33"/>
  <c r="G25" i="33"/>
  <c r="G24" i="33"/>
  <c r="G23" i="33"/>
  <c r="G22" i="33"/>
  <c r="G21" i="33"/>
  <c r="G20" i="33"/>
  <c r="G19" i="33"/>
  <c r="G18" i="33"/>
  <c r="G17" i="33"/>
  <c r="G16" i="33"/>
  <c r="G15" i="33"/>
  <c r="G14" i="33"/>
  <c r="G13" i="33"/>
  <c r="G12" i="33"/>
  <c r="G11" i="33"/>
  <c r="G10" i="33"/>
  <c r="G9" i="33"/>
  <c r="G8" i="33"/>
  <c r="G7" i="33"/>
  <c r="G6" i="33"/>
  <c r="G5" i="33"/>
  <c r="G4" i="33"/>
  <c r="N3" i="33"/>
  <c r="N4" i="33" s="1"/>
  <c r="N5" i="33" s="1"/>
  <c r="N6" i="33" s="1"/>
  <c r="N7" i="33" s="1"/>
  <c r="N8" i="33" s="1"/>
  <c r="N9" i="33" s="1"/>
  <c r="N10" i="33" s="1"/>
  <c r="N11" i="33" s="1"/>
  <c r="N12" i="33" s="1"/>
  <c r="N13" i="33" s="1"/>
  <c r="N14" i="33" s="1"/>
  <c r="N15" i="33" s="1"/>
  <c r="N16" i="33" s="1"/>
  <c r="N17" i="33" s="1"/>
  <c r="N18" i="33" s="1"/>
  <c r="N19" i="33" s="1"/>
  <c r="N20" i="33" s="1"/>
  <c r="N21" i="33" s="1"/>
  <c r="N22" i="33" s="1"/>
  <c r="N23" i="33" s="1"/>
  <c r="N24" i="33" s="1"/>
  <c r="N25" i="33" s="1"/>
  <c r="N26" i="33" s="1"/>
  <c r="N27" i="33" s="1"/>
  <c r="N28" i="33" s="1"/>
  <c r="N29" i="33" s="1"/>
  <c r="N30" i="33" s="1"/>
  <c r="N31" i="33" s="1"/>
  <c r="N32" i="33" s="1"/>
  <c r="N33" i="33" s="1"/>
  <c r="N34" i="33" s="1"/>
  <c r="N35" i="33" s="1"/>
  <c r="N36" i="33" s="1"/>
  <c r="N37" i="33" s="1"/>
  <c r="N38" i="33" s="1"/>
  <c r="N39" i="33" s="1"/>
  <c r="N40" i="33" s="1"/>
  <c r="N41" i="33" s="1"/>
  <c r="N42" i="33" s="1"/>
  <c r="N43" i="33" s="1"/>
  <c r="N44" i="33" s="1"/>
  <c r="N45" i="33" s="1"/>
  <c r="N46" i="33" s="1"/>
  <c r="N47" i="33" s="1"/>
  <c r="N48" i="33" s="1"/>
  <c r="N49" i="33" s="1"/>
  <c r="N50" i="33" s="1"/>
  <c r="N51" i="33" s="1"/>
  <c r="N52" i="33" s="1"/>
  <c r="N53" i="33" s="1"/>
  <c r="N54" i="33" s="1"/>
  <c r="N55" i="33" s="1"/>
  <c r="N56" i="33" s="1"/>
  <c r="N57" i="33" s="1"/>
  <c r="N58" i="33" s="1"/>
  <c r="N59" i="33" s="1"/>
  <c r="N60" i="33" s="1"/>
  <c r="N61" i="33" s="1"/>
  <c r="N62" i="33" s="1"/>
  <c r="N63" i="33" s="1"/>
  <c r="N64" i="33" s="1"/>
  <c r="N65" i="33" s="1"/>
  <c r="G3" i="33"/>
  <c r="K73" i="32"/>
  <c r="L67" i="32"/>
  <c r="I67" i="32"/>
  <c r="F67" i="32"/>
  <c r="C67" i="32"/>
  <c r="R42" i="32"/>
  <c r="N41" i="32"/>
  <c r="Q40" i="32"/>
  <c r="Q39" i="32"/>
  <c r="Q38" i="32"/>
  <c r="Q37" i="32"/>
  <c r="Q36" i="32"/>
  <c r="Q35" i="32"/>
  <c r="Q34" i="32"/>
  <c r="P33" i="32"/>
  <c r="Q33" i="32" s="1"/>
  <c r="P32" i="32"/>
  <c r="Q32" i="32" s="1"/>
  <c r="P31" i="32"/>
  <c r="Q31" i="32" s="1"/>
  <c r="P30" i="32"/>
  <c r="Q30" i="32" s="1"/>
  <c r="P29" i="32"/>
  <c r="Q29" i="32" s="1"/>
  <c r="P28" i="32"/>
  <c r="Q28" i="32" s="1"/>
  <c r="P27" i="32"/>
  <c r="Q27" i="32" s="1"/>
  <c r="P26" i="32"/>
  <c r="Q26" i="32" s="1"/>
  <c r="P25" i="32"/>
  <c r="Q25" i="32" s="1"/>
  <c r="P24" i="32"/>
  <c r="Q24" i="32" s="1"/>
  <c r="P23" i="32"/>
  <c r="Q23" i="32" s="1"/>
  <c r="Q22" i="32"/>
  <c r="P22" i="32"/>
  <c r="P21" i="32"/>
  <c r="Q21" i="32" s="1"/>
  <c r="P20" i="32"/>
  <c r="P19" i="32"/>
  <c r="P18" i="32"/>
  <c r="Q18" i="32" s="1"/>
  <c r="P17" i="32"/>
  <c r="Q17" i="32" s="1"/>
  <c r="P16" i="32"/>
  <c r="Q16" i="32" s="1"/>
  <c r="P15" i="32"/>
  <c r="Q15" i="32" s="1"/>
  <c r="P14" i="32"/>
  <c r="P13" i="32"/>
  <c r="Q13" i="32" s="1"/>
  <c r="P12" i="32"/>
  <c r="Q12" i="32" s="1"/>
  <c r="P11" i="32"/>
  <c r="Q11" i="32" s="1"/>
  <c r="P10" i="32"/>
  <c r="Q10" i="32" s="1"/>
  <c r="P9" i="32"/>
  <c r="Q9" i="32" s="1"/>
  <c r="P8" i="32"/>
  <c r="P7" i="32"/>
  <c r="Q7" i="32" s="1"/>
  <c r="M41" i="32"/>
  <c r="M45" i="32" s="1"/>
  <c r="P5" i="32"/>
  <c r="Q5" i="32" s="1"/>
  <c r="G67" i="33" l="1"/>
  <c r="K69" i="32"/>
  <c r="F70" i="32"/>
  <c r="F73" i="32" s="1"/>
  <c r="K71" i="32" s="1"/>
  <c r="K75" i="32" s="1"/>
  <c r="Q41" i="32"/>
  <c r="P6" i="32"/>
  <c r="P41" i="32" s="1"/>
  <c r="F21" i="27"/>
  <c r="F19" i="27"/>
  <c r="F18" i="27"/>
  <c r="F16" i="27"/>
  <c r="F14" i="27"/>
  <c r="F9" i="27"/>
  <c r="D83" i="27"/>
  <c r="M31" i="29" l="1"/>
  <c r="M28" i="29" l="1"/>
  <c r="M27" i="29"/>
  <c r="M26" i="29"/>
  <c r="M21" i="29" l="1"/>
  <c r="M20" i="29" l="1"/>
  <c r="M19" i="29"/>
  <c r="M16" i="29"/>
  <c r="M17" i="29" l="1"/>
  <c r="M15" i="29"/>
  <c r="M14" i="29" l="1"/>
  <c r="M13" i="29" l="1"/>
  <c r="M12" i="29"/>
  <c r="M11" i="29" l="1"/>
  <c r="P10" i="29"/>
  <c r="Q10" i="29"/>
  <c r="M10" i="29"/>
  <c r="M9" i="29"/>
  <c r="M8" i="29" l="1"/>
  <c r="M7" i="29" l="1"/>
  <c r="M6" i="29"/>
  <c r="N67" i="31" l="1"/>
  <c r="M67" i="31"/>
  <c r="K67" i="31"/>
  <c r="F67" i="31"/>
  <c r="D67" i="31"/>
  <c r="G65" i="31"/>
  <c r="G64" i="31"/>
  <c r="G63" i="31"/>
  <c r="G62" i="31"/>
  <c r="G61" i="31"/>
  <c r="G60" i="31"/>
  <c r="G59" i="31"/>
  <c r="G58" i="31"/>
  <c r="G57" i="31"/>
  <c r="G56" i="31"/>
  <c r="G55" i="31"/>
  <c r="G54" i="31"/>
  <c r="G53" i="31"/>
  <c r="G52" i="31"/>
  <c r="G51" i="31"/>
  <c r="G50" i="31"/>
  <c r="G49" i="31"/>
  <c r="G48" i="31"/>
  <c r="G47" i="31"/>
  <c r="G46" i="31"/>
  <c r="G45" i="31"/>
  <c r="G44" i="31"/>
  <c r="G43" i="31"/>
  <c r="G42" i="31"/>
  <c r="G41" i="31"/>
  <c r="G40" i="31"/>
  <c r="G39" i="31"/>
  <c r="G38" i="31"/>
  <c r="G37" i="31"/>
  <c r="G36" i="31"/>
  <c r="G35" i="31"/>
  <c r="G34" i="31"/>
  <c r="G33" i="31"/>
  <c r="G32" i="31"/>
  <c r="G31" i="31"/>
  <c r="G30" i="31"/>
  <c r="G29" i="31"/>
  <c r="G28" i="31"/>
  <c r="G27" i="31"/>
  <c r="G26" i="31"/>
  <c r="G25" i="31"/>
  <c r="G24" i="31"/>
  <c r="G23" i="31"/>
  <c r="G22" i="31"/>
  <c r="G21" i="31"/>
  <c r="G20" i="31"/>
  <c r="G19" i="31"/>
  <c r="G18" i="31"/>
  <c r="G17" i="31"/>
  <c r="G16" i="31"/>
  <c r="G15" i="31"/>
  <c r="G14" i="31"/>
  <c r="G13" i="31"/>
  <c r="G12" i="31"/>
  <c r="G11" i="31"/>
  <c r="G10" i="31"/>
  <c r="G9" i="31"/>
  <c r="G8" i="31"/>
  <c r="G7" i="31"/>
  <c r="G6" i="31"/>
  <c r="G5" i="31"/>
  <c r="G4" i="31"/>
  <c r="N3" i="31"/>
  <c r="N4" i="31" s="1"/>
  <c r="N5" i="31" s="1"/>
  <c r="N6" i="31" s="1"/>
  <c r="N7" i="31" s="1"/>
  <c r="N8" i="31" s="1"/>
  <c r="N9" i="31" s="1"/>
  <c r="N10" i="31" s="1"/>
  <c r="N11" i="31" s="1"/>
  <c r="N12" i="31" s="1"/>
  <c r="N13" i="31" s="1"/>
  <c r="N14" i="31" s="1"/>
  <c r="N15" i="31" s="1"/>
  <c r="N16" i="31" s="1"/>
  <c r="N17" i="31" s="1"/>
  <c r="N18" i="31" s="1"/>
  <c r="N19" i="31" s="1"/>
  <c r="N20" i="31" s="1"/>
  <c r="N21" i="31" s="1"/>
  <c r="N22" i="31" s="1"/>
  <c r="N23" i="31" s="1"/>
  <c r="N24" i="31" s="1"/>
  <c r="N25" i="31" s="1"/>
  <c r="N26" i="31" s="1"/>
  <c r="N27" i="31" s="1"/>
  <c r="N28" i="31" s="1"/>
  <c r="N29" i="31" s="1"/>
  <c r="N30" i="31" s="1"/>
  <c r="N31" i="31" s="1"/>
  <c r="N32" i="31" s="1"/>
  <c r="N33" i="31" s="1"/>
  <c r="N34" i="31" s="1"/>
  <c r="N35" i="31" s="1"/>
  <c r="N36" i="31" s="1"/>
  <c r="N37" i="31" s="1"/>
  <c r="N38" i="31" s="1"/>
  <c r="N39" i="31" s="1"/>
  <c r="N40" i="31" s="1"/>
  <c r="N41" i="31" s="1"/>
  <c r="N42" i="31" s="1"/>
  <c r="N43" i="31" s="1"/>
  <c r="N44" i="31" s="1"/>
  <c r="N45" i="31" s="1"/>
  <c r="N46" i="31" s="1"/>
  <c r="N47" i="31" s="1"/>
  <c r="N48" i="31" s="1"/>
  <c r="N49" i="31" s="1"/>
  <c r="N50" i="31" s="1"/>
  <c r="N51" i="31" s="1"/>
  <c r="N52" i="31" s="1"/>
  <c r="N53" i="31" s="1"/>
  <c r="N54" i="31" s="1"/>
  <c r="N55" i="31" s="1"/>
  <c r="N56" i="31" s="1"/>
  <c r="N57" i="31" s="1"/>
  <c r="N58" i="31" s="1"/>
  <c r="N59" i="31" s="1"/>
  <c r="N60" i="31" s="1"/>
  <c r="N61" i="31" s="1"/>
  <c r="N62" i="31" s="1"/>
  <c r="N63" i="31" s="1"/>
  <c r="N64" i="31" s="1"/>
  <c r="N65" i="31" s="1"/>
  <c r="G3" i="31"/>
  <c r="K73" i="29"/>
  <c r="I67" i="29"/>
  <c r="F67" i="29"/>
  <c r="C67" i="29"/>
  <c r="R42" i="29"/>
  <c r="Q40" i="29"/>
  <c r="Q39" i="29"/>
  <c r="Q38" i="29"/>
  <c r="Q37" i="29"/>
  <c r="L67" i="29"/>
  <c r="Q36" i="29"/>
  <c r="Q35" i="29"/>
  <c r="Q34" i="29"/>
  <c r="P33" i="29"/>
  <c r="Q33" i="29" s="1"/>
  <c r="P32" i="29"/>
  <c r="Q32" i="29" s="1"/>
  <c r="P31" i="29"/>
  <c r="Q31" i="29" s="1"/>
  <c r="P30" i="29"/>
  <c r="Q30" i="29" s="1"/>
  <c r="P29" i="29"/>
  <c r="Q29" i="29" s="1"/>
  <c r="P28" i="29"/>
  <c r="Q28" i="29" s="1"/>
  <c r="P27" i="29"/>
  <c r="Q27" i="29" s="1"/>
  <c r="P26" i="29"/>
  <c r="Q26" i="29" s="1"/>
  <c r="P25" i="29"/>
  <c r="Q25" i="29" s="1"/>
  <c r="P24" i="29"/>
  <c r="Q24" i="29" s="1"/>
  <c r="P23" i="29"/>
  <c r="Q23" i="29" s="1"/>
  <c r="P22" i="29"/>
  <c r="Q22" i="29" s="1"/>
  <c r="P21" i="29"/>
  <c r="Q21" i="29" s="1"/>
  <c r="P20" i="29"/>
  <c r="P19" i="29"/>
  <c r="P18" i="29"/>
  <c r="Q18" i="29" s="1"/>
  <c r="P17" i="29"/>
  <c r="Q17" i="29" s="1"/>
  <c r="P16" i="29"/>
  <c r="Q16" i="29" s="1"/>
  <c r="P15" i="29"/>
  <c r="Q15" i="29" s="1"/>
  <c r="P14" i="29"/>
  <c r="P13" i="29"/>
  <c r="Q13" i="29" s="1"/>
  <c r="P12" i="29"/>
  <c r="Q12" i="29" s="1"/>
  <c r="P11" i="29"/>
  <c r="Q11" i="29" s="1"/>
  <c r="P9" i="29"/>
  <c r="Q9" i="29" s="1"/>
  <c r="P8" i="29"/>
  <c r="P7" i="29"/>
  <c r="Q7" i="29" s="1"/>
  <c r="P6" i="29"/>
  <c r="P5" i="29"/>
  <c r="Q5" i="29" s="1"/>
  <c r="G67" i="31" l="1"/>
  <c r="K69" i="29"/>
  <c r="F70" i="29" s="1"/>
  <c r="F73" i="29" s="1"/>
  <c r="K71" i="29" s="1"/>
  <c r="K75" i="29" s="1"/>
  <c r="Q41" i="29"/>
  <c r="M41" i="29"/>
  <c r="N41" i="29"/>
  <c r="P41" i="29"/>
  <c r="F32" i="28"/>
  <c r="F31" i="28"/>
  <c r="F28" i="28"/>
  <c r="F22" i="28"/>
  <c r="F18" i="28"/>
  <c r="F3" i="28"/>
  <c r="D101" i="28"/>
  <c r="M45" i="29" l="1"/>
  <c r="L37" i="30"/>
  <c r="P22" i="30"/>
  <c r="M29" i="30"/>
  <c r="M28" i="30"/>
  <c r="M26" i="30"/>
  <c r="N26" i="30" l="1"/>
  <c r="M25" i="30"/>
  <c r="M22" i="30"/>
  <c r="N22" i="30" l="1"/>
  <c r="M21" i="30"/>
  <c r="M20" i="30"/>
  <c r="M19" i="30" l="1"/>
  <c r="C19" i="30"/>
  <c r="M15" i="30" l="1"/>
  <c r="M14" i="30"/>
  <c r="M13" i="30" l="1"/>
  <c r="M12" i="30" l="1"/>
  <c r="M10" i="30"/>
  <c r="M9" i="30" l="1"/>
  <c r="M8" i="30" l="1"/>
  <c r="M7" i="30"/>
  <c r="M6" i="30" l="1"/>
  <c r="M5" i="30" l="1"/>
  <c r="Q39" i="30"/>
  <c r="N67" i="27"/>
  <c r="M67" i="27"/>
  <c r="K67" i="27"/>
  <c r="F67" i="27"/>
  <c r="D67" i="27"/>
  <c r="G65" i="27"/>
  <c r="G64" i="27"/>
  <c r="G63" i="27"/>
  <c r="G62" i="27"/>
  <c r="G61" i="27"/>
  <c r="G60" i="27"/>
  <c r="G59" i="27"/>
  <c r="G58" i="27"/>
  <c r="G57" i="27"/>
  <c r="G56" i="27"/>
  <c r="G55" i="27"/>
  <c r="G54" i="27"/>
  <c r="G53" i="27"/>
  <c r="G52" i="27"/>
  <c r="G51" i="27"/>
  <c r="G50" i="27"/>
  <c r="G49" i="27"/>
  <c r="G48" i="27"/>
  <c r="G47" i="27"/>
  <c r="G46" i="27"/>
  <c r="G45" i="27"/>
  <c r="G44" i="27"/>
  <c r="G43" i="27"/>
  <c r="G42" i="27"/>
  <c r="G41" i="27"/>
  <c r="G40" i="27"/>
  <c r="G39" i="27"/>
  <c r="G38" i="27"/>
  <c r="G37" i="27"/>
  <c r="G36" i="27"/>
  <c r="G35" i="27"/>
  <c r="G34" i="27"/>
  <c r="G33" i="27"/>
  <c r="G32" i="27"/>
  <c r="G31" i="27"/>
  <c r="G30" i="27"/>
  <c r="G29" i="27"/>
  <c r="G28" i="27"/>
  <c r="G27" i="27"/>
  <c r="G26" i="27"/>
  <c r="G25" i="27"/>
  <c r="G24" i="27"/>
  <c r="G23" i="27"/>
  <c r="G22" i="27"/>
  <c r="G21" i="27"/>
  <c r="G20" i="27"/>
  <c r="G19" i="27"/>
  <c r="G18" i="27"/>
  <c r="G17" i="27"/>
  <c r="G16" i="27"/>
  <c r="G15" i="27"/>
  <c r="G14" i="27"/>
  <c r="G13" i="27"/>
  <c r="G12" i="27"/>
  <c r="G11" i="27"/>
  <c r="G10" i="27"/>
  <c r="G9" i="27"/>
  <c r="G8" i="27"/>
  <c r="G7" i="27"/>
  <c r="G6" i="27"/>
  <c r="G5" i="27"/>
  <c r="G4" i="27"/>
  <c r="N3" i="27"/>
  <c r="N4" i="27" s="1"/>
  <c r="N5" i="27" s="1"/>
  <c r="N6" i="27" s="1"/>
  <c r="N7" i="27" s="1"/>
  <c r="N8" i="27" s="1"/>
  <c r="N9" i="27" s="1"/>
  <c r="N10" i="27" s="1"/>
  <c r="N11" i="27" s="1"/>
  <c r="N12" i="27" s="1"/>
  <c r="N13" i="27" s="1"/>
  <c r="N14" i="27" s="1"/>
  <c r="N15" i="27" s="1"/>
  <c r="N16" i="27" s="1"/>
  <c r="N17" i="27" s="1"/>
  <c r="N18" i="27" s="1"/>
  <c r="N19" i="27" s="1"/>
  <c r="N20" i="27" s="1"/>
  <c r="N21" i="27" s="1"/>
  <c r="N22" i="27" s="1"/>
  <c r="N23" i="27" s="1"/>
  <c r="N24" i="27" s="1"/>
  <c r="N25" i="27" s="1"/>
  <c r="N26" i="27" s="1"/>
  <c r="N27" i="27" s="1"/>
  <c r="N28" i="27" s="1"/>
  <c r="N29" i="27" s="1"/>
  <c r="N30" i="27" s="1"/>
  <c r="N31" i="27" s="1"/>
  <c r="N32" i="27" s="1"/>
  <c r="N33" i="27" s="1"/>
  <c r="N34" i="27" s="1"/>
  <c r="N35" i="27" s="1"/>
  <c r="N36" i="27" s="1"/>
  <c r="N37" i="27" s="1"/>
  <c r="N38" i="27" s="1"/>
  <c r="N39" i="27" s="1"/>
  <c r="N40" i="27" s="1"/>
  <c r="N41" i="27" s="1"/>
  <c r="N42" i="27" s="1"/>
  <c r="N43" i="27" s="1"/>
  <c r="N44" i="27" s="1"/>
  <c r="N45" i="27" s="1"/>
  <c r="N46" i="27" s="1"/>
  <c r="N47" i="27" s="1"/>
  <c r="N48" i="27" s="1"/>
  <c r="N49" i="27" s="1"/>
  <c r="N50" i="27" s="1"/>
  <c r="N51" i="27" s="1"/>
  <c r="N52" i="27" s="1"/>
  <c r="N53" i="27" s="1"/>
  <c r="N54" i="27" s="1"/>
  <c r="N55" i="27" s="1"/>
  <c r="N56" i="27" s="1"/>
  <c r="N57" i="27" s="1"/>
  <c r="N58" i="27" s="1"/>
  <c r="N59" i="27" s="1"/>
  <c r="N60" i="27" s="1"/>
  <c r="N61" i="27" s="1"/>
  <c r="N62" i="27" s="1"/>
  <c r="N63" i="27" s="1"/>
  <c r="N64" i="27" s="1"/>
  <c r="N65" i="27" s="1"/>
  <c r="G3" i="27"/>
  <c r="K73" i="30"/>
  <c r="L67" i="30"/>
  <c r="I67" i="30"/>
  <c r="F67" i="30"/>
  <c r="C67" i="30"/>
  <c r="R42" i="30"/>
  <c r="N41" i="30"/>
  <c r="Q40" i="30"/>
  <c r="Q38" i="30"/>
  <c r="Q37" i="30"/>
  <c r="Q36" i="30"/>
  <c r="Q35" i="30"/>
  <c r="Q34" i="30"/>
  <c r="P33" i="30"/>
  <c r="Q33" i="30" s="1"/>
  <c r="P32" i="30"/>
  <c r="Q32" i="30" s="1"/>
  <c r="P31" i="30"/>
  <c r="Q31" i="30" s="1"/>
  <c r="P30" i="30"/>
  <c r="Q30" i="30" s="1"/>
  <c r="P29" i="30"/>
  <c r="Q29" i="30" s="1"/>
  <c r="P28" i="30"/>
  <c r="Q28" i="30" s="1"/>
  <c r="P27" i="30"/>
  <c r="Q27" i="30" s="1"/>
  <c r="P26" i="30"/>
  <c r="Q26" i="30" s="1"/>
  <c r="P25" i="30"/>
  <c r="Q25" i="30" s="1"/>
  <c r="P24" i="30"/>
  <c r="Q24" i="30" s="1"/>
  <c r="P23" i="30"/>
  <c r="Q23" i="30" s="1"/>
  <c r="Q22" i="30"/>
  <c r="P21" i="30"/>
  <c r="Q21" i="30" s="1"/>
  <c r="P20" i="30"/>
  <c r="P19" i="30"/>
  <c r="P18" i="30"/>
  <c r="Q18" i="30" s="1"/>
  <c r="P17" i="30"/>
  <c r="Q17" i="30" s="1"/>
  <c r="P16" i="30"/>
  <c r="Q16" i="30" s="1"/>
  <c r="P15" i="30"/>
  <c r="Q15" i="30" s="1"/>
  <c r="P14" i="30"/>
  <c r="P13" i="30"/>
  <c r="Q13" i="30" s="1"/>
  <c r="P12" i="30"/>
  <c r="Q12" i="30" s="1"/>
  <c r="P11" i="30"/>
  <c r="Q11" i="30" s="1"/>
  <c r="P10" i="30"/>
  <c r="Q10" i="30" s="1"/>
  <c r="P9" i="30"/>
  <c r="Q9" i="30" s="1"/>
  <c r="P8" i="30"/>
  <c r="Q8" i="30" s="1"/>
  <c r="P7" i="30"/>
  <c r="P6" i="30"/>
  <c r="Q6" i="30" s="1"/>
  <c r="P5" i="30"/>
  <c r="K69" i="30" l="1"/>
  <c r="F70" i="30" s="1"/>
  <c r="F73" i="30" s="1"/>
  <c r="K71" i="30" s="1"/>
  <c r="K75" i="30" s="1"/>
  <c r="P41" i="30"/>
  <c r="G67" i="27"/>
  <c r="M41" i="30"/>
  <c r="M45" i="30" s="1"/>
  <c r="Q5" i="30"/>
  <c r="Q41" i="30" s="1"/>
  <c r="E25" i="25" l="1"/>
  <c r="E19" i="25" l="1"/>
  <c r="E14" i="25" l="1"/>
  <c r="F67" i="26" l="1"/>
  <c r="Q6" i="26"/>
  <c r="Q8" i="26"/>
  <c r="M45" i="26"/>
  <c r="P39" i="26"/>
  <c r="M36" i="26" l="1"/>
  <c r="M35" i="26"/>
  <c r="M34" i="26"/>
  <c r="M33" i="26" l="1"/>
  <c r="M32" i="26"/>
  <c r="P32" i="26" l="1"/>
  <c r="P33" i="26"/>
  <c r="P34" i="26"/>
  <c r="P35" i="26"/>
  <c r="Q35" i="26" s="1"/>
  <c r="P36" i="26"/>
  <c r="Q36" i="26" s="1"/>
  <c r="P37" i="26"/>
  <c r="P38" i="26"/>
  <c r="T23" i="26"/>
  <c r="T22" i="26"/>
  <c r="M29" i="26" l="1"/>
  <c r="M28" i="26" l="1"/>
  <c r="P28" i="26"/>
  <c r="P27" i="26"/>
  <c r="M24" i="26" l="1"/>
  <c r="M23" i="26"/>
  <c r="Q22" i="26" l="1"/>
  <c r="M22" i="26" l="1"/>
  <c r="M21" i="26" l="1"/>
  <c r="M20" i="26" l="1"/>
  <c r="M19" i="26" l="1"/>
  <c r="M18" i="26"/>
  <c r="P13" i="26" l="1"/>
  <c r="M13" i="26"/>
  <c r="M14" i="26"/>
  <c r="T16" i="26" l="1"/>
  <c r="M12" i="26"/>
  <c r="M10" i="26" l="1"/>
  <c r="M7" i="26"/>
  <c r="M6" i="26" l="1"/>
  <c r="N67" i="28" l="1"/>
  <c r="M67" i="28"/>
  <c r="K67" i="28"/>
  <c r="F67" i="28"/>
  <c r="D67" i="28"/>
  <c r="G65" i="28"/>
  <c r="G64" i="28"/>
  <c r="G63" i="28"/>
  <c r="G62" i="28"/>
  <c r="G61" i="28"/>
  <c r="G60" i="28"/>
  <c r="G59" i="28"/>
  <c r="G58" i="28"/>
  <c r="G57" i="28"/>
  <c r="G56" i="28"/>
  <c r="G55" i="28"/>
  <c r="G54" i="28"/>
  <c r="G53" i="28"/>
  <c r="G52" i="28"/>
  <c r="G51" i="28"/>
  <c r="G50" i="28"/>
  <c r="G49" i="28"/>
  <c r="G48" i="28"/>
  <c r="G47" i="28"/>
  <c r="G46" i="28"/>
  <c r="G45" i="28"/>
  <c r="G44" i="28"/>
  <c r="G43" i="28"/>
  <c r="G42" i="28"/>
  <c r="G41" i="28"/>
  <c r="G40" i="28"/>
  <c r="G39" i="28"/>
  <c r="G38" i="28"/>
  <c r="G37" i="28"/>
  <c r="G36" i="28"/>
  <c r="G35" i="28"/>
  <c r="G34" i="28"/>
  <c r="G33" i="28"/>
  <c r="G32" i="28"/>
  <c r="G31" i="28"/>
  <c r="G30" i="28"/>
  <c r="G29" i="28"/>
  <c r="G28" i="28"/>
  <c r="G27" i="28"/>
  <c r="G26" i="28"/>
  <c r="G25" i="28"/>
  <c r="G24" i="28"/>
  <c r="G23" i="28"/>
  <c r="G22" i="28"/>
  <c r="G21" i="28"/>
  <c r="G20" i="28"/>
  <c r="G19" i="28"/>
  <c r="G18" i="28"/>
  <c r="G17" i="28"/>
  <c r="G16" i="28"/>
  <c r="G15" i="28"/>
  <c r="G14" i="28"/>
  <c r="G13" i="28"/>
  <c r="G12" i="28"/>
  <c r="G11" i="28"/>
  <c r="G10" i="28"/>
  <c r="G9" i="28"/>
  <c r="G8" i="28"/>
  <c r="G7" i="28"/>
  <c r="G6" i="28"/>
  <c r="G5" i="28"/>
  <c r="G4" i="28"/>
  <c r="N3" i="28"/>
  <c r="N4" i="28" s="1"/>
  <c r="N5" i="28" s="1"/>
  <c r="N6" i="28" s="1"/>
  <c r="N7" i="28" s="1"/>
  <c r="N8" i="28" s="1"/>
  <c r="N9" i="28" s="1"/>
  <c r="N10" i="28" s="1"/>
  <c r="N11" i="28" s="1"/>
  <c r="N12" i="28" s="1"/>
  <c r="N13" i="28" s="1"/>
  <c r="N14" i="28" s="1"/>
  <c r="N15" i="28" s="1"/>
  <c r="N16" i="28" s="1"/>
  <c r="N17" i="28" s="1"/>
  <c r="N18" i="28" s="1"/>
  <c r="N19" i="28" s="1"/>
  <c r="N20" i="28" s="1"/>
  <c r="N21" i="28" s="1"/>
  <c r="N22" i="28" s="1"/>
  <c r="N23" i="28" s="1"/>
  <c r="N24" i="28" s="1"/>
  <c r="N25" i="28" s="1"/>
  <c r="N26" i="28" s="1"/>
  <c r="N27" i="28" s="1"/>
  <c r="N28" i="28" s="1"/>
  <c r="N29" i="28" s="1"/>
  <c r="N30" i="28" s="1"/>
  <c r="N31" i="28" s="1"/>
  <c r="N32" i="28" s="1"/>
  <c r="N33" i="28" s="1"/>
  <c r="N34" i="28" s="1"/>
  <c r="N35" i="28" s="1"/>
  <c r="N36" i="28" s="1"/>
  <c r="N37" i="28" s="1"/>
  <c r="N38" i="28" s="1"/>
  <c r="N39" i="28" s="1"/>
  <c r="N40" i="28" s="1"/>
  <c r="N41" i="28" s="1"/>
  <c r="N42" i="28" s="1"/>
  <c r="N43" i="28" s="1"/>
  <c r="N44" i="28" s="1"/>
  <c r="N45" i="28" s="1"/>
  <c r="N46" i="28" s="1"/>
  <c r="N47" i="28" s="1"/>
  <c r="N48" i="28" s="1"/>
  <c r="N49" i="28" s="1"/>
  <c r="N50" i="28" s="1"/>
  <c r="N51" i="28" s="1"/>
  <c r="N52" i="28" s="1"/>
  <c r="N53" i="28" s="1"/>
  <c r="N54" i="28" s="1"/>
  <c r="N55" i="28" s="1"/>
  <c r="N56" i="28" s="1"/>
  <c r="N57" i="28" s="1"/>
  <c r="N58" i="28" s="1"/>
  <c r="N59" i="28" s="1"/>
  <c r="N60" i="28" s="1"/>
  <c r="N61" i="28" s="1"/>
  <c r="N62" i="28" s="1"/>
  <c r="N63" i="28" s="1"/>
  <c r="N64" i="28" s="1"/>
  <c r="N65" i="28" s="1"/>
  <c r="G3" i="28"/>
  <c r="K73" i="26"/>
  <c r="I67" i="26"/>
  <c r="C67" i="26"/>
  <c r="L67" i="26"/>
  <c r="R42" i="26"/>
  <c r="R41" i="26"/>
  <c r="N41" i="26"/>
  <c r="Q40" i="26"/>
  <c r="Q39" i="26"/>
  <c r="Q38" i="26"/>
  <c r="Q34" i="26"/>
  <c r="P31" i="26"/>
  <c r="Q31" i="26" s="1"/>
  <c r="P30" i="26"/>
  <c r="Q30" i="26" s="1"/>
  <c r="P29" i="26"/>
  <c r="Q29" i="26" s="1"/>
  <c r="Q28" i="26"/>
  <c r="Q27" i="26"/>
  <c r="P26" i="26"/>
  <c r="Q26" i="26" s="1"/>
  <c r="P25" i="26"/>
  <c r="Q25" i="26" s="1"/>
  <c r="P24" i="26"/>
  <c r="Q24" i="26" s="1"/>
  <c r="P23" i="26"/>
  <c r="Q23" i="26" s="1"/>
  <c r="P22" i="26"/>
  <c r="P21" i="26"/>
  <c r="Q21" i="26" s="1"/>
  <c r="P20" i="26"/>
  <c r="P19" i="26"/>
  <c r="Q19" i="26" s="1"/>
  <c r="P18" i="26"/>
  <c r="Q18" i="26" s="1"/>
  <c r="P17" i="26"/>
  <c r="Q17" i="26" s="1"/>
  <c r="P16" i="26"/>
  <c r="Q16" i="26" s="1"/>
  <c r="P15" i="26"/>
  <c r="Q15" i="26" s="1"/>
  <c r="P14" i="26"/>
  <c r="Q14" i="26" s="1"/>
  <c r="Q13" i="26"/>
  <c r="P12" i="26"/>
  <c r="Q12" i="26" s="1"/>
  <c r="P11" i="26"/>
  <c r="Q11" i="26" s="1"/>
  <c r="P10" i="26"/>
  <c r="Q10" i="26" s="1"/>
  <c r="P9" i="26"/>
  <c r="Q9" i="26" s="1"/>
  <c r="M41" i="26"/>
  <c r="P8" i="26"/>
  <c r="P7" i="26"/>
  <c r="P6" i="26"/>
  <c r="P5" i="26"/>
  <c r="G67" i="28" l="1"/>
  <c r="P41" i="26"/>
  <c r="K69" i="26"/>
  <c r="F70" i="26" s="1"/>
  <c r="F73" i="26" s="1"/>
  <c r="K71" i="26" s="1"/>
  <c r="K75" i="26" s="1"/>
  <c r="Q5" i="26"/>
  <c r="Q41" i="26" s="1"/>
  <c r="R42" i="24" l="1"/>
  <c r="F67" i="24"/>
  <c r="R41" i="24"/>
  <c r="L50" i="24"/>
  <c r="L49" i="24"/>
  <c r="Q30" i="24" l="1"/>
  <c r="M28" i="24"/>
  <c r="M26" i="24" l="1"/>
  <c r="M20" i="24" l="1"/>
  <c r="M18" i="24"/>
  <c r="E34" i="19" l="1"/>
  <c r="M9" i="24" l="1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K73" i="24"/>
  <c r="L67" i="24"/>
  <c r="I67" i="24"/>
  <c r="C67" i="24"/>
  <c r="N41" i="24"/>
  <c r="Q40" i="24"/>
  <c r="Q39" i="24"/>
  <c r="Q38" i="24"/>
  <c r="Q36" i="24"/>
  <c r="Q35" i="24"/>
  <c r="Q34" i="24"/>
  <c r="P32" i="24"/>
  <c r="Q32" i="24" s="1"/>
  <c r="P31" i="24"/>
  <c r="Q31" i="24" s="1"/>
  <c r="P30" i="24"/>
  <c r="P29" i="24"/>
  <c r="Q29" i="24" s="1"/>
  <c r="P28" i="24"/>
  <c r="Q28" i="24" s="1"/>
  <c r="P27" i="24"/>
  <c r="Q27" i="24" s="1"/>
  <c r="P26" i="24"/>
  <c r="Q26" i="24" s="1"/>
  <c r="P25" i="24"/>
  <c r="Q25" i="24" s="1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Q39" i="18"/>
  <c r="Q38" i="18"/>
  <c r="Q37" i="18"/>
  <c r="Q36" i="18"/>
  <c r="Q35" i="18"/>
  <c r="Q34" i="18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<sst xmlns="http://schemas.openxmlformats.org/spreadsheetml/2006/main" count="2947" uniqueCount="1571">
  <si>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</si>
  <si>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</si>
  <si>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</si>
  <si>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</si>
  <si>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</si>
  <si>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</si>
  <si>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</si>
  <si>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</si>
  <si>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</si>
  <si>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</si>
  <si>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</si>
  <si>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</si>
  <si>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</si>
  <si>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</si>
  <si>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</si>
  <si>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</si>
  <si>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</si>
  <si>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</si>
  <si>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</si>
  <si>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</si>
  <si>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</si>
  <si>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</si>
  <si>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</si>
  <si>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</si>
  <si>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</si>
  <si>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</si>
  <si>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</si>
  <si>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</si>
  <si>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</si>
  <si>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</si>
  <si>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</si>
  <si>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</si>
  <si>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</si>
  <si>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</si>
  <si>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</si>
  <si>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</si>
  <si>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</si>
  <si>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</si>
  <si>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</si>
  <si>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</si>
  <si>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</si>
  <si>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</si>
  <si>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</si>
  <si>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</si>
  <si>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</si>
  <si>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</si>
  <si>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</si>
  <si>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</si>
  <si>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</si>
  <si>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</si>
  <si>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</si>
  <si>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</si>
  <si>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</si>
  <si>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</si>
  <si>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</si>
  <si>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</si>
  <si>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</si>
  <si>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</si>
  <si>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</si>
  <si>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</si>
  <si>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</si>
  <si>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</si>
  <si>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</si>
  <si>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</si>
  <si>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</si>
  <si>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</si>
  <si>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</si>
  <si>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</si>
  <si>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</si>
  <si>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</si>
  <si>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</si>
  <si>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</si>
  <si>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</si>
  <si>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</si>
  <si>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</si>
  <si>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</si>
  <si>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</si>
  <si>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</si>
  <si>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</si>
  <si>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</si>
  <si>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</si>
  <si>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</si>
  <si>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</si>
  <si>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</si>
  <si>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</si>
  <si>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</si>
  <si>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</si>
  <si>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</si>
  <si>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</si>
  <si>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</si>
  <si>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</si>
  <si>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</si>
  <si>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</si>
  <si>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</si>
  <si>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</si>
  <si>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</si>
  <si>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</si>
  <si>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</si>
  <si>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</si>
  <si>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</si>
  <si>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</si>
  <si>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</si>
  <si>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</si>
  <si>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</si>
  <si>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</si>
  <si>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</si>
  <si>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</si>
  <si>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</si>
  <si>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</si>
  <si>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</si>
  <si>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</si>
  <si>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</si>
  <si>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</si>
  <si>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</si>
  <si>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</si>
  <si>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</si>
  <si>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</si>
  <si>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</si>
  <si>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</si>
  <si>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</si>
  <si>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</si>
  <si>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</si>
  <si>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</si>
  <si>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</si>
  <si>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</si>
  <si>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</si>
  <si>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</si>
  <si>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</si>
  <si>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</si>
  <si>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</si>
  <si>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</si>
  <si>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</si>
  <si>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</si>
  <si>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</si>
  <si>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</si>
  <si>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</si>
  <si>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</si>
  <si>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</si>
  <si>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</si>
  <si>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</si>
  <si>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</si>
  <si>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</si>
  <si>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</si>
  <si>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</si>
  <si>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</si>
  <si>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</si>
  <si>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</si>
  <si>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</si>
  <si>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</si>
  <si>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</si>
  <si>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</si>
  <si>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</si>
  <si>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</si>
  <si>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</si>
  <si>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</si>
  <si>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</si>
  <si>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</si>
  <si>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</si>
  <si>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</si>
  <si>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</si>
  <si>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</si>
  <si>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</si>
  <si>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</si>
  <si>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</si>
  <si>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</si>
  <si>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</si>
  <si>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</si>
  <si>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</si>
  <si>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</si>
  <si>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</si>
  <si>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</si>
  <si>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</si>
  <si>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</si>
  <si>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</si>
  <si>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</si>
  <si>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</si>
  <si>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</si>
  <si>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</si>
  <si>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</si>
  <si>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</si>
  <si>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</si>
  <si>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</si>
  <si>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</si>
  <si>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</si>
  <si>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</si>
  <si>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</si>
  <si>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</si>
  <si>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</si>
  <si>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</si>
  <si>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</si>
  <si>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</si>
  <si>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</si>
  <si>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</si>
  <si>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</si>
  <si>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</si>
  <si>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</si>
  <si>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</si>
  <si>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</si>
  <si>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</si>
  <si>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</si>
  <si>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</si>
  <si>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</si>
  <si>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</si>
  <si>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</si>
  <si>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</si>
  <si>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</si>
  <si>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</si>
  <si>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</si>
  <si>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</si>
  <si>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</si>
  <si>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</si>
  <si>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</si>
  <si>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</si>
  <si>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</si>
  <si>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</si>
  <si>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</si>
  <si>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</si>
  <si>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</si>
  <si>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</si>
  <si>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</si>
  <si>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</si>
  <si>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</si>
  <si>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</si>
  <si>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</si>
  <si>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</si>
  <si>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</si>
  <si>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</si>
  <si>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</si>
  <si>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</si>
  <si>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</si>
  <si>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</si>
  <si>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</si>
  <si>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</si>
  <si>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</si>
  <si>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</si>
  <si>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</si>
  <si>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</si>
  <si>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</si>
  <si>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</si>
  <si>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</si>
  <si>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</si>
  <si>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</si>
  <si>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</si>
  <si>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</si>
  <si>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</si>
  <si>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</si>
  <si>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</si>
  <si>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</si>
  <si>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</si>
  <si>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</si>
  <si>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</si>
  <si>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</si>
  <si>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</si>
  <si>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</si>
  <si>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</si>
  <si>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</si>
  <si>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</si>
  <si>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</si>
  <si>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</si>
  <si>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</si>
  <si>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</si>
  <si>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</si>
  <si>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</si>
  <si>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</si>
  <si>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</si>
  <si>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</si>
  <si>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</si>
  <si>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</si>
  <si>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</si>
  <si>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</si>
  <si>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</si>
  <si>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</si>
  <si>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</si>
  <si>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</si>
  <si>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</si>
  <si>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</si>
  <si>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</si>
  <si>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</si>
  <si>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</si>
  <si>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</si>
  <si>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</si>
  <si>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</si>
  <si>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</si>
  <si>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</si>
  <si>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</si>
  <si>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</si>
  <si>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</si>
  <si>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</si>
  <si>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</si>
  <si>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</si>
  <si>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</si>
  <si>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</si>
  <si>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</si>
  <si>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</si>
  <si>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</si>
  <si>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</si>
  <si>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</si>
  <si>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</si>
  <si>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</si>
  <si>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</si>
  <si>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</si>
  <si>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</si>
  <si>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</si>
  <si>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</si>
  <si>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</si>
  <si>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</si>
  <si>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</si>
  <si>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</si>
  <si>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</si>
  <si>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</si>
  <si>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</si>
  <si>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</si>
  <si>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</si>
  <si>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</si>
  <si>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</si>
  <si>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</si>
  <si>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</si>
  <si>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</si>
  <si>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</si>
  <si>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</si>
  <si>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</si>
  <si>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</si>
  <si>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</si>
  <si>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</si>
  <si>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</si>
  <si>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</si>
  <si>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</si>
  <si>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</si>
  <si>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</si>
  <si>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</si>
  <si>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</si>
  <si>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</si>
  <si>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</si>
  <si>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</si>
  <si>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</si>
  <si>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</si>
  <si>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</si>
  <si>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</si>
  <si>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</si>
  <si>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</si>
  <si>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</si>
  <si>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</si>
  <si>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</si>
  <si>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</si>
  <si>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</si>
  <si>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</si>
  <si>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</si>
  <si>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</si>
  <si>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</si>
  <si>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</si>
  <si>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</si>
  <si>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</si>
  <si>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</si>
  <si>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</si>
  <si>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</si>
  <si>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</si>
  <si>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</si>
  <si>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</si>
  <si>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</si>
  <si>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</si>
  <si>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</si>
  <si>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</si>
  <si>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</si>
  <si>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</si>
  <si>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</si>
  <si>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</si>
  <si>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</si>
  <si>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</si>
  <si>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</si>
  <si>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</si>
  <si>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</si>
  <si>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</si>
  <si>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</si>
  <si>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</si>
  <si>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</si>
  <si>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</si>
  <si>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</si>
  <si>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</si>
  <si>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</si>
  <si>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</si>
  <si>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</si>
  <si>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</si>
  <si>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</si>
  <si>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</si>
  <si>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</si>
  <si>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</si>
  <si>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</si>
  <si>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</si>
  <si>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</si>
  <si>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</si>
  <si>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</si>
  <si>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</si>
  <si>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</si>
  <si>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</si>
  <si>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</si>
  <si>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</si>
  <si>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</si>
  <si>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</si>
  <si>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</si>
  <si>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</si>
  <si>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</si>
  <si>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</si>
  <si>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</si>
  <si>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</si>
  <si>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</si>
  <si>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</si>
  <si>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</si>
  <si>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</si>
  <si>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</si>
  <si>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</si>
  <si>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</si>
  <si>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</si>
  <si>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</si>
  <si>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</si>
  <si>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</si>
  <si>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</si>
  <si>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</si>
  <si>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</si>
  <si>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</si>
  <si>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</si>
  <si>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</si>
  <si>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</si>
  <si>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</si>
  <si>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</si>
  <si>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</si>
  <si>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</si>
  <si>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</si>
  <si>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</si>
  <si>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</si>
  <si>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</si>
  <si>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</si>
  <si>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</si>
  <si>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</si>
  <si>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</si>
  <si>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</si>
  <si>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</si>
  <si>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</si>
  <si>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</si>
  <si>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</si>
  <si>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</si>
  <si>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</si>
  <si>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</si>
  <si>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</si>
  <si>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</si>
  <si>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</si>
  <si>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</si>
  <si>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</si>
  <si>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</si>
  <si>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</si>
  <si>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</si>
  <si>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</si>
  <si>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</si>
  <si>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</si>
  <si>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</si>
  <si>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</si>
  <si>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</si>
  <si>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</si>
  <si>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</si>
  <si>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</si>
  <si>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</si>
  <si>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</si>
  <si>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</si>
  <si>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</si>
  <si>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</si>
  <si>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</si>
  <si>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</si>
  <si>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</si>
  <si>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</si>
  <si>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</si>
  <si>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</si>
  <si>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</si>
  <si>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</si>
  <si>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</si>
  <si>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</si>
  <si>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</si>
  <si>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</si>
  <si>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</si>
  <si>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</si>
  <si>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</si>
  <si>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</si>
  <si>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</si>
  <si>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</si>
  <si>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</si>
  <si>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</si>
  <si>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</si>
  <si>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</si>
  <si>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</si>
  <si>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</si>
  <si>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</si>
  <si>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</si>
  <si>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</si>
  <si>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</si>
  <si>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</si>
  <si>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</si>
  <si>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</si>
  <si>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</si>
  <si>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</si>
  <si>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</si>
  <si>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</si>
  <si>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</si>
  <si>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</si>
  <si>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</si>
  <si>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</si>
  <si>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</si>
  <si>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</si>
  <si>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</si>
  <si>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</si>
  <si>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</si>
  <si>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</si>
  <si>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</si>
  <si>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</si>
  <si>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</si>
  <si>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</si>
  <si>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</si>
  <si>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</si>
  <si>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</si>
  <si>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</si>
  <si>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</si>
  <si>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</si>
  <si>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</si>
  <si>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</si>
  <si>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</si>
  <si>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</si>
  <si>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</si>
  <si>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</si>
  <si>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</si>
  <si>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</si>
  <si>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</si>
  <si>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</si>
  <si>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</si>
  <si>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</si>
  <si>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</si>
  <si>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</si>
  <si>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</si>
  <si>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</si>
  <si>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</si>
  <si>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</si>
  <si>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</si>
  <si>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</si>
  <si>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</si>
  <si>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</si>
  <si>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</si>
  <si>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</si>
  <si>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</si>
  <si>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</si>
  <si>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</si>
  <si>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</si>
  <si>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</si>
  <si>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</si>
  <si>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</si>
  <si>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</si>
  <si>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</si>
  <si>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</si>
  <si>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</si>
  <si>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</si>
  <si>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</si>
  <si>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</si>
  <si>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</si>
  <si>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</si>
  <si>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</si>
  <si>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</si>
  <si>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</si>
  <si>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</si>
  <si>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</si>
  <si>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</si>
  <si>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</si>
  <si>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</si>
  <si>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</si>
  <si>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</si>
  <si>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</si>
  <si>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</si>
  <si>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</si>
  <si>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</si>
  <si>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</si>
  <si>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</si>
  <si>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</si>
  <si>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</si>
  <si>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</si>
  <si>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</si>
  <si>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</si>
  <si>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</si>
  <si>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</si>
  <si>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</si>
  <si>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</si>
  <si>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</si>
  <si>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</si>
  <si>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</si>
  <si>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</si>
  <si>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</si>
  <si>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</si>
  <si>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</si>
  <si>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</si>
  <si>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</si>
  <si>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</si>
  <si>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</si>
  <si>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</si>
  <si>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</si>
  <si>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</si>
  <si>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</si>
  <si>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</si>
  <si>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</si>
  <si>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</si>
  <si>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</si>
  <si>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</si>
  <si>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</si>
  <si>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</si>
  <si>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</si>
  <si>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</si>
  <si>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</si>
  <si>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</si>
  <si>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</si>
  <si>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</si>
  <si>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</si>
  <si>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</si>
  <si>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</si>
  <si>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</si>
  <si>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</si>
  <si>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</si>
  <si>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</si>
  <si>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</si>
  <si>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</si>
  <si>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</si>
  <si>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</si>
  <si>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</si>
  <si>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</si>
  <si>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</si>
  <si>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</si>
  <si>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</si>
  <si>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</si>
  <si>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</si>
  <si>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</si>
  <si>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</si>
  <si>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</si>
  <si>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</si>
  <si>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</si>
  <si>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</si>
  <si>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</si>
  <si>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</si>
  <si>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</si>
  <si>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</si>
  <si>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</si>
  <si>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</si>
  <si>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</si>
  <si>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</si>
  <si>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</si>
  <si>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</si>
  <si>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</si>
  <si>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</si>
  <si>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</si>
  <si>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</si>
  <si>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</si>
  <si>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</si>
  <si>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</si>
  <si>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</si>
  <si>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</si>
  <si>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</si>
  <si>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</si>
  <si>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</si>
  <si>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</si>
  <si>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</si>
  <si>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</si>
  <si>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</si>
  <si>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</si>
  <si>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</si>
  <si>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</si>
  <si>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</si>
  <si>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</si>
  <si>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</si>
  <si>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</si>
  <si>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</si>
  <si>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</si>
  <si>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</si>
  <si>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</si>
  <si>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</si>
  <si>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</si>
  <si>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</si>
  <si>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</si>
  <si>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</si>
  <si>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</si>
  <si>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</si>
  <si>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</si>
  <si>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</si>
  <si>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</si>
  <si>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</si>
  <si>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</si>
  <si>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</si>
  <si>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</si>
  <si>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</si>
  <si>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</si>
  <si>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</si>
  <si>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</si>
  <si>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</si>
  <si>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</si>
  <si>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</si>
  <si>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</si>
  <si>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</si>
  <si>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</si>
  <si>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</si>
  <si>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</si>
  <si>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</si>
  <si>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</si>
  <si>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</si>
  <si>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</si>
  <si>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</si>
  <si>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</si>
  <si>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</si>
  <si>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</si>
  <si>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</si>
  <si>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</si>
  <si>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</si>
  <si>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</si>
  <si>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</si>
  <si>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</si>
  <si>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</si>
  <si>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</si>
  <si>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</si>
  <si>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</si>
  <si>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</si>
  <si>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</si>
  <si>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</si>
  <si>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</si>
  <si>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</si>
  <si>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</si>
  <si>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</si>
  <si>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</si>
  <si>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</si>
  <si>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</si>
  <si>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</si>
  <si>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</si>
  <si>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</si>
  <si>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</si>
  <si>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</si>
  <si>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</si>
  <si>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</si>
  <si>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</si>
  <si>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</si>
  <si>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</si>
  <si>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</si>
  <si>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</si>
  <si>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</si>
  <si>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</si>
  <si>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</si>
  <si>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</si>
  <si>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</si>
  <si>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</si>
  <si>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</si>
  <si>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</si>
  <si>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</si>
  <si>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CUENTA BBVA  NLP</t>
  </si>
  <si>
    <t xml:space="preserve">DIFERENCIA </t>
  </si>
  <si>
    <t>FICHA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</si>
  <si>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</si>
  <si>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</si>
  <si>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</si>
  <si>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</si>
  <si>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</si>
  <si>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</si>
  <si>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</si>
  <si>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</si>
  <si>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</si>
  <si>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</si>
  <si>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</si>
  <si>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</si>
  <si>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</si>
  <si>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</si>
  <si>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</si>
  <si>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</si>
  <si>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</si>
  <si>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</si>
  <si>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</si>
  <si>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</si>
  <si>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</si>
  <si>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</si>
  <si>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</si>
  <si>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</si>
  <si>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</si>
  <si>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</si>
  <si>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</si>
  <si>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</si>
  <si>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</si>
  <si>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</si>
  <si>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</si>
  <si>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</si>
  <si>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</si>
  <si>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</si>
  <si>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</si>
  <si>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</si>
  <si>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</si>
  <si>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</si>
  <si>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</si>
  <si>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</si>
  <si>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</si>
  <si>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</si>
  <si>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</si>
  <si>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</si>
  <si>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</si>
  <si>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</si>
  <si>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</si>
  <si>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</si>
  <si>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</si>
  <si>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</si>
  <si>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</si>
  <si>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</si>
  <si>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</si>
  <si>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</si>
  <si>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</si>
  <si>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</si>
  <si>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</si>
  <si>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</si>
  <si>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</si>
  <si>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</si>
  <si>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</si>
  <si>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</si>
  <si>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</si>
  <si>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</si>
  <si>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</si>
  <si>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</si>
  <si>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</si>
  <si>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</si>
  <si>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</si>
  <si>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</si>
  <si>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</si>
  <si>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</si>
  <si>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</si>
  <si>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</si>
  <si>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</si>
  <si>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</si>
  <si>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</si>
  <si>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</si>
  <si>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</si>
  <si>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</si>
  <si>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</si>
  <si>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</si>
  <si>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</si>
  <si>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</si>
  <si>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</si>
  <si>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</si>
  <si>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</si>
  <si>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</si>
  <si>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</si>
  <si>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</si>
  <si>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</si>
  <si>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</si>
  <si>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</si>
  <si>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</si>
  <si>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</si>
  <si>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</si>
  <si>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</si>
  <si>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</si>
  <si>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</si>
  <si>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</si>
  <si>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</si>
  <si>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</si>
  <si>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</si>
  <si>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</si>
  <si>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</si>
  <si>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</si>
  <si>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</si>
  <si>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</si>
  <si>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</si>
  <si>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</si>
  <si>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</si>
  <si>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</si>
  <si>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</si>
  <si>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</si>
  <si>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</si>
  <si>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</si>
  <si>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</si>
  <si>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</si>
  <si>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</si>
  <si>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</si>
  <si>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</si>
  <si>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</si>
  <si>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</si>
  <si>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</si>
  <si>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</si>
  <si>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</si>
  <si>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</si>
  <si>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</si>
  <si>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</si>
  <si>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</si>
  <si>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</si>
  <si>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</si>
  <si>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</si>
  <si>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</si>
  <si>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</si>
  <si>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</si>
  <si>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</si>
  <si>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</si>
  <si>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</si>
  <si>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</si>
  <si>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</si>
  <si>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</si>
  <si>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</si>
  <si>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</si>
  <si>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</si>
  <si>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</si>
  <si>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</si>
  <si>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</si>
  <si>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</si>
  <si>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</si>
  <si>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</si>
  <si>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</si>
  <si>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</si>
  <si>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</si>
  <si>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</si>
  <si>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</si>
  <si>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</si>
  <si>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</si>
  <si>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</si>
  <si>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</si>
  <si>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</si>
  <si>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</si>
  <si>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</si>
  <si>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</si>
  <si>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</si>
  <si>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</si>
  <si>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</si>
  <si>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</si>
  <si>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</si>
  <si>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</si>
  <si>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</si>
  <si>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</si>
  <si>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</si>
  <si>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</si>
  <si>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</si>
  <si>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</si>
  <si>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</si>
  <si>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</si>
  <si>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</si>
  <si>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</si>
  <si>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</si>
  <si>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</si>
  <si>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</si>
  <si>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</si>
  <si>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</si>
  <si>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</si>
  <si>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</si>
  <si>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</si>
  <si>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</si>
  <si>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</si>
  <si>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</si>
  <si>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</si>
  <si>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</si>
  <si>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</si>
  <si>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</si>
  <si>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</si>
  <si>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</si>
  <si>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</si>
  <si>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</si>
  <si>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</si>
  <si>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</si>
  <si>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</si>
  <si>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</si>
  <si>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</si>
  <si>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</si>
  <si>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</si>
  <si>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</si>
  <si>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</si>
  <si>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</si>
  <si>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</si>
  <si>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</si>
  <si>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</si>
  <si>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</si>
  <si>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</si>
  <si>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</si>
  <si>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</si>
  <si>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</si>
  <si>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</si>
  <si>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</si>
  <si>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</si>
  <si>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</si>
  <si>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</si>
  <si>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</si>
  <si>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</si>
  <si>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</si>
  <si>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</si>
  <si>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</si>
  <si>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</si>
  <si>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</si>
  <si>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</si>
  <si>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</si>
  <si>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</si>
  <si>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</si>
  <si>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</si>
  <si>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</si>
  <si>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</si>
  <si>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</si>
  <si>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</si>
  <si>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</si>
  <si>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</si>
  <si>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</si>
  <si>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</si>
  <si>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</si>
  <si>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</si>
  <si>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</si>
  <si>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</si>
  <si>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</si>
  <si>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</si>
  <si>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</si>
  <si>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</si>
  <si>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</si>
  <si>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</si>
  <si>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</si>
  <si>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</si>
  <si>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</si>
  <si>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</si>
  <si>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</si>
  <si>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</si>
  <si>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</si>
  <si>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</si>
  <si>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</si>
  <si>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</si>
  <si>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</si>
  <si>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</si>
  <si>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</si>
  <si>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</si>
  <si>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</si>
  <si>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</si>
  <si>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</si>
  <si>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</si>
  <si>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</si>
  <si>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</si>
  <si>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</si>
  <si>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</si>
  <si>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</si>
  <si>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</si>
  <si>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</si>
  <si>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</si>
  <si>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</si>
  <si>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</si>
  <si>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</si>
  <si>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</si>
  <si>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</si>
  <si>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</si>
  <si>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</si>
  <si>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</si>
  <si>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</si>
  <si>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</si>
  <si>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</si>
  <si>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</si>
  <si>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</si>
  <si>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</si>
  <si>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</si>
  <si>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</si>
  <si>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</si>
  <si>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</si>
  <si>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</si>
  <si>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</si>
  <si>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</si>
  <si>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</si>
  <si>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</si>
  <si>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</si>
  <si>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</si>
  <si>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</si>
  <si>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</si>
  <si>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</si>
  <si>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</si>
  <si>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</si>
  <si>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</si>
  <si>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</si>
  <si>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</si>
  <si>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</si>
  <si>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</si>
  <si>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</si>
  <si>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</si>
  <si>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</si>
  <si>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</si>
  <si>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</si>
  <si>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</si>
  <si>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</si>
  <si>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</si>
  <si>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</si>
  <si>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</si>
  <si>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</si>
  <si>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</si>
  <si>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</si>
  <si>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</si>
  <si>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</si>
  <si>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</si>
  <si>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</si>
  <si>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</si>
  <si>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</si>
  <si>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</si>
  <si>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</si>
  <si>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</si>
  <si>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</si>
  <si>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</si>
  <si>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</si>
  <si>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</si>
  <si>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</si>
  <si>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</si>
  <si>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</si>
  <si>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</si>
  <si>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</si>
  <si>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</si>
  <si>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</si>
  <si>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</si>
  <si>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</si>
  <si>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</si>
  <si>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</si>
  <si>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</si>
  <si>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</si>
  <si>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</si>
  <si>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</si>
  <si>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</si>
  <si>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</si>
  <si>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</si>
  <si>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</si>
  <si>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</si>
  <si>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</si>
  <si>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</si>
  <si>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</si>
  <si>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</si>
  <si>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</si>
  <si>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</si>
  <si>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</si>
  <si>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</si>
  <si>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</si>
  <si>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</si>
  <si>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</si>
  <si>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</si>
  <si>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</si>
  <si>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</si>
  <si>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</si>
  <si>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</si>
  <si>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</si>
  <si>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</si>
  <si>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</si>
  <si>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</si>
  <si>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</si>
  <si>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</si>
  <si>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</si>
  <si>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</si>
  <si>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</si>
  <si>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</si>
  <si>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</si>
  <si>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</si>
  <si>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</si>
  <si>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</si>
  <si>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</si>
  <si>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</si>
  <si>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</si>
  <si>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</si>
  <si>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</si>
  <si>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</si>
  <si>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</si>
  <si>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</si>
  <si>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</si>
  <si>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</si>
  <si>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</si>
  <si>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</si>
  <si>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</si>
  <si>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</si>
  <si>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</si>
  <si>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</si>
  <si>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</si>
  <si>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</si>
  <si>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</si>
  <si>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</si>
  <si>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</si>
  <si>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</si>
  <si>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</si>
  <si>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</si>
  <si>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</si>
  <si>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</si>
  <si>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</si>
  <si>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</si>
  <si>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</si>
  <si>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</si>
  <si>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</si>
  <si>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</si>
  <si>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</si>
  <si>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</si>
  <si>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</si>
  <si>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</si>
  <si>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</si>
  <si>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</si>
  <si>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</si>
  <si>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</si>
  <si>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</si>
  <si>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</si>
  <si>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</si>
  <si>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</si>
  <si>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</si>
  <si>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</si>
  <si>
    <t>POLLO-QUESOS-CHORIZO-AL PASTOR-PATA</t>
  </si>
  <si>
    <t>NOMINA # 34</t>
  </si>
  <si>
    <t>QUESO-TOCINETA-  CHISTORRA-</t>
  </si>
  <si>
    <t>QUESOS-CHISTORRA-PATE-JAMON-PATA-CHORITZO</t>
  </si>
  <si>
    <t>POLLO-QUESO-CREMA-</t>
  </si>
  <si>
    <t>POLLO-QUESO-LONGANIZA-ARABE-PASTOR-</t>
  </si>
  <si>
    <t>08009 D</t>
  </si>
  <si>
    <t>08114 D</t>
  </si>
  <si>
    <t>08149 D</t>
  </si>
  <si>
    <t>08203 D</t>
  </si>
  <si>
    <t>08345 D</t>
  </si>
  <si>
    <t>SALCHICHONERIA-QUESO-POLLO-TOCINO</t>
  </si>
  <si>
    <t>QUESOS-POLLO-CHORIZO-</t>
  </si>
  <si>
    <t>POLLO-LONGANIZA-TOCINO</t>
  </si>
  <si>
    <t>NOMINA # 35</t>
  </si>
  <si>
    <t>SALSAS  Oaxaca</t>
  </si>
  <si>
    <t>Desechables</t>
  </si>
  <si>
    <t>basura</t>
  </si>
  <si>
    <t>Publicidad eurodanceer</t>
  </si>
  <si>
    <t>SALMON-ATUN-SURIMI</t>
  </si>
  <si>
    <t>VARIEDAD QUESOS</t>
  </si>
  <si>
    <t>Permiso SOAPAP</t>
  </si>
  <si>
    <t>RES CIEN</t>
  </si>
  <si>
    <t>Seguro Res</t>
  </si>
  <si>
    <t>Vitrinas</t>
  </si>
  <si>
    <t>SOAPAP Multas</t>
  </si>
  <si>
    <t>bolsas</t>
  </si>
  <si>
    <t>Flete Res</t>
  </si>
  <si>
    <t>Seguro Camioneta</t>
  </si>
  <si>
    <t>Videocamaras Hansel</t>
  </si>
  <si>
    <t>Comisiones Banco</t>
  </si>
  <si>
    <t>1-ago-2022</t>
  </si>
  <si>
    <t>2-ago-2022</t>
  </si>
  <si>
    <t>4-ago-2022</t>
  </si>
  <si>
    <t>5-ago-2022</t>
  </si>
  <si>
    <t>6-ago-2022</t>
  </si>
  <si>
    <t>8-ago-2022</t>
  </si>
  <si>
    <t>9-ago-2022</t>
  </si>
  <si>
    <t>10-ago-2022</t>
  </si>
  <si>
    <t>11-ago-2022</t>
  </si>
  <si>
    <t>12-ago-2022</t>
  </si>
  <si>
    <t>13-ago-2022</t>
  </si>
  <si>
    <t>14-ago-2022</t>
  </si>
  <si>
    <t>15-ago-2022</t>
  </si>
  <si>
    <t>16-ago-2022</t>
  </si>
  <si>
    <t>17-ago-2022</t>
  </si>
  <si>
    <t>18-ago-2022</t>
  </si>
  <si>
    <t>19-ago-2022</t>
  </si>
  <si>
    <t>20-ago-2022</t>
  </si>
  <si>
    <t>22-ago-2022</t>
  </si>
  <si>
    <t>23-ago-2022</t>
  </si>
  <si>
    <t>24-ago-2022</t>
  </si>
  <si>
    <t>25-ago-2022</t>
  </si>
  <si>
    <t>27-ago-2022</t>
  </si>
  <si>
    <t>28-ago-2022</t>
  </si>
  <si>
    <r>
      <t xml:space="preserve">DEPOSITOS PRESTAMO DE CENTRAL A </t>
    </r>
    <r>
      <rPr>
        <b/>
        <sz val="16"/>
        <color theme="5" tint="-0.499984740745262"/>
        <rFont val="Calibri"/>
        <family val="2"/>
        <scheme val="minor"/>
      </rPr>
      <t xml:space="preserve"> ZAVALETA </t>
    </r>
  </si>
  <si>
    <t xml:space="preserve">VENTAS ZAVALETA DEV. DE PRESTAMO A CENTRAL </t>
  </si>
  <si>
    <t xml:space="preserve">DEPOSITAR  A NORMA LEDO PARRA </t>
  </si>
  <si>
    <t>BALANCE      ABASTO 4 CARNES    Z A V A L E T A      SEPTIEMBRE            2 0 2 2</t>
  </si>
  <si>
    <t>POLLO-QUESOS-PATE-SALCHICHAS</t>
  </si>
  <si>
    <t>QUESOS-POLLO-SALCHICHONERIA-CREMA-PAPAS</t>
  </si>
  <si>
    <t>Zavaleta</t>
  </si>
  <si>
    <t>POLLO-AL PASTOR-QUESOS-LONGANIZA-MIXIOTES</t>
  </si>
  <si>
    <t>NOMINA # 36</t>
  </si>
  <si>
    <t>NOMINA #36</t>
  </si>
  <si>
    <t>CREMA-JAMON-POLLO-CHISTORRA-QUESOS-SALCHICHONERIA</t>
  </si>
  <si>
    <t>CHORIZO-ALPASTOR-POLLO-QUESOS-PAPA-SALCHICA</t>
  </si>
  <si>
    <t>QUESOS-POLLO-AL PASTOR-CHORIZO</t>
  </si>
  <si>
    <t>JAMON-QUESOS-´POLLO-CHORIZO</t>
  </si>
  <si>
    <t>NOMINA #37</t>
  </si>
  <si>
    <t>NOMINA # 37</t>
  </si>
  <si>
    <t>QUESOS-CHISTORRA-POLLO-JAMON</t>
  </si>
  <si>
    <t>QUESOS-POLLO-SALCHIICHONERIA-ARABE-PASTOR</t>
  </si>
  <si>
    <t>SALCHICHONERIA-MOLE-POLLO-LONGANIZA-CHISTORRA-QUESOS</t>
  </si>
  <si>
    <t>POLLO-QUESOS--ARABE-PASTOR</t>
  </si>
  <si>
    <t xml:space="preserve">                                                                                                                                                                                 </t>
  </si>
  <si>
    <t>PROTECCION CIVIL</t>
  </si>
  <si>
    <t>LONGANIZA-CHORIZO</t>
  </si>
  <si>
    <t>QUESOS-JAMON-CREMA-COSTCO</t>
  </si>
  <si>
    <t>NOMINA # 38</t>
  </si>
  <si>
    <t>SALCHICHONERIA-QUESOS-MIXIOTE-POLLO-PASTOR-LONGANIZAS</t>
  </si>
  <si>
    <t>QUESOS-POLLO-JAMON-SALCHICHA-TOSTADAS</t>
  </si>
  <si>
    <t>POLLO-SALSAS-QUESO-ENCHILADA-SALCHICHA</t>
  </si>
  <si>
    <t>POLLO-QUESOS-FLETE BOTANAS-YGURT-NATA</t>
  </si>
  <si>
    <t>USO DE SUELO</t>
  </si>
  <si>
    <t>POLLO-PASTOR--ARABE</t>
  </si>
  <si>
    <t>Pagado</t>
  </si>
  <si>
    <t>QUESO-POLLO-MAIZ-LONGANIZA-PAPAS</t>
  </si>
  <si>
    <t>NOMINA # 39</t>
  </si>
  <si>
    <t>QUESOS--TOCINETA-SALAMI-PEPERONI</t>
  </si>
  <si>
    <t>|</t>
  </si>
  <si>
    <t>TOCINO-POLLO-QUESOS-SALCHICHA</t>
  </si>
  <si>
    <t>POLLO-QUESOS-LONGANIZAS-PASTOR-JAMON-CARBON</t>
  </si>
  <si>
    <t>QUESOS-POLLO-LONGANIZA-ENCHILADA-JAMON-CREMA</t>
  </si>
  <si>
    <t>POLLO-QUESOS-PASTOR</t>
  </si>
  <si>
    <t>NOMINA # 40</t>
  </si>
  <si>
    <t>QUESOS</t>
  </si>
  <si>
    <t>2-sep-2022</t>
  </si>
  <si>
    <t>3-sep-2022</t>
  </si>
  <si>
    <t>5-sep-2022</t>
  </si>
  <si>
    <t>6-sep-2022</t>
  </si>
  <si>
    <t>7-sep-2022</t>
  </si>
  <si>
    <t>8-sep-2022</t>
  </si>
  <si>
    <t>10-sep-2022</t>
  </si>
  <si>
    <t>11-sep-2022</t>
  </si>
  <si>
    <t>12-sep-2022</t>
  </si>
  <si>
    <t>13-sep-2022</t>
  </si>
  <si>
    <t>14-sep-2022</t>
  </si>
  <si>
    <t>15-sep-2022</t>
  </si>
  <si>
    <t>16-sep-2022</t>
  </si>
  <si>
    <t>17-sep-2022</t>
  </si>
  <si>
    <t>19-sep-2022</t>
  </si>
  <si>
    <t>20-sep-2022</t>
  </si>
  <si>
    <t>21-sep-2022</t>
  </si>
  <si>
    <t>22-sep-2022</t>
  </si>
  <si>
    <t>23-sep-2022</t>
  </si>
  <si>
    <t>24-sep-2022</t>
  </si>
  <si>
    <t>26-sep-2022</t>
  </si>
  <si>
    <t>27-sep-2022</t>
  </si>
  <si>
    <t>28-sep-2022</t>
  </si>
  <si>
    <t>30-sep-2022</t>
  </si>
  <si>
    <t>1-oct-2022</t>
  </si>
  <si>
    <t>2-oct-2022</t>
  </si>
  <si>
    <t>29-ago-2022</t>
  </si>
  <si>
    <t>30-ago-2022</t>
  </si>
  <si>
    <t>31-ago-2022</t>
  </si>
  <si>
    <t>08653 D</t>
  </si>
  <si>
    <t>08667 D</t>
  </si>
  <si>
    <t>08788 D</t>
  </si>
  <si>
    <t>08892 D</t>
  </si>
  <si>
    <t>D-12322</t>
  </si>
  <si>
    <t>D-12384</t>
  </si>
  <si>
    <t>08961 D</t>
  </si>
  <si>
    <t>0927 D</t>
  </si>
  <si>
    <t>09079 D</t>
  </si>
  <si>
    <t>09227 D</t>
  </si>
  <si>
    <t>09430 D</t>
  </si>
  <si>
    <t>09539 D</t>
  </si>
  <si>
    <t>09656 D</t>
  </si>
  <si>
    <t>09809 D</t>
  </si>
  <si>
    <t>9942 D</t>
  </si>
  <si>
    <t>10019 D</t>
  </si>
  <si>
    <t>10048 D</t>
  </si>
  <si>
    <t>10236 D</t>
  </si>
  <si>
    <t>10258 D</t>
  </si>
  <si>
    <t>10429 D</t>
  </si>
  <si>
    <t>10544 D</t>
  </si>
  <si>
    <t>10662 D</t>
  </si>
  <si>
    <t>10732 D</t>
  </si>
  <si>
    <t>10801 D</t>
  </si>
  <si>
    <t>10805 D</t>
  </si>
  <si>
    <t>10902 D</t>
  </si>
  <si>
    <t>11101 D</t>
  </si>
  <si>
    <t>11193 D</t>
  </si>
  <si>
    <t>11322 D</t>
  </si>
  <si>
    <t>11387 D</t>
  </si>
  <si>
    <t>11494 D</t>
  </si>
  <si>
    <t>11649 D</t>
  </si>
  <si>
    <t>11651 D</t>
  </si>
  <si>
    <t>11783 D</t>
  </si>
  <si>
    <t>11903 D</t>
  </si>
  <si>
    <t>12009 D</t>
  </si>
  <si>
    <t>12131 D</t>
  </si>
  <si>
    <t>12236 D</t>
  </si>
  <si>
    <t>salchicha</t>
  </si>
  <si>
    <t>Chorizo</t>
  </si>
  <si>
    <t>PULPA RES cien</t>
  </si>
  <si>
    <t xml:space="preserve">BASURA </t>
  </si>
  <si>
    <t>FLETE RES</t>
  </si>
  <si>
    <t>Tocino-Jamon-Chorizo-pata res-Salchichoneria</t>
  </si>
  <si>
    <t>Surimi-Salmon-Atun</t>
  </si>
  <si>
    <t>CORTES caña-pulpa</t>
  </si>
  <si>
    <t>Tostitostadas</t>
  </si>
  <si>
    <t>Encontrack</t>
  </si>
  <si>
    <t>Seguro Resp Civil</t>
  </si>
  <si>
    <t>bordados</t>
  </si>
  <si>
    <t>SALSAS FMTS</t>
  </si>
  <si>
    <t>ADT SECURITY</t>
  </si>
  <si>
    <t>Seguros cargas</t>
  </si>
  <si>
    <t>Camara Comercio</t>
  </si>
  <si>
    <t>Jamon americano-pata res-chorizo blanco-Longaniza</t>
  </si>
  <si>
    <t>quesos gouda</t>
  </si>
  <si>
    <t>Albicia productos</t>
  </si>
  <si>
    <t>29-Ago--al 2-Oct</t>
  </si>
  <si>
    <t>comision banco</t>
  </si>
  <si>
    <t>3-Oct-22---7-Oct-22</t>
  </si>
  <si>
    <t>ok</t>
  </si>
  <si>
    <t>7-Oct-22--8-Oct-22</t>
  </si>
  <si>
    <t>8-Oct-22--11-Oct-22</t>
  </si>
  <si>
    <t xml:space="preserve">ZAVALETA DEBE A   CENTRAL </t>
  </si>
  <si>
    <t xml:space="preserve">CENTRAL DEBE A ZAVALETA </t>
  </si>
  <si>
    <t>AL DIA  17 DE OCTUBRE 2022</t>
  </si>
  <si>
    <t>BALANCE      ABASTO 4 CARNES    Z A V A L E T A      OCTUBRE           2 0 2 2</t>
  </si>
  <si>
    <t>quesos-chistorra-pollo-jamon-</t>
  </si>
  <si>
    <t xml:space="preserve">TURNOS </t>
  </si>
  <si>
    <t>SALCHICHA-MOLE-CHORIZO-POLLO-JAMON-PASTOR</t>
  </si>
  <si>
    <t>CHORIZO-LONGANIZA-QUESOS-POLLO-PATEW</t>
  </si>
  <si>
    <t>POLLO-JAMON-LOMOS-QUESO-CONDIMENTOS</t>
  </si>
  <si>
    <t>POLLO-QUESOS-LONGANIZA-PASTOR</t>
  </si>
  <si>
    <t xml:space="preserve">POLLO-QUESO </t>
  </si>
  <si>
    <t>NOMINA #  41</t>
  </si>
  <si>
    <t>QUESOS-TOCINETA-JAMON</t>
  </si>
  <si>
    <t>PAVO-QUESOS-CHISTORRA-POLLO-PASTOR</t>
  </si>
  <si>
    <t>LONGANIZA-CHORIZO-POLLO-SALCHICHA</t>
  </si>
  <si>
    <t>PICAÑA-QUESOS-POLLO-LONGANIZA-CHORIZO-PAPAS-NUGGUETS</t>
  </si>
  <si>
    <t>POLLO-MIXIOTES-QUESOS</t>
  </si>
  <si>
    <t>QUESOS-POLLO-PASTOR</t>
  </si>
  <si>
    <t>POLLO-CREMA-QUESOS</t>
  </si>
  <si>
    <t>NOMINA #  42</t>
  </si>
  <si>
    <t>NOMINA # 41</t>
  </si>
  <si>
    <t>CENTRAL--SALCHICHONERIA -POLLO-QUESOS-PASTOR-ARABE</t>
  </si>
  <si>
    <t>DOC NOTAS CENTRAL</t>
  </si>
  <si>
    <t>ENCHILADA-LONGANIZA-CHORIZO-QUESOS-SALCHICHA</t>
  </si>
  <si>
    <t>CREMA-QUESOS-POLLO-CHORIZO-LONGANIA</t>
  </si>
  <si>
    <t>QUESOS-POLLO-CHORIZO-LONGANIZA-PASTOR</t>
  </si>
  <si>
    <t>QUESOS-POLLO-PAPAS-CHORIZO-ENCHILADA-LONGANIZA</t>
  </si>
  <si>
    <t>NOMINA # 43</t>
  </si>
  <si>
    <t>NOMINA # 42</t>
  </si>
  <si>
    <t>QUESOS-CHISTORRA-PEPERONI-TOCINETA</t>
  </si>
  <si>
    <t>ARABE-MIXIOTES-ALITAS-JAMON-SALCHICHAS</t>
  </si>
  <si>
    <t>CHORIZO-POLLO-QUESOS-SALCHICHA-RIB-EYE</t>
  </si>
  <si>
    <t>QUESOS-POLLO-CHORIZO-ENCHILADA</t>
  </si>
  <si>
    <t>POLLO-QUESO-ENCHILADA-POSTRES</t>
  </si>
  <si>
    <t>POLLO-ENCHILADA-PASTOR-QUESOS-ARABE</t>
  </si>
  <si>
    <t>QUESOS-POLLO-ENCHILADA</t>
  </si>
  <si>
    <t>NOMINA # 44 Y Vacaciones</t>
  </si>
  <si>
    <t>Nomina #  44</t>
  </si>
  <si>
    <t>D-12562</t>
  </si>
  <si>
    <t>D-12752</t>
  </si>
  <si>
    <t>D-12794</t>
  </si>
  <si>
    <t>D-12860</t>
  </si>
  <si>
    <t>D-12981</t>
  </si>
  <si>
    <t>D-13037</t>
  </si>
  <si>
    <t>D-13175</t>
  </si>
  <si>
    <t>D-13340</t>
  </si>
  <si>
    <t>D-13341</t>
  </si>
  <si>
    <t>D-13343</t>
  </si>
  <si>
    <t>D-13407</t>
  </si>
  <si>
    <t>D-13480</t>
  </si>
  <si>
    <t>D-13572</t>
  </si>
  <si>
    <t>D-13598</t>
  </si>
  <si>
    <t>D-13697</t>
  </si>
  <si>
    <t>D-13795</t>
  </si>
  <si>
    <t>D-13938</t>
  </si>
  <si>
    <t>D-14205</t>
  </si>
  <si>
    <t>D-14319</t>
  </si>
  <si>
    <t>D-14335</t>
  </si>
  <si>
    <t>D-14345</t>
  </si>
  <si>
    <t>D-14483</t>
  </si>
  <si>
    <t>D-14584</t>
  </si>
  <si>
    <t>D-14664</t>
  </si>
  <si>
    <t>D-14677</t>
  </si>
  <si>
    <t>D-14945</t>
  </si>
  <si>
    <t>D-15060</t>
  </si>
  <si>
    <t>D-15206</t>
  </si>
  <si>
    <t>D-15324</t>
  </si>
  <si>
    <t>D-15342</t>
  </si>
  <si>
    <t>12-Oct-22--13-Oct-22</t>
  </si>
  <si>
    <t>13-Oct-22--14-Oct-22</t>
  </si>
  <si>
    <t>14-Oct-22--17-Oct-22</t>
  </si>
  <si>
    <t>17-Oct-22--21-Oct-22</t>
  </si>
  <si>
    <t>21-Oct-22--25-Oct-22</t>
  </si>
  <si>
    <t>25-Oct-22--3-Nov-22</t>
  </si>
  <si>
    <t>D-15444</t>
  </si>
  <si>
    <t xml:space="preserve">este pago del 19-Oct-22  contra notas de zavaleta </t>
  </si>
  <si>
    <t>3-oct-2022</t>
  </si>
  <si>
    <t>4-oct-2022</t>
  </si>
  <si>
    <t>5-oct-2022</t>
  </si>
  <si>
    <t>6-oct-2022</t>
  </si>
  <si>
    <t>7-oct-2022</t>
  </si>
  <si>
    <t>8-oct-2022</t>
  </si>
  <si>
    <t>10-oct-2022</t>
  </si>
  <si>
    <t>11-oct-2022</t>
  </si>
  <si>
    <t>12-oct-2022</t>
  </si>
  <si>
    <t>13-oct-2022</t>
  </si>
  <si>
    <t>14-oct-2022</t>
  </si>
  <si>
    <t>15-oct-2022</t>
  </si>
  <si>
    <t>16-oct-2022</t>
  </si>
  <si>
    <t>17-oct-2022</t>
  </si>
  <si>
    <t>18-oct-2022</t>
  </si>
  <si>
    <t>20-oct-2022</t>
  </si>
  <si>
    <t>21-oct-2022</t>
  </si>
  <si>
    <t>22-oct-2022</t>
  </si>
  <si>
    <t>24-oct-2022</t>
  </si>
  <si>
    <t>25-oct-2022</t>
  </si>
  <si>
    <t>26-oct-2022</t>
  </si>
  <si>
    <t>27-oct-2022</t>
  </si>
  <si>
    <t>28-oct-2022</t>
  </si>
  <si>
    <t>este pago del 19-Oct-22  contra notas de zavaleta   Y $  57,274.00  EN EFECTIVO</t>
  </si>
  <si>
    <t>BALANCE      ABASTO 4 CARNES    Z A V A L E T A    NOVIEMBRE          2 0 2 2</t>
  </si>
  <si>
    <t>SALCHICHONERIA-ROAS BEFF--QUESOS-MAIZ</t>
  </si>
  <si>
    <t>POLLO-QUESOS-CHORIZO-LONGANIZA</t>
  </si>
  <si>
    <t>JAMONES-CREMA-MANTEQUILLA</t>
  </si>
  <si>
    <t>QUESOS-POLLO-ARABE-PASTOR-LONGANIZA</t>
  </si>
  <si>
    <t>POLLO-QUESOS-</t>
  </si>
  <si>
    <t>QUESOS-POLLO-MIXIOTES-JAMON-LONGANIZA</t>
  </si>
  <si>
    <t>NOMINA # 45 Y VAC</t>
  </si>
  <si>
    <t>NOMINA # 5</t>
  </si>
  <si>
    <t>QUESOS-ARABE-LONGANIZAS-JAMON-CHISTORRA</t>
  </si>
  <si>
    <t>PAPA-LONGANIZAS-POLLO-QUESOS-CHIMICHURRI</t>
  </si>
  <si>
    <t>JAMONES-PAVO-POLLO-LONGANIZA-CREMA</t>
  </si>
  <si>
    <t>PASTOR-POSTRES-QUESOS-POLLO-SALCHICHA</t>
  </si>
  <si>
    <t>PASTOR-POLLO-MOLE-QUESOS-CREMA-LONGANIZA</t>
  </si>
  <si>
    <t>POLLO-QUESO</t>
  </si>
  <si>
    <t xml:space="preserve">NOMINA # 46 Y Vac </t>
  </si>
  <si>
    <t xml:space="preserve">NOMINA # 46 </t>
  </si>
  <si>
    <t>LONGANIZA-JAMON-PEPERONI-CHISTORRA</t>
  </si>
  <si>
    <t>JAMON-QUESOS-POLLO-PATE-CHISTORRA-SALCHICHA</t>
  </si>
  <si>
    <t>ARABE-CHORIZO-TOTOPOS-POLLO-QUESOS</t>
  </si>
  <si>
    <t>POLLO-QUESOS-LONGANIZA-CHORIZO</t>
  </si>
  <si>
    <t>POLLO-QUESOS-JAMON-NATA-LONGANIZA</t>
  </si>
  <si>
    <t>SALNCHICHA-MOLE-MAIZ-POLLO-QUESOS-CHORIZO</t>
  </si>
  <si>
    <t>Sobrante</t>
  </si>
  <si>
    <t>PASTOR-ARABE-POLLO-QUESOS</t>
  </si>
  <si>
    <t>Nomina # 47</t>
  </si>
  <si>
    <t>abastos</t>
  </si>
  <si>
    <t>POLLO-QUESOS-NATA-FLANES-PASTOR-JAMONE-ROAST-BEEF-CHISTORRA</t>
  </si>
  <si>
    <t>PAVO-SALCHICHA-CHORIZO-POLLO-QUESOS-JAMON-</t>
  </si>
  <si>
    <t>POLLO-QUESOS-SALCHICHA</t>
  </si>
  <si>
    <t>QUESOS-POLLO-PICAÑA-</t>
  </si>
  <si>
    <t>NOMINA # 48</t>
  </si>
  <si>
    <t>15577 D</t>
  </si>
  <si>
    <t>15645 D</t>
  </si>
  <si>
    <t>15651 D</t>
  </si>
  <si>
    <t>15712 D</t>
  </si>
  <si>
    <t>15823 D</t>
  </si>
  <si>
    <t>15903 D</t>
  </si>
  <si>
    <t>16097 D</t>
  </si>
  <si>
    <t>16157 D</t>
  </si>
  <si>
    <t>16363 D</t>
  </si>
  <si>
    <t>16482 D</t>
  </si>
  <si>
    <t>16564 D</t>
  </si>
  <si>
    <t>16666 D</t>
  </si>
  <si>
    <t>16807 D</t>
  </si>
  <si>
    <t>16922 D</t>
  </si>
  <si>
    <t>17103 D</t>
  </si>
  <si>
    <t>17180 D</t>
  </si>
  <si>
    <t>17292 D</t>
  </si>
  <si>
    <t>17421 D</t>
  </si>
  <si>
    <t>17530 D</t>
  </si>
  <si>
    <t>17641 D</t>
  </si>
  <si>
    <t>17760 D</t>
  </si>
  <si>
    <t>17812 D</t>
  </si>
  <si>
    <t>17891 D</t>
  </si>
  <si>
    <t>18002 D</t>
  </si>
  <si>
    <t>18116 D</t>
  </si>
  <si>
    <t>18259 D</t>
  </si>
  <si>
    <t>18378 D</t>
  </si>
  <si>
    <t>11-Nov-22--16-Nov-22</t>
  </si>
  <si>
    <t>16-Nov-22--18-Nov-22</t>
  </si>
  <si>
    <t>18-Nov-22--19-Nov-22</t>
  </si>
  <si>
    <t>19-Nov-22--25-Nov-22</t>
  </si>
  <si>
    <t>25-Nov-22--29-Nov-22</t>
  </si>
  <si>
    <t>29-Nov-22--2-Dic-22</t>
  </si>
  <si>
    <t>31-oct-2022</t>
  </si>
  <si>
    <t>1-nov-2022</t>
  </si>
  <si>
    <t>3-nov-2022</t>
  </si>
  <si>
    <t>4-nov-2022</t>
  </si>
  <si>
    <t>5-nov-2022</t>
  </si>
  <si>
    <t>6-nov-2022</t>
  </si>
  <si>
    <t>7-nov-2022</t>
  </si>
  <si>
    <t>8-nov-2022</t>
  </si>
  <si>
    <t>9-nov-2022</t>
  </si>
  <si>
    <t>10-nov-2022</t>
  </si>
  <si>
    <t>11-nov-2022</t>
  </si>
  <si>
    <t>12-nov-2022</t>
  </si>
  <si>
    <t>14-nov-2022</t>
  </si>
  <si>
    <t>15-nov-2022</t>
  </si>
  <si>
    <t>16-nov-2022</t>
  </si>
  <si>
    <t>17-nov-2022</t>
  </si>
  <si>
    <t>18-nov-2022</t>
  </si>
  <si>
    <t>19-nov-2022</t>
  </si>
  <si>
    <t>21-nov-2022</t>
  </si>
  <si>
    <t>22-nov-2022</t>
  </si>
  <si>
    <t>23-nov-2022</t>
  </si>
  <si>
    <t>24-nov-2022</t>
  </si>
  <si>
    <t>25-nov-2022</t>
  </si>
  <si>
    <t>26-nov-2022</t>
  </si>
  <si>
    <t>GUARDIA</t>
  </si>
  <si>
    <t>SEGURO CARGA</t>
  </si>
  <si>
    <t>Calendarios</t>
  </si>
  <si>
    <t>ALBICIA</t>
  </si>
  <si>
    <t>CARNE BMRCASH</t>
  </si>
  <si>
    <t>SISTEMA PCS</t>
  </si>
  <si>
    <t>BALANCE      ABASTO 4 CARNES    Z A V A L E T A    DICIEMBRE          2 0 2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</si>
</sst>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8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  <font>
      <b/>
      <sz val="17"/>
      <color theme="1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5"/>
      <color rgb="FF0000FF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2"/>
      <color rgb="FF7030A0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1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mediumDashDot">
        <color auto="1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 style="mediumDashed">
        <color indexed="64"/>
      </left>
      <right/>
      <top/>
      <bottom style="double">
        <color indexed="64"/>
      </bottom>
      <diagonal/>
    </border>
    <border>
      <left/>
      <right style="mediumDashed">
        <color auto="1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73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7" xfId="0" applyNumberFormat="1" applyFont="1" applyBorder="1" applyAlignment="1">
      <alignment horizontal="center"/>
    </xf>
    <xf numFmtId="0" fontId="3" fillId="0" borderId="98" xfId="0" applyFont="1" applyBorder="1" applyAlignment="1">
      <alignment horizontal="center"/>
    </xf>
    <xf numFmtId="44" fontId="3" fillId="0" borderId="98" xfId="1" applyFont="1" applyBorder="1" applyAlignment="1">
      <alignment horizontal="center"/>
    </xf>
    <xf numFmtId="165" fontId="3" fillId="0" borderId="98" xfId="0" applyNumberFormat="1" applyFont="1" applyBorder="1" applyAlignment="1">
      <alignment horizontal="center"/>
    </xf>
    <xf numFmtId="44" fontId="3" fillId="0" borderId="99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2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3" xfId="1" applyFont="1" applyFill="1" applyBorder="1"/>
    <xf numFmtId="44" fontId="2" fillId="0" borderId="104" xfId="1" applyFont="1" applyFill="1" applyBorder="1"/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" fillId="16" borderId="25" xfId="0" applyFont="1" applyFill="1" applyBorder="1" applyAlignment="1"/>
    <xf numFmtId="0" fontId="2" fillId="16" borderId="27" xfId="0" applyFont="1" applyFill="1" applyBorder="1" applyAlignment="1"/>
    <xf numFmtId="166" fontId="19" fillId="0" borderId="50" xfId="0" applyNumberFormat="1" applyFont="1" applyFill="1" applyBorder="1"/>
    <xf numFmtId="166" fontId="18" fillId="0" borderId="50" xfId="0" applyNumberFormat="1" applyFont="1" applyFill="1" applyBorder="1"/>
    <xf numFmtId="0" fontId="20" fillId="0" borderId="25" xfId="0" applyFont="1" applyFill="1" applyBorder="1" applyAlignment="1">
      <alignment horizontal="left"/>
    </xf>
    <xf numFmtId="49" fontId="2" fillId="0" borderId="91" xfId="0" applyNumberFormat="1" applyFont="1" applyBorder="1"/>
    <xf numFmtId="0" fontId="2" fillId="0" borderId="86" xfId="0" applyFont="1" applyBorder="1" applyAlignment="1">
      <alignment horizontal="center"/>
    </xf>
    <xf numFmtId="44" fontId="2" fillId="0" borderId="86" xfId="1" applyFont="1" applyBorder="1"/>
    <xf numFmtId="49" fontId="2" fillId="21" borderId="91" xfId="0" applyNumberFormat="1" applyFont="1" applyFill="1" applyBorder="1"/>
    <xf numFmtId="0" fontId="2" fillId="21" borderId="86" xfId="0" applyFont="1" applyFill="1" applyBorder="1" applyAlignment="1">
      <alignment horizontal="center"/>
    </xf>
    <xf numFmtId="44" fontId="2" fillId="21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/>
    <xf numFmtId="0" fontId="2" fillId="0" borderId="27" xfId="0" applyFont="1" applyFill="1" applyBorder="1" applyAlignment="1"/>
    <xf numFmtId="0" fontId="22" fillId="0" borderId="0" xfId="0" applyFont="1" applyFill="1" applyAlignment="1">
      <alignment horizontal="center"/>
    </xf>
    <xf numFmtId="0" fontId="74" fillId="0" borderId="0" xfId="0" applyFont="1" applyFill="1" applyAlignment="1">
      <alignment horizontal="center"/>
    </xf>
    <xf numFmtId="0" fontId="19" fillId="0" borderId="77" xfId="0" applyFont="1" applyBorder="1"/>
    <xf numFmtId="0" fontId="0" fillId="0" borderId="58" xfId="0" applyBorder="1"/>
    <xf numFmtId="0" fontId="19" fillId="0" borderId="0" xfId="0" applyFont="1" applyBorder="1"/>
    <xf numFmtId="0" fontId="0" fillId="0" borderId="4" xfId="0" applyBorder="1"/>
    <xf numFmtId="0" fontId="68" fillId="0" borderId="0" xfId="0" applyFont="1" applyBorder="1"/>
    <xf numFmtId="0" fontId="0" fillId="0" borderId="0" xfId="0" applyBorder="1"/>
    <xf numFmtId="0" fontId="0" fillId="0" borderId="5" xfId="0" applyBorder="1"/>
    <xf numFmtId="0" fontId="0" fillId="0" borderId="59" xfId="0" applyBorder="1"/>
    <xf numFmtId="0" fontId="2" fillId="0" borderId="2" xfId="0" applyFont="1" applyFill="1" applyBorder="1"/>
    <xf numFmtId="0" fontId="2" fillId="0" borderId="33" xfId="0" applyFont="1" applyFill="1" applyBorder="1"/>
    <xf numFmtId="165" fontId="2" fillId="0" borderId="2" xfId="0" applyNumberFormat="1" applyFont="1" applyFill="1" applyBorder="1"/>
    <xf numFmtId="0" fontId="68" fillId="0" borderId="25" xfId="0" applyFont="1" applyBorder="1"/>
    <xf numFmtId="0" fontId="19" fillId="0" borderId="25" xfId="0" applyFont="1" applyBorder="1"/>
    <xf numFmtId="44" fontId="2" fillId="0" borderId="56" xfId="1" applyFont="1" applyBorder="1"/>
    <xf numFmtId="44" fontId="10" fillId="0" borderId="26" xfId="1" applyFont="1" applyFill="1" applyBorder="1"/>
    <xf numFmtId="44" fontId="2" fillId="17" borderId="17" xfId="1" applyFont="1" applyFill="1" applyBorder="1" applyAlignment="1">
      <alignment horizontal="center"/>
    </xf>
    <xf numFmtId="0" fontId="0" fillId="3" borderId="0" xfId="0" applyFont="1" applyFill="1"/>
    <xf numFmtId="44" fontId="11" fillId="15" borderId="0" xfId="1" applyFont="1" applyFill="1" applyBorder="1"/>
    <xf numFmtId="0" fontId="2" fillId="0" borderId="0" xfId="0" applyFont="1" applyFill="1" applyAlignment="1">
      <alignment horizontal="center" wrapText="1"/>
    </xf>
    <xf numFmtId="16" fontId="2" fillId="0" borderId="57" xfId="0" applyNumberFormat="1" applyFont="1" applyFill="1" applyBorder="1"/>
    <xf numFmtId="44" fontId="0" fillId="0" borderId="77" xfId="1" applyFont="1" applyBorder="1"/>
    <xf numFmtId="44" fontId="2" fillId="0" borderId="28" xfId="1" applyFont="1" applyBorder="1"/>
    <xf numFmtId="44" fontId="2" fillId="0" borderId="0" xfId="1" applyFont="1" applyBorder="1"/>
    <xf numFmtId="0" fontId="68" fillId="0" borderId="0" xfId="0" applyFont="1" applyFill="1" applyBorder="1" applyAlignment="1">
      <alignment horizontal="left"/>
    </xf>
    <xf numFmtId="44" fontId="11" fillId="3" borderId="0" xfId="1" applyFont="1" applyFill="1" applyBorder="1"/>
    <xf numFmtId="0" fontId="0" fillId="3" borderId="0" xfId="0" applyFill="1" applyBorder="1"/>
    <xf numFmtId="44" fontId="2" fillId="16" borderId="0" xfId="0" applyNumberFormat="1" applyFont="1" applyFill="1" applyBorder="1"/>
    <xf numFmtId="0" fontId="68" fillId="0" borderId="0" xfId="0" applyFont="1" applyFill="1" applyBorder="1"/>
    <xf numFmtId="0" fontId="2" fillId="16" borderId="27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left" wrapText="1"/>
    </xf>
    <xf numFmtId="0" fontId="2" fillId="16" borderId="25" xfId="0" applyFont="1" applyFill="1" applyBorder="1" applyAlignment="1">
      <alignment horizontal="center"/>
    </xf>
    <xf numFmtId="166" fontId="15" fillId="0" borderId="50" xfId="0" applyNumberFormat="1" applyFont="1" applyFill="1" applyBorder="1"/>
    <xf numFmtId="0" fontId="2" fillId="16" borderId="25" xfId="0" applyFont="1" applyFill="1" applyBorder="1" applyAlignment="1">
      <alignment horizontal="center" wrapText="1"/>
    </xf>
    <xf numFmtId="44" fontId="3" fillId="17" borderId="0" xfId="1" applyFont="1" applyFill="1" applyAlignment="1">
      <alignment horizontal="center"/>
    </xf>
    <xf numFmtId="49" fontId="3" fillId="21" borderId="102" xfId="0" applyNumberFormat="1" applyFont="1" applyFill="1" applyBorder="1"/>
    <xf numFmtId="0" fontId="3" fillId="21" borderId="88" xfId="0" applyFont="1" applyFill="1" applyBorder="1" applyAlignment="1">
      <alignment horizontal="center"/>
    </xf>
    <xf numFmtId="44" fontId="3" fillId="21" borderId="88" xfId="1" applyFont="1" applyFill="1" applyBorder="1"/>
    <xf numFmtId="49" fontId="0" fillId="0" borderId="91" xfId="0" applyNumberFormat="1" applyFont="1" applyFill="1" applyBorder="1"/>
    <xf numFmtId="0" fontId="0" fillId="0" borderId="86" xfId="0" applyFont="1" applyFill="1" applyBorder="1"/>
    <xf numFmtId="44" fontId="0" fillId="0" borderId="86" xfId="1" applyFont="1" applyFill="1" applyBorder="1"/>
    <xf numFmtId="49" fontId="0" fillId="0" borderId="86" xfId="0" applyNumberFormat="1" applyFont="1" applyFill="1" applyBorder="1"/>
    <xf numFmtId="164" fontId="0" fillId="0" borderId="91" xfId="0" applyNumberFormat="1" applyFont="1" applyFill="1" applyBorder="1"/>
    <xf numFmtId="165" fontId="3" fillId="16" borderId="25" xfId="0" applyNumberFormat="1" applyFont="1" applyFill="1" applyBorder="1" applyAlignment="1">
      <alignment wrapText="1"/>
    </xf>
    <xf numFmtId="0" fontId="76" fillId="0" borderId="0" xfId="0" applyFont="1"/>
    <xf numFmtId="16" fontId="19" fillId="0" borderId="0" xfId="0" applyNumberFormat="1" applyFont="1" applyBorder="1"/>
    <xf numFmtId="164" fontId="0" fillId="0" borderId="0" xfId="0" applyNumberFormat="1" applyBorder="1"/>
    <xf numFmtId="165" fontId="64" fillId="0" borderId="25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/>
    </xf>
    <xf numFmtId="0" fontId="2" fillId="0" borderId="25" xfId="0" applyFont="1" applyFill="1" applyBorder="1" applyAlignment="1">
      <alignment horizontal="left"/>
    </xf>
    <xf numFmtId="0" fontId="68" fillId="0" borderId="25" xfId="0" applyFont="1" applyFill="1" applyBorder="1" applyAlignment="1">
      <alignment horizontal="left"/>
    </xf>
    <xf numFmtId="0" fontId="74" fillId="0" borderId="25" xfId="0" applyFont="1" applyFill="1" applyBorder="1" applyAlignment="1">
      <alignment horizontal="left"/>
    </xf>
    <xf numFmtId="165" fontId="3" fillId="18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/>
    <xf numFmtId="165" fontId="3" fillId="6" borderId="25" xfId="0" applyNumberFormat="1" applyFont="1" applyFill="1" applyBorder="1"/>
    <xf numFmtId="165" fontId="3" fillId="6" borderId="25" xfId="0" applyNumberFormat="1" applyFont="1" applyFill="1" applyBorder="1" applyAlignment="1">
      <alignment horizontal="center" wrapText="1"/>
    </xf>
    <xf numFmtId="44" fontId="0" fillId="0" borderId="4" xfId="1" applyFont="1" applyBorder="1"/>
    <xf numFmtId="44" fontId="3" fillId="0" borderId="2" xfId="1" applyFont="1" applyFill="1" applyBorder="1"/>
    <xf numFmtId="44" fontId="3" fillId="0" borderId="33" xfId="1" applyFont="1" applyFill="1" applyBorder="1"/>
    <xf numFmtId="44" fontId="0" fillId="0" borderId="59" xfId="1" applyFont="1" applyBorder="1"/>
    <xf numFmtId="0" fontId="0" fillId="0" borderId="109" xfId="0" applyBorder="1"/>
    <xf numFmtId="0" fontId="0" fillId="0" borderId="110" xfId="0" applyBorder="1"/>
    <xf numFmtId="0" fontId="0" fillId="0" borderId="111" xfId="0" applyBorder="1"/>
    <xf numFmtId="0" fontId="0" fillId="0" borderId="30" xfId="0" applyBorder="1"/>
    <xf numFmtId="0" fontId="0" fillId="0" borderId="112" xfId="0" applyBorder="1"/>
    <xf numFmtId="0" fontId="0" fillId="0" borderId="113" xfId="0" applyBorder="1"/>
    <xf numFmtId="44" fontId="13" fillId="0" borderId="0" xfId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left" wrapText="1"/>
    </xf>
    <xf numFmtId="166" fontId="19" fillId="0" borderId="0" xfId="0" applyNumberFormat="1" applyFont="1" applyFill="1" applyAlignment="1">
      <alignment horizontal="left"/>
    </xf>
    <xf numFmtId="15" fontId="2" fillId="0" borderId="30" xfId="0" applyNumberFormat="1" applyFont="1" applyFill="1" applyBorder="1"/>
    <xf numFmtId="164" fontId="2" fillId="0" borderId="74" xfId="0" applyNumberFormat="1" applyFont="1" applyFill="1" applyBorder="1" applyAlignment="1">
      <alignment horizontal="center"/>
    </xf>
    <xf numFmtId="15" fontId="2" fillId="0" borderId="77" xfId="0" applyNumberFormat="1" applyFont="1" applyFill="1" applyBorder="1"/>
    <xf numFmtId="44" fontId="19" fillId="0" borderId="0" xfId="1" applyFont="1" applyFill="1" applyBorder="1" applyAlignment="1">
      <alignment horizontal="center" vertical="center"/>
    </xf>
    <xf numFmtId="0" fontId="64" fillId="14" borderId="28" xfId="0" applyFont="1" applyFill="1" applyBorder="1" applyAlignment="1">
      <alignment horizontal="center" wrapText="1"/>
    </xf>
    <xf numFmtId="44" fontId="3" fillId="13" borderId="26" xfId="1" applyFont="1" applyFill="1" applyBorder="1"/>
    <xf numFmtId="165" fontId="2" fillId="18" borderId="25" xfId="1" applyNumberFormat="1" applyFont="1" applyFill="1" applyBorder="1" applyAlignment="1">
      <alignment horizontal="center"/>
    </xf>
    <xf numFmtId="164" fontId="0" fillId="0" borderId="25" xfId="0" applyNumberFormat="1" applyFont="1" applyFill="1" applyBorder="1"/>
    <xf numFmtId="49" fontId="0" fillId="0" borderId="25" xfId="0" applyNumberFormat="1" applyFont="1" applyFill="1" applyBorder="1"/>
    <xf numFmtId="44" fontId="0" fillId="0" borderId="25" xfId="1" applyFont="1" applyFill="1" applyBorder="1"/>
    <xf numFmtId="44" fontId="3" fillId="3" borderId="86" xfId="1" applyFont="1" applyFill="1" applyBorder="1"/>
    <xf numFmtId="165" fontId="3" fillId="0" borderId="25" xfId="0" applyNumberFormat="1" applyFont="1" applyFill="1" applyBorder="1" applyAlignment="1">
      <alignment wrapText="1"/>
    </xf>
    <xf numFmtId="165" fontId="3" fillId="14" borderId="25" xfId="0" applyNumberFormat="1" applyFont="1" applyFill="1" applyBorder="1"/>
    <xf numFmtId="44" fontId="3" fillId="14" borderId="25" xfId="1" applyFont="1" applyFill="1" applyBorder="1"/>
    <xf numFmtId="44" fontId="3" fillId="16" borderId="86" xfId="1" applyFont="1" applyFill="1" applyBorder="1"/>
    <xf numFmtId="165" fontId="3" fillId="14" borderId="25" xfId="0" applyNumberFormat="1" applyFont="1" applyFill="1" applyBorder="1" applyAlignment="1">
      <alignment wrapText="1"/>
    </xf>
    <xf numFmtId="165" fontId="3" fillId="24" borderId="25" xfId="0" applyNumberFormat="1" applyFont="1" applyFill="1" applyBorder="1" applyAlignment="1">
      <alignment wrapText="1"/>
    </xf>
    <xf numFmtId="165" fontId="3" fillId="28" borderId="25" xfId="0" applyNumberFormat="1" applyFont="1" applyFill="1" applyBorder="1"/>
    <xf numFmtId="44" fontId="3" fillId="28" borderId="86" xfId="1" applyFont="1" applyFill="1" applyBorder="1"/>
    <xf numFmtId="44" fontId="3" fillId="0" borderId="88" xfId="1" applyFont="1" applyFill="1" applyBorder="1"/>
    <xf numFmtId="165" fontId="0" fillId="0" borderId="0" xfId="0" applyNumberFormat="1" applyBorder="1"/>
    <xf numFmtId="164" fontId="3" fillId="0" borderId="21" xfId="0" applyNumberFormat="1" applyFont="1" applyFill="1" applyBorder="1"/>
    <xf numFmtId="49" fontId="3" fillId="0" borderId="21" xfId="0" applyNumberFormat="1" applyFont="1" applyFill="1" applyBorder="1" applyAlignment="1">
      <alignment horizontal="center"/>
    </xf>
    <xf numFmtId="164" fontId="3" fillId="0" borderId="116" xfId="0" applyNumberFormat="1" applyFont="1" applyBorder="1" applyAlignment="1">
      <alignment horizontal="center"/>
    </xf>
    <xf numFmtId="0" fontId="3" fillId="0" borderId="117" xfId="0" applyFont="1" applyBorder="1" applyAlignment="1">
      <alignment horizontal="center"/>
    </xf>
    <xf numFmtId="44" fontId="3" fillId="0" borderId="117" xfId="1" applyFont="1" applyBorder="1" applyAlignment="1">
      <alignment horizontal="center"/>
    </xf>
    <xf numFmtId="165" fontId="3" fillId="0" borderId="117" xfId="0" applyNumberFormat="1" applyFont="1" applyBorder="1" applyAlignment="1">
      <alignment horizontal="center"/>
    </xf>
    <xf numFmtId="44" fontId="3" fillId="0" borderId="118" xfId="1" applyFont="1" applyBorder="1" applyAlignment="1">
      <alignment horizontal="center"/>
    </xf>
    <xf numFmtId="44" fontId="73" fillId="0" borderId="18" xfId="1" applyFont="1" applyFill="1" applyBorder="1"/>
    <xf numFmtId="44" fontId="13" fillId="9" borderId="86" xfId="1" applyFont="1" applyFill="1" applyBorder="1"/>
    <xf numFmtId="165" fontId="3" fillId="9" borderId="21" xfId="0" applyNumberFormat="1" applyFont="1" applyFill="1" applyBorder="1"/>
    <xf numFmtId="44" fontId="2" fillId="9" borderId="89" xfId="1" applyFont="1" applyFill="1" applyBorder="1"/>
    <xf numFmtId="44" fontId="2" fillId="9" borderId="25" xfId="1" applyFont="1" applyFill="1" applyBorder="1"/>
    <xf numFmtId="44" fontId="3" fillId="9" borderId="88" xfId="1" applyFont="1" applyFill="1" applyBorder="1"/>
    <xf numFmtId="44" fontId="3" fillId="9" borderId="86" xfId="1" applyFont="1" applyFill="1" applyBorder="1"/>
    <xf numFmtId="49" fontId="2" fillId="21" borderId="91" xfId="0" applyNumberFormat="1" applyFont="1" applyFill="1" applyBorder="1" applyAlignment="1">
      <alignment horizontal="center"/>
    </xf>
    <xf numFmtId="49" fontId="2" fillId="0" borderId="91" xfId="0" applyNumberFormat="1" applyFont="1" applyBorder="1" applyAlignment="1">
      <alignment horizontal="center"/>
    </xf>
    <xf numFmtId="44" fontId="2" fillId="9" borderId="86" xfId="1" applyFont="1" applyFill="1" applyBorder="1"/>
    <xf numFmtId="44" fontId="13" fillId="0" borderId="0" xfId="1" applyFont="1" applyFill="1" applyBorder="1" applyAlignment="1">
      <alignment horizontal="center" vertical="center"/>
    </xf>
    <xf numFmtId="49" fontId="2" fillId="0" borderId="91" xfId="0" applyNumberFormat="1" applyFont="1" applyFill="1" applyBorder="1" applyAlignment="1">
      <alignment horizontal="center"/>
    </xf>
    <xf numFmtId="0" fontId="64" fillId="0" borderId="28" xfId="0" applyFont="1" applyFill="1" applyBorder="1" applyAlignment="1">
      <alignment horizontal="center" wrapText="1"/>
    </xf>
    <xf numFmtId="165" fontId="20" fillId="16" borderId="27" xfId="0" applyNumberFormat="1" applyFont="1" applyFill="1" applyBorder="1" applyAlignment="1">
      <alignment horizontal="center"/>
    </xf>
    <xf numFmtId="44" fontId="3" fillId="6" borderId="26" xfId="1" applyFont="1" applyFill="1" applyBorder="1"/>
    <xf numFmtId="44" fontId="3" fillId="9" borderId="26" xfId="1" applyFont="1" applyFill="1" applyBorder="1"/>
    <xf numFmtId="0" fontId="66" fillId="0" borderId="0" xfId="0" applyFont="1" applyFill="1" applyAlignment="1">
      <alignment horizontal="center"/>
    </xf>
    <xf numFmtId="165" fontId="70" fillId="0" borderId="21" xfId="0" applyNumberFormat="1" applyFont="1" applyFill="1" applyBorder="1"/>
    <xf numFmtId="44" fontId="70" fillId="0" borderId="21" xfId="1" applyFont="1" applyFill="1" applyBorder="1"/>
    <xf numFmtId="44" fontId="70" fillId="0" borderId="25" xfId="1" applyFont="1" applyFill="1" applyBorder="1"/>
    <xf numFmtId="165" fontId="70" fillId="0" borderId="21" xfId="0" applyNumberFormat="1" applyFont="1" applyFill="1" applyBorder="1" applyAlignment="1">
      <alignment wrapText="1"/>
    </xf>
    <xf numFmtId="44" fontId="10" fillId="0" borderId="25" xfId="1" applyFont="1" applyFill="1" applyBorder="1"/>
    <xf numFmtId="165" fontId="10" fillId="0" borderId="25" xfId="0" applyNumberFormat="1" applyFont="1" applyFill="1" applyBorder="1"/>
    <xf numFmtId="165" fontId="10" fillId="0" borderId="25" xfId="0" applyNumberFormat="1" applyFont="1" applyFill="1" applyBorder="1" applyAlignment="1">
      <alignment wrapText="1"/>
    </xf>
    <xf numFmtId="44" fontId="78" fillId="0" borderId="25" xfId="1" applyFont="1" applyFill="1" applyBorder="1"/>
    <xf numFmtId="44" fontId="73" fillId="0" borderId="25" xfId="1" applyFont="1" applyFill="1" applyBorder="1"/>
    <xf numFmtId="165" fontId="73" fillId="0" borderId="25" xfId="0" applyNumberFormat="1" applyFont="1" applyFill="1" applyBorder="1"/>
    <xf numFmtId="165" fontId="73" fillId="0" borderId="25" xfId="0" applyNumberFormat="1" applyFont="1" applyFill="1" applyBorder="1" applyAlignment="1">
      <alignment wrapText="1"/>
    </xf>
    <xf numFmtId="44" fontId="79" fillId="0" borderId="25" xfId="1" applyFont="1" applyFill="1" applyBorder="1"/>
    <xf numFmtId="44" fontId="80" fillId="0" borderId="25" xfId="1" applyFont="1" applyFill="1" applyBorder="1"/>
    <xf numFmtId="165" fontId="79" fillId="0" borderId="25" xfId="0" applyNumberFormat="1" applyFont="1" applyFill="1" applyBorder="1" applyAlignment="1">
      <alignment wrapText="1"/>
    </xf>
    <xf numFmtId="165" fontId="80" fillId="0" borderId="25" xfId="0" applyNumberFormat="1" applyFont="1" applyFill="1" applyBorder="1"/>
    <xf numFmtId="165" fontId="80" fillId="0" borderId="25" xfId="0" applyNumberFormat="1" applyFont="1" applyFill="1" applyBorder="1" applyAlignment="1">
      <alignment wrapText="1"/>
    </xf>
    <xf numFmtId="165" fontId="78" fillId="0" borderId="25" xfId="0" applyNumberFormat="1" applyFont="1" applyFill="1" applyBorder="1"/>
    <xf numFmtId="44" fontId="13" fillId="0" borderId="0" xfId="1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6" xfId="0" applyNumberFormat="1" applyFont="1" applyFill="1" applyBorder="1" applyAlignment="1">
      <alignment horizont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6" xfId="1" applyFont="1" applyBorder="1" applyAlignment="1">
      <alignment horizontal="center" vertical="center"/>
    </xf>
    <xf numFmtId="44" fontId="61" fillId="0" borderId="108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5" xfId="0" applyNumberFormat="1" applyFont="1" applyBorder="1" applyAlignment="1">
      <alignment horizontal="center" vertical="center"/>
    </xf>
    <xf numFmtId="165" fontId="62" fillId="16" borderId="57" xfId="0" applyNumberFormat="1" applyFont="1" applyFill="1" applyBorder="1" applyAlignment="1">
      <alignment horizontal="center" vertical="center" wrapText="1"/>
    </xf>
    <xf numFmtId="165" fontId="62" fillId="16" borderId="77" xfId="0" applyNumberFormat="1" applyFont="1" applyFill="1" applyBorder="1" applyAlignment="1">
      <alignment horizontal="center" vertical="center" wrapText="1"/>
    </xf>
    <xf numFmtId="165" fontId="62" fillId="16" borderId="58" xfId="0" applyNumberFormat="1" applyFont="1" applyFill="1" applyBorder="1" applyAlignment="1">
      <alignment horizontal="center" vertical="center" wrapText="1"/>
    </xf>
    <xf numFmtId="165" fontId="62" fillId="16" borderId="33" xfId="0" applyNumberFormat="1" applyFont="1" applyFill="1" applyBorder="1" applyAlignment="1">
      <alignment horizontal="center" vertical="center" wrapText="1"/>
    </xf>
    <xf numFmtId="165" fontId="62" fillId="16" borderId="5" xfId="0" applyNumberFormat="1" applyFont="1" applyFill="1" applyBorder="1" applyAlignment="1">
      <alignment horizontal="center" vertical="center" wrapText="1"/>
    </xf>
    <xf numFmtId="165" fontId="62" fillId="16" borderId="59" xfId="0" applyNumberFormat="1" applyFont="1" applyFill="1" applyBorder="1" applyAlignment="1">
      <alignment horizontal="center" vertical="center" wrapText="1"/>
    </xf>
    <xf numFmtId="0" fontId="75" fillId="24" borderId="57" xfId="0" applyFont="1" applyFill="1" applyBorder="1" applyAlignment="1">
      <alignment horizontal="center" vertical="center" wrapText="1"/>
    </xf>
    <xf numFmtId="0" fontId="75" fillId="24" borderId="77" xfId="0" applyFont="1" applyFill="1" applyBorder="1" applyAlignment="1">
      <alignment horizontal="center" vertical="center" wrapText="1"/>
    </xf>
    <xf numFmtId="0" fontId="75" fillId="24" borderId="58" xfId="0" applyFont="1" applyFill="1" applyBorder="1" applyAlignment="1">
      <alignment horizontal="center" vertical="center" wrapText="1"/>
    </xf>
    <xf numFmtId="0" fontId="75" fillId="24" borderId="33" xfId="0" applyFont="1" applyFill="1" applyBorder="1" applyAlignment="1">
      <alignment horizontal="center" vertical="center" wrapText="1"/>
    </xf>
    <xf numFmtId="0" fontId="75" fillId="24" borderId="5" xfId="0" applyFont="1" applyFill="1" applyBorder="1" applyAlignment="1">
      <alignment horizontal="center" vertical="center" wrapText="1"/>
    </xf>
    <xf numFmtId="0" fontId="75" fillId="24" borderId="59" xfId="0" applyFont="1" applyFill="1" applyBorder="1" applyAlignment="1">
      <alignment horizontal="center" vertical="center" wrapText="1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0" borderId="26" xfId="1" applyFont="1" applyBorder="1" applyAlignment="1">
      <alignment horizont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0" xfId="0" applyNumberFormat="1" applyFont="1" applyFill="1" applyBorder="1" applyAlignment="1">
      <alignment horizontal="center" vertical="center" wrapText="1"/>
    </xf>
    <xf numFmtId="164" fontId="11" fillId="7" borderId="101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  <xf numFmtId="49" fontId="11" fillId="9" borderId="78" xfId="0" applyNumberFormat="1" applyFont="1" applyFill="1" applyBorder="1" applyAlignment="1">
      <alignment horizontal="center" vertical="center" wrapText="1"/>
    </xf>
    <xf numFmtId="49" fontId="11" fillId="9" borderId="0" xfId="0" applyNumberFormat="1" applyFont="1" applyFill="1" applyBorder="1" applyAlignment="1">
      <alignment horizontal="center" vertical="center" wrapText="1"/>
    </xf>
    <xf numFmtId="49" fontId="11" fillId="9" borderId="90" xfId="0" applyNumberFormat="1" applyFont="1" applyFill="1" applyBorder="1" applyAlignment="1">
      <alignment horizontal="center" vertical="center" wrapText="1"/>
    </xf>
    <xf numFmtId="44" fontId="12" fillId="0" borderId="25" xfId="1" applyFont="1" applyBorder="1" applyAlignment="1">
      <alignment horizontal="center"/>
    </xf>
    <xf numFmtId="7" fontId="34" fillId="18" borderId="2" xfId="1" applyNumberFormat="1" applyFont="1" applyFill="1" applyBorder="1" applyAlignment="1">
      <alignment horizontal="center"/>
    </xf>
    <xf numFmtId="7" fontId="34" fillId="18" borderId="4" xfId="1" applyNumberFormat="1" applyFont="1" applyFill="1" applyBorder="1" applyAlignment="1">
      <alignment horizontal="center"/>
    </xf>
    <xf numFmtId="166" fontId="59" fillId="14" borderId="7" xfId="0" applyNumberFormat="1" applyFont="1" applyFill="1" applyBorder="1" applyAlignment="1">
      <alignment horizontal="center"/>
    </xf>
    <xf numFmtId="166" fontId="59" fillId="14" borderId="8" xfId="0" applyNumberFormat="1" applyFont="1" applyFill="1" applyBorder="1" applyAlignment="1">
      <alignment horizontal="center"/>
    </xf>
    <xf numFmtId="166" fontId="59" fillId="14" borderId="16" xfId="0" applyNumberFormat="1" applyFont="1" applyFill="1" applyBorder="1" applyAlignment="1">
      <alignment horizontal="center"/>
    </xf>
    <xf numFmtId="0" fontId="11" fillId="0" borderId="3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112" xfId="0" applyFont="1" applyBorder="1" applyAlignment="1">
      <alignment horizontal="center" vertical="center"/>
    </xf>
    <xf numFmtId="0" fontId="11" fillId="0" borderId="114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115" xfId="0" applyFont="1" applyBorder="1" applyAlignment="1">
      <alignment horizontal="center" vertical="center"/>
    </xf>
    <xf numFmtId="44" fontId="77" fillId="0" borderId="57" xfId="1" applyFont="1" applyFill="1" applyBorder="1" applyAlignment="1">
      <alignment horizontal="center" vertical="center"/>
    </xf>
    <xf numFmtId="44" fontId="77" fillId="0" borderId="58" xfId="1" applyFont="1" applyFill="1" applyBorder="1" applyAlignment="1">
      <alignment horizontal="center" vertical="center"/>
    </xf>
    <xf numFmtId="44" fontId="77" fillId="0" borderId="33" xfId="1" applyFont="1" applyFill="1" applyBorder="1" applyAlignment="1">
      <alignment horizontal="center" vertical="center"/>
    </xf>
    <xf numFmtId="44" fontId="77" fillId="0" borderId="59" xfId="1" applyFont="1" applyFill="1" applyBorder="1" applyAlignment="1">
      <alignment horizontal="center" vertical="center"/>
    </xf>
    <xf numFmtId="44" fontId="11" fillId="9" borderId="13" xfId="1" applyFont="1" applyFill="1" applyBorder="1" applyAlignment="1">
      <alignment horizontal="center"/>
    </xf>
    <xf numFmtId="44" fontId="11" fillId="9" borderId="51" xfId="1" applyFont="1" applyFill="1" applyBorder="1" applyAlignment="1">
      <alignment horizontal="center"/>
    </xf>
    <xf numFmtId="166" fontId="11" fillId="9" borderId="51" xfId="1" applyNumberFormat="1" applyFont="1" applyFill="1" applyBorder="1" applyAlignment="1">
      <alignment horizontal="center"/>
    </xf>
    <xf numFmtId="44" fontId="33" fillId="16" borderId="1" xfId="1" applyFont="1" applyFill="1" applyBorder="1" applyAlignment="1">
      <alignment horizontal="center" vertical="center"/>
    </xf>
    <xf numFmtId="44" fontId="33" fillId="16" borderId="3" xfId="1" applyFont="1" applyFill="1" applyBorder="1" applyAlignment="1">
      <alignment horizontal="center" vertical="center"/>
    </xf>
    <xf numFmtId="49" fontId="11" fillId="0" borderId="78" xfId="0" applyNumberFormat="1" applyFont="1" applyFill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center" vertical="center" wrapText="1"/>
    </xf>
    <xf numFmtId="49" fontId="11" fillId="0" borderId="90" xfId="0" applyNumberFormat="1" applyFont="1" applyFill="1" applyBorder="1" applyAlignment="1">
      <alignment horizontal="center" vertical="center" wrapText="1"/>
    </xf>
    <xf numFmtId="49" fontId="3" fillId="21" borderId="91" xfId="0" applyNumberFormat="1" applyFont="1" applyFill="1" applyBorder="1" applyAlignment="1">
      <alignment horizontal="center"/>
    </xf>
    <xf numFmtId="49" fontId="3" fillId="29" borderId="91" xfId="0" applyNumberFormat="1" applyFont="1" applyFill="1" applyBorder="1"/>
    <xf numFmtId="0" fontId="3" fillId="29" borderId="86" xfId="0" applyFont="1" applyFill="1" applyBorder="1" applyAlignment="1">
      <alignment horizontal="center"/>
    </xf>
    <xf numFmtId="44" fontId="3" fillId="29" borderId="86" xfId="1" applyFont="1" applyFill="1" applyBorder="1"/>
    <xf numFmtId="49" fontId="3" fillId="0" borderId="91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99"/>
      <color rgb="FF0000FF"/>
      <color rgb="FFFF00FF"/>
      <color rgb="FF99CCFF"/>
      <color rgb="FFFFCCFF"/>
      <color rgb="FFCCFF66"/>
      <color rgb="FFCC99FF"/>
      <color rgb="FF66FFFF"/>
      <color rgb="FF990033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34207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39160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34016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25396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2184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2398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7161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2114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970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350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513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352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6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69707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7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19237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67802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9" name="Abrir llave 8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81601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10" name="Rectángulo 9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494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11" name="Conector recto de flecha 10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51622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5400675" y="145256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5438775" y="150209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686050" y="145065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8024813" y="136445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53233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5400675" y="153447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828675</xdr:colOff>
      <xdr:row>11</xdr:row>
      <xdr:rowOff>57150</xdr:rowOff>
    </xdr:from>
    <xdr:to>
      <xdr:col>6</xdr:col>
      <xdr:colOff>466725</xdr:colOff>
      <xdr:row>14</xdr:row>
      <xdr:rowOff>104775</xdr:rowOff>
    </xdr:to>
    <xdr:cxnSp macro="">
      <xdr:nvCxnSpPr>
        <xdr:cNvPr id="5" name="Conector recto de flecha 4"/>
        <xdr:cNvCxnSpPr/>
      </xdr:nvCxnSpPr>
      <xdr:spPr>
        <a:xfrm flipH="1">
          <a:off x="3038475" y="3933825"/>
          <a:ext cx="2600325" cy="72390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4.bin"/><Relationship Id="rId4" Type="http://schemas.openxmlformats.org/officeDocument/2006/relationships/comments" Target="../comments12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6.bin"/><Relationship Id="rId4" Type="http://schemas.openxmlformats.org/officeDocument/2006/relationships/comments" Target="../comments1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8.bin"/><Relationship Id="rId4" Type="http://schemas.openxmlformats.org/officeDocument/2006/relationships/comments" Target="../comments14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30.bin"/><Relationship Id="rId4" Type="http://schemas.openxmlformats.org/officeDocument/2006/relationships/comments" Target="../comments15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886"/>
      <c r="C1" s="888" t="s">
        <v>25</v>
      </c>
      <c r="D1" s="889"/>
      <c r="E1" s="889"/>
      <c r="F1" s="889"/>
      <c r="G1" s="889"/>
      <c r="H1" s="889"/>
      <c r="I1" s="889"/>
      <c r="J1" s="889"/>
      <c r="K1" s="889"/>
      <c r="L1" s="889"/>
      <c r="M1" s="889"/>
    </row>
    <row r="2" spans="1:19" ht="16.5" thickBot="1" x14ac:dyDescent="0.3">
      <c r="B2" s="887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0" t="s">
        <v>0</v>
      </c>
      <c r="C3" s="891"/>
      <c r="D3" s="10"/>
      <c r="E3" s="11"/>
      <c r="F3" s="11"/>
      <c r="H3" s="892" t="s">
        <v>26</v>
      </c>
      <c r="I3" s="892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893" t="s">
        <v>2</v>
      </c>
      <c r="F4" s="894"/>
      <c r="H4" s="895" t="s">
        <v>3</v>
      </c>
      <c r="I4" s="896"/>
      <c r="J4" s="19"/>
      <c r="K4" s="166"/>
      <c r="L4" s="20"/>
      <c r="M4" s="21" t="s">
        <v>4</v>
      </c>
      <c r="N4" s="22" t="s">
        <v>5</v>
      </c>
      <c r="P4" s="902" t="s">
        <v>6</v>
      </c>
      <c r="Q4" s="903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904">
        <f>SUM(M5:M38)</f>
        <v>247061</v>
      </c>
      <c r="N39" s="906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905"/>
      <c r="N40" s="907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908" t="s">
        <v>11</v>
      </c>
      <c r="I52" s="909"/>
      <c r="J52" s="100"/>
      <c r="K52" s="910">
        <f>I50+L50</f>
        <v>53873.49</v>
      </c>
      <c r="L52" s="911"/>
      <c r="M52" s="912">
        <f>N39+M39</f>
        <v>419924</v>
      </c>
      <c r="N52" s="913"/>
      <c r="P52" s="34"/>
      <c r="Q52" s="9"/>
    </row>
    <row r="53" spans="1:17" ht="15.75" x14ac:dyDescent="0.25">
      <c r="D53" s="914" t="s">
        <v>12</v>
      </c>
      <c r="E53" s="914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914" t="s">
        <v>95</v>
      </c>
      <c r="E54" s="914"/>
      <c r="F54" s="96">
        <v>-549976.4</v>
      </c>
      <c r="I54" s="915" t="s">
        <v>13</v>
      </c>
      <c r="J54" s="916"/>
      <c r="K54" s="917">
        <f>F56+F57+F58</f>
        <v>-24577.400000000023</v>
      </c>
      <c r="L54" s="918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919">
        <f>-C4</f>
        <v>0</v>
      </c>
      <c r="L56" s="920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897" t="s">
        <v>18</v>
      </c>
      <c r="E58" s="898"/>
      <c r="F58" s="113">
        <v>567389.35</v>
      </c>
      <c r="I58" s="899" t="s">
        <v>97</v>
      </c>
      <c r="J58" s="900"/>
      <c r="K58" s="901">
        <f>K54+K56</f>
        <v>-24577.400000000023</v>
      </c>
      <c r="L58" s="901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982" t="s">
        <v>597</v>
      </c>
      <c r="J76" s="983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984"/>
      <c r="J77" s="985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48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949"/>
      <c r="K81" s="1"/>
      <c r="L81" s="97"/>
      <c r="M81" s="3"/>
      <c r="N81" s="1"/>
    </row>
    <row r="82" spans="1:14" ht="18.75" x14ac:dyDescent="0.3">
      <c r="A82" s="435"/>
      <c r="B82" s="981" t="s">
        <v>595</v>
      </c>
      <c r="C82" s="981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6"/>
      <c r="C1" s="952" t="s">
        <v>451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25" ht="16.5" thickBot="1" x14ac:dyDescent="0.3">
      <c r="B2" s="8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0" t="s">
        <v>0</v>
      </c>
      <c r="C3" s="891"/>
      <c r="D3" s="10"/>
      <c r="E3" s="11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893" t="s">
        <v>2</v>
      </c>
      <c r="F4" s="894"/>
      <c r="H4" s="895" t="s">
        <v>3</v>
      </c>
      <c r="I4" s="896"/>
      <c r="J4" s="19"/>
      <c r="K4" s="166"/>
      <c r="L4" s="20"/>
      <c r="M4" s="21" t="s">
        <v>4</v>
      </c>
      <c r="N4" s="22" t="s">
        <v>5</v>
      </c>
      <c r="P4" s="930"/>
      <c r="Q4" s="322" t="s">
        <v>217</v>
      </c>
      <c r="R4" s="951"/>
      <c r="W4" s="939" t="s">
        <v>124</v>
      </c>
      <c r="X4" s="939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939"/>
      <c r="X5" s="939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943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944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945"/>
      <c r="X21" s="945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946"/>
      <c r="X23" s="946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946"/>
      <c r="X24" s="946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947"/>
      <c r="X25" s="947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947"/>
      <c r="X26" s="947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940"/>
      <c r="X27" s="941"/>
      <c r="Y27" s="942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941"/>
      <c r="X28" s="941"/>
      <c r="Y28" s="942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931">
        <f>SUM(M5:M35)</f>
        <v>2220612.02</v>
      </c>
      <c r="N36" s="933">
        <f>SUM(N5:N35)</f>
        <v>833865</v>
      </c>
      <c r="O36" s="276"/>
      <c r="P36" s="277">
        <v>0</v>
      </c>
      <c r="Q36" s="977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845</v>
      </c>
      <c r="E37" s="27"/>
      <c r="F37" s="28"/>
      <c r="G37" s="2"/>
      <c r="H37" s="36"/>
      <c r="I37" s="30"/>
      <c r="J37" s="60"/>
      <c r="K37" s="41"/>
      <c r="L37" s="61"/>
      <c r="M37" s="932"/>
      <c r="N37" s="934"/>
      <c r="O37" s="276"/>
      <c r="P37" s="277">
        <v>0</v>
      </c>
      <c r="Q37" s="978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845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843</v>
      </c>
      <c r="E39" s="27"/>
      <c r="F39" s="70"/>
      <c r="G39" s="2"/>
      <c r="H39" s="36"/>
      <c r="I39" s="71"/>
      <c r="J39" s="60"/>
      <c r="K39" s="177"/>
      <c r="L39" s="61"/>
      <c r="M39" s="979">
        <f>M36+N36</f>
        <v>3054477.02</v>
      </c>
      <c r="N39" s="980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844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824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825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826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827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828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829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830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831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832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833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834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846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908" t="s">
        <v>11</v>
      </c>
      <c r="I68" s="909"/>
      <c r="J68" s="100"/>
      <c r="K68" s="910">
        <f>I66+L66</f>
        <v>314868.39999999997</v>
      </c>
      <c r="L68" s="937"/>
      <c r="M68" s="272"/>
      <c r="N68" s="272"/>
      <c r="P68" s="34"/>
      <c r="Q68" s="13"/>
    </row>
    <row r="69" spans="1:17" x14ac:dyDescent="0.25">
      <c r="D69" s="914" t="s">
        <v>12</v>
      </c>
      <c r="E69" s="914"/>
      <c r="F69" s="312">
        <f>F66-K68-C66</f>
        <v>1594593.8500000003</v>
      </c>
      <c r="I69" s="102"/>
      <c r="J69" s="103"/>
    </row>
    <row r="70" spans="1:17" ht="18.75" x14ac:dyDescent="0.3">
      <c r="D70" s="938" t="s">
        <v>95</v>
      </c>
      <c r="E70" s="938"/>
      <c r="F70" s="111">
        <v>-1360260.32</v>
      </c>
      <c r="I70" s="915" t="s">
        <v>13</v>
      </c>
      <c r="J70" s="916"/>
      <c r="K70" s="917">
        <f>F72+F73+F74</f>
        <v>1938640.11</v>
      </c>
      <c r="L70" s="917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919">
        <f>-C4</f>
        <v>-1266568.45</v>
      </c>
      <c r="L72" s="920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897" t="s">
        <v>18</v>
      </c>
      <c r="E74" s="898"/>
      <c r="F74" s="113">
        <v>1792817.68</v>
      </c>
      <c r="I74" s="899" t="s">
        <v>198</v>
      </c>
      <c r="J74" s="900"/>
      <c r="K74" s="901">
        <f>K70+K72</f>
        <v>672071.66000000015</v>
      </c>
      <c r="L74" s="901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K72:L72"/>
    <mergeCell ref="M39:N39"/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990" t="s">
        <v>594</v>
      </c>
      <c r="J44" s="991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992"/>
      <c r="J45" s="993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994"/>
      <c r="J46" s="995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948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949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986" t="s">
        <v>594</v>
      </c>
      <c r="J83" s="987"/>
    </row>
    <row r="84" spans="1:14" ht="19.5" thickBot="1" x14ac:dyDescent="0.35">
      <c r="A84" s="513" t="s">
        <v>598</v>
      </c>
      <c r="B84" s="514"/>
      <c r="C84" s="515"/>
      <c r="D84" s="491"/>
      <c r="I84" s="988"/>
      <c r="J84" s="989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H19" workbookViewId="0">
      <selection activeCell="M30" sqref="M3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6"/>
      <c r="C1" s="952" t="s">
        <v>620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25" ht="16.5" thickBot="1" x14ac:dyDescent="0.3">
      <c r="B2" s="8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0" t="s">
        <v>0</v>
      </c>
      <c r="C3" s="891"/>
      <c r="D3" s="10"/>
      <c r="E3" s="11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893" t="s">
        <v>2</v>
      </c>
      <c r="F4" s="894"/>
      <c r="H4" s="895" t="s">
        <v>3</v>
      </c>
      <c r="I4" s="896"/>
      <c r="J4" s="19"/>
      <c r="K4" s="166"/>
      <c r="L4" s="20"/>
      <c r="M4" s="21" t="s">
        <v>4</v>
      </c>
      <c r="N4" s="22" t="s">
        <v>5</v>
      </c>
      <c r="P4" s="930"/>
      <c r="Q4" s="322" t="s">
        <v>217</v>
      </c>
      <c r="R4" s="951"/>
      <c r="W4" s="939" t="s">
        <v>124</v>
      </c>
      <c r="X4" s="939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939"/>
      <c r="X5" s="939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943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944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945"/>
      <c r="X21" s="945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946"/>
      <c r="X23" s="946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946"/>
      <c r="X24" s="946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947"/>
      <c r="X25" s="947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947"/>
      <c r="X26" s="947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940"/>
      <c r="X27" s="941"/>
      <c r="Y27" s="942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941"/>
      <c r="X28" s="941"/>
      <c r="Y28" s="942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931">
        <f>SUM(M5:M40)</f>
        <v>2479367.6100000003</v>
      </c>
      <c r="N41" s="931">
        <f>SUM(N5:N40)</f>
        <v>1195667</v>
      </c>
      <c r="P41" s="505">
        <f>SUM(P5:P40)</f>
        <v>4355326.74</v>
      </c>
      <c r="Q41" s="996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932"/>
      <c r="N42" s="932"/>
      <c r="P42" s="34"/>
      <c r="Q42" s="997"/>
    </row>
    <row r="43" spans="1:20" ht="18" thickBot="1" x14ac:dyDescent="0.35">
      <c r="A43" s="23"/>
      <c r="B43" s="24">
        <v>44653</v>
      </c>
      <c r="C43" s="615">
        <v>1461.24</v>
      </c>
      <c r="D43" s="632" t="s">
        <v>847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836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849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998">
        <f>M41+N41</f>
        <v>3675034.6100000003</v>
      </c>
      <c r="N45" s="999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840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835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826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835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827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824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837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838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830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848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834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825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826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838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835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850</v>
      </c>
      <c r="K67" s="679" t="s">
        <v>851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908" t="s">
        <v>11</v>
      </c>
      <c r="I70" s="909"/>
      <c r="J70" s="100"/>
      <c r="K70" s="910">
        <f>I68+L68</f>
        <v>428155.54000000004</v>
      </c>
      <c r="L70" s="937"/>
      <c r="M70" s="272"/>
      <c r="N70" s="272"/>
      <c r="P70" s="34"/>
      <c r="Q70" s="13"/>
    </row>
    <row r="71" spans="1:17" x14ac:dyDescent="0.25">
      <c r="D71" s="914" t="s">
        <v>12</v>
      </c>
      <c r="E71" s="914"/>
      <c r="F71" s="312">
        <f>F68-K70-C68</f>
        <v>1631087.67</v>
      </c>
      <c r="I71" s="102"/>
      <c r="J71" s="103"/>
      <c r="P71" s="34"/>
    </row>
    <row r="72" spans="1:17" ht="18.75" x14ac:dyDescent="0.3">
      <c r="D72" s="938" t="s">
        <v>95</v>
      </c>
      <c r="E72" s="938"/>
      <c r="F72" s="111">
        <v>-1884975.46</v>
      </c>
      <c r="I72" s="915" t="s">
        <v>13</v>
      </c>
      <c r="J72" s="916"/>
      <c r="K72" s="917">
        <f>F74+F75+F76</f>
        <v>1777829.89</v>
      </c>
      <c r="L72" s="917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919">
        <f>-C4</f>
        <v>-1792817.68</v>
      </c>
      <c r="L74" s="920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897" t="s">
        <v>18</v>
      </c>
      <c r="E76" s="898"/>
      <c r="F76" s="113">
        <v>2112071.92</v>
      </c>
      <c r="I76" s="899" t="s">
        <v>852</v>
      </c>
      <c r="J76" s="900"/>
      <c r="K76" s="901">
        <f>K72+K74</f>
        <v>-14987.790000000037</v>
      </c>
      <c r="L76" s="901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74:L74"/>
    <mergeCell ref="M45:N45"/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3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915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990" t="s">
        <v>594</v>
      </c>
      <c r="J54" s="991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992"/>
      <c r="J55" s="993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994"/>
      <c r="J56" s="995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948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949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986" t="s">
        <v>594</v>
      </c>
      <c r="J93" s="987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988"/>
      <c r="J94" s="989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1000">
        <f>SUM(D106:D129)</f>
        <v>759581.99999999988</v>
      </c>
      <c r="D130" s="1001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H17"/>
  <sheetViews>
    <sheetView workbookViewId="0">
      <selection activeCell="J16" sqref="J16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x14ac:dyDescent="0.25">
      <c r="B2" s="1015" t="s">
        <v>1242</v>
      </c>
      <c r="C2" s="1016"/>
      <c r="D2" s="1017"/>
      <c r="F2" s="1003" t="s">
        <v>1241</v>
      </c>
      <c r="G2" s="1004"/>
      <c r="H2" s="1005"/>
    </row>
    <row r="3" spans="2:8" ht="27.75" customHeight="1" thickBot="1" x14ac:dyDescent="0.3">
      <c r="B3" s="1018"/>
      <c r="C3" s="1019"/>
      <c r="D3" s="1020"/>
      <c r="F3" s="1006"/>
      <c r="G3" s="1007"/>
      <c r="H3" s="1008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748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748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748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748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748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1009">
        <f>SUM(H5:H10)</f>
        <v>334337</v>
      </c>
      <c r="H11" s="1010"/>
    </row>
    <row r="13" spans="2:8" ht="18.75" x14ac:dyDescent="0.3">
      <c r="B13" s="529" t="s">
        <v>594</v>
      </c>
      <c r="C13" s="529" t="s">
        <v>750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1013" t="s">
        <v>749</v>
      </c>
      <c r="D15" s="1011">
        <f>D11-D13</f>
        <v>-69877</v>
      </c>
      <c r="E15" s="1021" t="s">
        <v>1243</v>
      </c>
      <c r="F15" s="1022"/>
      <c r="G15" s="1022"/>
      <c r="H15" s="1023"/>
    </row>
    <row r="16" spans="2:8" ht="18.75" customHeight="1" thickBot="1" x14ac:dyDescent="0.3">
      <c r="C16" s="1014"/>
      <c r="D16" s="1012"/>
      <c r="E16" s="1024"/>
      <c r="F16" s="1025"/>
      <c r="G16" s="1025"/>
      <c r="H16" s="1026"/>
    </row>
    <row r="17" spans="3:4" ht="18.75" x14ac:dyDescent="0.3">
      <c r="C17" s="1002" t="s">
        <v>751</v>
      </c>
      <c r="D17" s="1002"/>
    </row>
  </sheetData>
  <mergeCells count="7">
    <mergeCell ref="C17:D17"/>
    <mergeCell ref="F2:H3"/>
    <mergeCell ref="G11:H11"/>
    <mergeCell ref="D15:D16"/>
    <mergeCell ref="C15:C16"/>
    <mergeCell ref="B2:D3"/>
    <mergeCell ref="E15:H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29" activePane="bottomRight" state="frozen"/>
      <selection pane="topRight" activeCell="B1" sqref="B1"/>
      <selection pane="bottomLeft" activeCell="A5" sqref="A5"/>
      <selection pane="bottomRight" activeCell="P41" sqref="P41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6"/>
      <c r="C1" s="952" t="s">
        <v>752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25" ht="16.5" thickBot="1" x14ac:dyDescent="0.3">
      <c r="B2" s="8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0" t="s">
        <v>0</v>
      </c>
      <c r="C3" s="891"/>
      <c r="D3" s="10"/>
      <c r="E3" s="553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893" t="s">
        <v>2</v>
      </c>
      <c r="F4" s="894"/>
      <c r="H4" s="895" t="s">
        <v>3</v>
      </c>
      <c r="I4" s="896"/>
      <c r="J4" s="556"/>
      <c r="K4" s="562"/>
      <c r="L4" s="563"/>
      <c r="M4" s="21" t="s">
        <v>4</v>
      </c>
      <c r="N4" s="22" t="s">
        <v>5</v>
      </c>
      <c r="P4" s="930"/>
      <c r="Q4" s="322" t="s">
        <v>217</v>
      </c>
      <c r="R4" s="951"/>
      <c r="U4" s="34"/>
      <c r="V4" s="128"/>
      <c r="W4" s="1027"/>
      <c r="X4" s="102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753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1027"/>
      <c r="X5" s="102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754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755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756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757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33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758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759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760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762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763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764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765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764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766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764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767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764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768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764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769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770</v>
      </c>
      <c r="L17" s="45">
        <v>15841</v>
      </c>
      <c r="M17" s="32">
        <v>43450</v>
      </c>
      <c r="N17" s="33">
        <v>41947</v>
      </c>
      <c r="O17" s="574" t="s">
        <v>764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771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764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772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764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1028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773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764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102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774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764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945"/>
      <c r="X21" s="945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759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764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806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764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946"/>
      <c r="X23" s="946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807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808</v>
      </c>
      <c r="L24" s="52">
        <v>17621</v>
      </c>
      <c r="M24" s="32">
        <f>22308+8446</f>
        <v>30754</v>
      </c>
      <c r="N24" s="33">
        <v>38520</v>
      </c>
      <c r="O24" s="574" t="s">
        <v>764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946"/>
      <c r="X24" s="946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809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764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947"/>
      <c r="X25" s="947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810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764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947"/>
      <c r="X26" s="947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811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764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940"/>
      <c r="X27" s="941"/>
      <c r="Y27" s="942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764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941"/>
      <c r="X28" s="941"/>
      <c r="Y28" s="942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813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764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814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764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815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816</v>
      </c>
      <c r="L31" s="54">
        <v>17618</v>
      </c>
      <c r="M31" s="32">
        <f>72001+8001.6+7416</f>
        <v>87418.6</v>
      </c>
      <c r="N31" s="33">
        <v>51251</v>
      </c>
      <c r="O31" s="590" t="s">
        <v>764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817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764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836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v>0</v>
      </c>
      <c r="Q34" s="325">
        <f t="shared" si="0"/>
        <v>0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853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853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v>0</v>
      </c>
      <c r="Q36" s="111">
        <f t="shared" ref="Q36:Q40" si="2">P36-F36</f>
        <v>0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855</v>
      </c>
      <c r="E37" s="27"/>
      <c r="F37" s="536"/>
      <c r="G37" s="572"/>
      <c r="H37" s="36"/>
      <c r="I37" s="537"/>
      <c r="J37" s="622">
        <v>44688</v>
      </c>
      <c r="K37" s="623" t="s">
        <v>761</v>
      </c>
      <c r="L37" s="624">
        <v>17396.62</v>
      </c>
      <c r="M37" s="32">
        <v>0</v>
      </c>
      <c r="N37" s="33">
        <v>0</v>
      </c>
      <c r="O37" s="578"/>
      <c r="P37" s="34">
        <v>0</v>
      </c>
      <c r="Q37" s="111">
        <f t="shared" si="2"/>
        <v>0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770</v>
      </c>
      <c r="L38" s="624">
        <v>17397.240000000002</v>
      </c>
      <c r="M38" s="32">
        <v>0</v>
      </c>
      <c r="N38" s="33">
        <v>0</v>
      </c>
      <c r="P38" s="34">
        <v>0</v>
      </c>
      <c r="Q38" s="111">
        <f t="shared" si="2"/>
        <v>0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808</v>
      </c>
      <c r="L39" s="624">
        <v>21215.21</v>
      </c>
      <c r="M39" s="32">
        <v>0</v>
      </c>
      <c r="N39" s="33">
        <v>0</v>
      </c>
      <c r="P39" s="34">
        <v>0</v>
      </c>
      <c r="Q39" s="111">
        <f t="shared" si="2"/>
        <v>0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816</v>
      </c>
      <c r="L40" s="624">
        <v>19292</v>
      </c>
      <c r="M40" s="267">
        <v>0</v>
      </c>
      <c r="N40" s="268">
        <v>0</v>
      </c>
      <c r="P40" s="34">
        <v>0</v>
      </c>
      <c r="Q40" s="111">
        <f t="shared" si="2"/>
        <v>0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931">
        <f>SUM(M5:M40)</f>
        <v>1509924.1</v>
      </c>
      <c r="N41" s="931">
        <f>SUM(N5:N40)</f>
        <v>1012291</v>
      </c>
      <c r="P41" s="505">
        <f>SUM(P5:P40)</f>
        <v>3152648.1</v>
      </c>
      <c r="Q41" s="996">
        <f>SUM(Q5:Q40)</f>
        <v>2.1000000000058208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839</v>
      </c>
      <c r="L42" s="637">
        <v>3095.88</v>
      </c>
      <c r="M42" s="932"/>
      <c r="N42" s="932"/>
      <c r="P42" s="34"/>
      <c r="Q42" s="997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840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841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824</v>
      </c>
      <c r="L45" s="616">
        <v>4006.5</v>
      </c>
      <c r="M45" s="998">
        <f>M41+N41</f>
        <v>2522215.1</v>
      </c>
      <c r="N45" s="999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842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854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1018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830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839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839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826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838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1019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908" t="s">
        <v>11</v>
      </c>
      <c r="I63" s="909"/>
      <c r="J63" s="559"/>
      <c r="K63" s="1033">
        <f>I61+L61</f>
        <v>340912.75</v>
      </c>
      <c r="L63" s="1034"/>
      <c r="M63" s="272"/>
      <c r="N63" s="272"/>
      <c r="P63" s="34"/>
      <c r="Q63" s="13"/>
    </row>
    <row r="64" spans="1:17" x14ac:dyDescent="0.25">
      <c r="D64" s="914" t="s">
        <v>12</v>
      </c>
      <c r="E64" s="914"/>
      <c r="F64" s="312">
        <f>F61-K63-C61</f>
        <v>1458827.53</v>
      </c>
      <c r="I64" s="102"/>
      <c r="J64" s="560"/>
    </row>
    <row r="65" spans="2:17" ht="18.75" x14ac:dyDescent="0.3">
      <c r="D65" s="938" t="s">
        <v>95</v>
      </c>
      <c r="E65" s="938"/>
      <c r="F65" s="111">
        <v>-1572197.3</v>
      </c>
      <c r="I65" s="915" t="s">
        <v>13</v>
      </c>
      <c r="J65" s="916"/>
      <c r="K65" s="917">
        <f>F67+F68+F69</f>
        <v>2392765.5300000003</v>
      </c>
      <c r="L65" s="917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1029">
        <f>-C4</f>
        <v>-2112071.92</v>
      </c>
      <c r="L67" s="917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897" t="s">
        <v>18</v>
      </c>
      <c r="E69" s="898"/>
      <c r="F69" s="113">
        <v>2546982.16</v>
      </c>
      <c r="I69" s="1030" t="s">
        <v>198</v>
      </c>
      <c r="J69" s="1031"/>
      <c r="K69" s="1032">
        <f>K65+K67</f>
        <v>280693.61000000034</v>
      </c>
      <c r="L69" s="1032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  <mergeCell ref="Y27:Y28"/>
    <mergeCell ref="M41:M42"/>
    <mergeCell ref="N41:N42"/>
    <mergeCell ref="Q41:Q42"/>
    <mergeCell ref="K67:L67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775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856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776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856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777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857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778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858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779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859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780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860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781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861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782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862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783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863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784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864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785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865</v>
      </c>
      <c r="J13" s="391">
        <v>9225</v>
      </c>
      <c r="K13" s="392">
        <v>13787.7</v>
      </c>
      <c r="L13" s="719" t="s">
        <v>1141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786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866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787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866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788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867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789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867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797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867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790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868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796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869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798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869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791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870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792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871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793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871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794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812</v>
      </c>
      <c r="H25" s="589"/>
      <c r="I25" s="393" t="s">
        <v>872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795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812</v>
      </c>
      <c r="H26" s="589"/>
      <c r="I26" s="393" t="s">
        <v>873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799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812</v>
      </c>
      <c r="H27" s="589"/>
      <c r="I27" s="393" t="s">
        <v>874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800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812</v>
      </c>
      <c r="H28" s="589"/>
      <c r="I28" s="393" t="s">
        <v>875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801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812</v>
      </c>
      <c r="H29" s="589"/>
      <c r="I29" s="393" t="s">
        <v>876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802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812</v>
      </c>
      <c r="H30" s="589"/>
      <c r="I30" s="393" t="s">
        <v>876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818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877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819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878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820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879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821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880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822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823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990" t="s">
        <v>594</v>
      </c>
      <c r="J38" s="991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992"/>
      <c r="J39" s="993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994"/>
      <c r="J40" s="995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948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949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986" t="s">
        <v>594</v>
      </c>
      <c r="J74" s="987"/>
    </row>
    <row r="75" spans="1:14" ht="19.5" thickBot="1" x14ac:dyDescent="0.35">
      <c r="A75" s="456"/>
      <c r="B75" s="649"/>
      <c r="C75" s="233"/>
      <c r="D75" s="650"/>
      <c r="E75" s="519"/>
      <c r="F75" s="111"/>
      <c r="I75" s="988"/>
      <c r="J75" s="989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1037" t="s">
        <v>804</v>
      </c>
      <c r="B89" s="1038"/>
      <c r="C89" s="1038"/>
      <c r="E89"/>
      <c r="F89" s="111"/>
      <c r="I89"/>
      <c r="J89" s="194"/>
      <c r="M89"/>
      <c r="N89"/>
    </row>
    <row r="90" spans="1:14" ht="18.75" x14ac:dyDescent="0.3">
      <c r="A90" s="454"/>
      <c r="B90" s="1039" t="s">
        <v>805</v>
      </c>
      <c r="C90" s="1040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794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803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799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800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801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802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1035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881</v>
      </c>
      <c r="C98" s="1036"/>
      <c r="E98"/>
      <c r="F98" s="127">
        <v>0</v>
      </c>
      <c r="J98" s="194"/>
      <c r="M98"/>
    </row>
    <row r="99" spans="1:13" ht="15.75" x14ac:dyDescent="0.25">
      <c r="A99"/>
      <c r="B99" s="659" t="s">
        <v>914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6"/>
      <c r="C1" s="952" t="s">
        <v>882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18" ht="16.5" thickBot="1" x14ac:dyDescent="0.3">
      <c r="B2" s="887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0" t="s">
        <v>0</v>
      </c>
      <c r="C3" s="891"/>
      <c r="D3" s="10"/>
      <c r="E3" s="553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893" t="s">
        <v>2</v>
      </c>
      <c r="F4" s="894"/>
      <c r="H4" s="895" t="s">
        <v>3</v>
      </c>
      <c r="I4" s="896"/>
      <c r="J4" s="556"/>
      <c r="K4" s="562"/>
      <c r="L4" s="563"/>
      <c r="M4" s="21" t="s">
        <v>4</v>
      </c>
      <c r="N4" s="22" t="s">
        <v>5</v>
      </c>
      <c r="P4" s="930"/>
      <c r="Q4" s="322" t="s">
        <v>217</v>
      </c>
      <c r="R4" s="951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899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900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902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900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901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900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903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900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904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900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905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906</v>
      </c>
      <c r="L10" s="45">
        <v>17900.55</v>
      </c>
      <c r="M10" s="32">
        <v>43736</v>
      </c>
      <c r="N10" s="33">
        <v>42627</v>
      </c>
      <c r="O10" s="655" t="s">
        <v>900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908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900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909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900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910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900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911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912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913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923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913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924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925</v>
      </c>
      <c r="L17" s="45">
        <v>17644</v>
      </c>
      <c r="M17" s="32">
        <v>16613.5</v>
      </c>
      <c r="N17" s="33">
        <v>41982</v>
      </c>
      <c r="O17" s="657" t="s">
        <v>913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927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913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928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913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929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913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930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913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931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913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932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913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933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934</v>
      </c>
      <c r="L24" s="52">
        <v>17514</v>
      </c>
      <c r="M24" s="32">
        <v>66300</v>
      </c>
      <c r="N24" s="33">
        <v>71337</v>
      </c>
      <c r="O24" s="657" t="s">
        <v>913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935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913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936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937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938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937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939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937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940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937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941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937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942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943</v>
      </c>
      <c r="L31" s="54">
        <v>17222</v>
      </c>
      <c r="M31" s="32">
        <f>840+24888</f>
        <v>25728</v>
      </c>
      <c r="N31" s="33">
        <v>44739</v>
      </c>
      <c r="O31" s="660" t="s">
        <v>937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944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937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945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937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946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937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947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937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948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937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949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937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950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951</v>
      </c>
      <c r="L38" s="39">
        <v>15579</v>
      </c>
      <c r="M38" s="32">
        <v>39379.5</v>
      </c>
      <c r="N38" s="33">
        <v>58895</v>
      </c>
      <c r="O38" s="660" t="s">
        <v>937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952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937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907</v>
      </c>
      <c r="L41" s="39">
        <v>18992.37</v>
      </c>
      <c r="M41" s="931">
        <f>SUM(M5:M40)</f>
        <v>1737024</v>
      </c>
      <c r="N41" s="931">
        <f>SUM(N5:N40)</f>
        <v>1314313</v>
      </c>
      <c r="P41" s="505">
        <f>SUM(P5:P40)</f>
        <v>3810957.55</v>
      </c>
      <c r="Q41" s="996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1022</v>
      </c>
      <c r="E42" s="74"/>
      <c r="F42" s="75"/>
      <c r="G42" s="572"/>
      <c r="H42" s="76"/>
      <c r="I42" s="77"/>
      <c r="J42" s="51">
        <v>44723</v>
      </c>
      <c r="K42" s="173" t="s">
        <v>926</v>
      </c>
      <c r="L42" s="52">
        <v>17035.3</v>
      </c>
      <c r="M42" s="932"/>
      <c r="N42" s="932"/>
      <c r="P42" s="34"/>
      <c r="Q42" s="997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1023</v>
      </c>
      <c r="E43" s="74"/>
      <c r="F43" s="75"/>
      <c r="G43" s="572"/>
      <c r="H43" s="76"/>
      <c r="I43" s="77"/>
      <c r="J43" s="50">
        <v>44730</v>
      </c>
      <c r="K43" s="38" t="s">
        <v>934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855</v>
      </c>
      <c r="E44" s="74"/>
      <c r="F44" s="75"/>
      <c r="G44" s="572"/>
      <c r="H44" s="76"/>
      <c r="I44" s="77"/>
      <c r="J44" s="56">
        <v>44737</v>
      </c>
      <c r="K44" s="661" t="s">
        <v>943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978</v>
      </c>
      <c r="E45" s="74"/>
      <c r="F45" s="75"/>
      <c r="G45" s="572"/>
      <c r="H45" s="76"/>
      <c r="I45" s="77"/>
      <c r="J45" s="56">
        <v>44744</v>
      </c>
      <c r="K45" s="38" t="s">
        <v>951</v>
      </c>
      <c r="L45" s="39">
        <v>20521</v>
      </c>
      <c r="M45" s="998">
        <f>M41+N41</f>
        <v>3051337</v>
      </c>
      <c r="N45" s="999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979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980</v>
      </c>
      <c r="E47" s="74"/>
      <c r="F47" s="75"/>
      <c r="G47" s="572"/>
      <c r="H47" s="76"/>
      <c r="I47" s="77"/>
      <c r="J47" s="56" t="s">
        <v>970</v>
      </c>
      <c r="K47" s="38" t="s">
        <v>1020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981</v>
      </c>
      <c r="E48" s="74"/>
      <c r="F48" s="75"/>
      <c r="G48" s="572"/>
      <c r="H48" s="76"/>
      <c r="I48" s="77"/>
      <c r="J48" s="56" t="s">
        <v>970</v>
      </c>
      <c r="K48" s="38" t="s">
        <v>971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979</v>
      </c>
      <c r="E49" s="74"/>
      <c r="F49" s="75"/>
      <c r="G49" s="572"/>
      <c r="H49" s="76"/>
      <c r="I49" s="77"/>
      <c r="J49" s="601" t="s">
        <v>970</v>
      </c>
      <c r="K49" s="38" t="s">
        <v>972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982</v>
      </c>
      <c r="E50" s="74"/>
      <c r="F50" s="75"/>
      <c r="G50" s="572"/>
      <c r="H50" s="76"/>
      <c r="I50" s="77"/>
      <c r="J50" s="601" t="s">
        <v>970</v>
      </c>
      <c r="K50" s="38" t="s">
        <v>973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855</v>
      </c>
      <c r="E51" s="74"/>
      <c r="F51" s="75"/>
      <c r="G51" s="572"/>
      <c r="H51" s="76"/>
      <c r="I51" s="77"/>
      <c r="J51" s="601" t="s">
        <v>970</v>
      </c>
      <c r="K51" s="38" t="s">
        <v>974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975</v>
      </c>
      <c r="K52" s="38" t="s">
        <v>1021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970</v>
      </c>
      <c r="K53" s="38" t="s">
        <v>824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970</v>
      </c>
      <c r="K55" s="38" t="s">
        <v>830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970</v>
      </c>
      <c r="K56" s="38" t="s">
        <v>976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977</v>
      </c>
      <c r="K57" s="38" t="s">
        <v>842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970</v>
      </c>
      <c r="K58" s="38" t="s">
        <v>825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983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984</v>
      </c>
      <c r="K60" s="174" t="s">
        <v>1017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970</v>
      </c>
      <c r="K61" s="671" t="s">
        <v>985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986</v>
      </c>
      <c r="K62" s="671" t="s">
        <v>826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970</v>
      </c>
      <c r="K63" s="671" t="s">
        <v>987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970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970</v>
      </c>
      <c r="K65" s="671" t="s">
        <v>1019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8" t="s">
        <v>11</v>
      </c>
      <c r="I69" s="909"/>
      <c r="J69" s="559"/>
      <c r="K69" s="1033">
        <f>I67+L67</f>
        <v>534683.29</v>
      </c>
      <c r="L69" s="1034"/>
      <c r="M69" s="272"/>
      <c r="N69" s="272"/>
      <c r="P69" s="34"/>
      <c r="Q69" s="13"/>
    </row>
    <row r="70" spans="1:17" x14ac:dyDescent="0.25">
      <c r="D70" s="914" t="s">
        <v>12</v>
      </c>
      <c r="E70" s="914"/>
      <c r="F70" s="312">
        <f>F67-K69-C67</f>
        <v>1883028.8699999999</v>
      </c>
      <c r="I70" s="102"/>
      <c r="J70" s="560"/>
    </row>
    <row r="71" spans="1:17" ht="18.75" x14ac:dyDescent="0.3">
      <c r="D71" s="938" t="s">
        <v>95</v>
      </c>
      <c r="E71" s="938"/>
      <c r="F71" s="111">
        <v>-2122394.9</v>
      </c>
      <c r="I71" s="915" t="s">
        <v>13</v>
      </c>
      <c r="J71" s="916"/>
      <c r="K71" s="917">
        <f>F73+F74+F75</f>
        <v>2367293.46</v>
      </c>
      <c r="L71" s="91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1029">
        <f>-C4</f>
        <v>-2546982.16</v>
      </c>
      <c r="L73" s="917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897" t="s">
        <v>18</v>
      </c>
      <c r="E75" s="898"/>
      <c r="F75" s="113">
        <v>2355426.54</v>
      </c>
      <c r="I75" s="899" t="s">
        <v>97</v>
      </c>
      <c r="J75" s="900"/>
      <c r="K75" s="901">
        <f>K71+K73</f>
        <v>-179688.70000000019</v>
      </c>
      <c r="L75" s="90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  <mergeCell ref="R3:R4"/>
    <mergeCell ref="E4:F4"/>
    <mergeCell ref="H4:I4"/>
    <mergeCell ref="M41:M42"/>
    <mergeCell ref="N41:N42"/>
    <mergeCell ref="Q41:Q42"/>
    <mergeCell ref="B1:B2"/>
    <mergeCell ref="C1:M1"/>
    <mergeCell ref="B3:C3"/>
    <mergeCell ref="H3:I3"/>
    <mergeCell ref="P3:P4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40" workbookViewId="0">
      <selection activeCell="C74" sqref="C7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883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988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884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989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885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990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886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991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887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992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888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993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889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994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890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995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891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996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892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997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893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998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894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999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895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999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896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1000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897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1001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898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1001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916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1002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917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1002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918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1003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919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1004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920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1005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921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1005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922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1005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953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1005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954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1006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955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1007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956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1008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957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1009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958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1010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959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1011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960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1012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961</v>
      </c>
      <c r="C34" s="111">
        <v>49528.800000000003</v>
      </c>
      <c r="D34" s="736" t="s">
        <v>1182</v>
      </c>
      <c r="E34" s="717">
        <f>24074.75+25454.05</f>
        <v>49528.800000000003</v>
      </c>
      <c r="F34" s="544">
        <f t="shared" si="0"/>
        <v>0</v>
      </c>
      <c r="H34" s="672" t="s">
        <v>1012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962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1013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963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1014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964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1015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965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1016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966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967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968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969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990" t="s">
        <v>594</v>
      </c>
      <c r="I43" s="991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992"/>
      <c r="I44" s="993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994"/>
      <c r="I45" s="995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986" t="s">
        <v>594</v>
      </c>
      <c r="I67" s="987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48" t="s">
        <v>207</v>
      </c>
      <c r="H68" s="988"/>
      <c r="I68" s="989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49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921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922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A25" workbookViewId="0">
      <selection activeCell="F67" sqref="F6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6"/>
      <c r="C1" s="952" t="s">
        <v>1025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18" ht="16.5" thickBot="1" x14ac:dyDescent="0.3">
      <c r="B2" s="887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0" t="s">
        <v>0</v>
      </c>
      <c r="C3" s="891"/>
      <c r="D3" s="10"/>
      <c r="E3" s="553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893" t="s">
        <v>2</v>
      </c>
      <c r="F4" s="894"/>
      <c r="H4" s="895" t="s">
        <v>3</v>
      </c>
      <c r="I4" s="896"/>
      <c r="J4" s="556"/>
      <c r="K4" s="562"/>
      <c r="L4" s="563"/>
      <c r="M4" s="21" t="s">
        <v>4</v>
      </c>
      <c r="N4" s="22" t="s">
        <v>5</v>
      </c>
      <c r="P4" s="930"/>
      <c r="Q4" s="322" t="s">
        <v>217</v>
      </c>
      <c r="R4" s="951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1026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1035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1027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764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1028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764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1029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764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1030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764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1031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1032</v>
      </c>
      <c r="L10" s="45">
        <v>18134</v>
      </c>
      <c r="M10" s="32">
        <f>43500+200</f>
        <v>43700</v>
      </c>
      <c r="N10" s="33">
        <v>52577</v>
      </c>
      <c r="O10" s="660" t="s">
        <v>764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1034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764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1036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764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1037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764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1038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764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1039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764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1040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764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1041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1042</v>
      </c>
      <c r="L17" s="45">
        <v>19573</v>
      </c>
      <c r="M17" s="32">
        <f>32228.5+1009.5</f>
        <v>33238</v>
      </c>
      <c r="N17" s="33">
        <v>54698</v>
      </c>
      <c r="O17" s="577" t="s">
        <v>1045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1044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1045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1046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1045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1047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1049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1048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1067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1050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764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1051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764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1052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1053</v>
      </c>
      <c r="L24" s="52">
        <v>20533</v>
      </c>
      <c r="M24" s="32">
        <v>72303.5</v>
      </c>
      <c r="N24" s="33">
        <v>47768</v>
      </c>
      <c r="O24" s="660" t="s">
        <v>764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1055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764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1056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1057</v>
      </c>
      <c r="L26" s="687">
        <v>869292.83</v>
      </c>
      <c r="M26" s="32">
        <f>789401+3510</f>
        <v>792911</v>
      </c>
      <c r="N26" s="33">
        <v>58900</v>
      </c>
      <c r="O26" s="660" t="s">
        <v>764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1058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1146</v>
      </c>
      <c r="L27" s="54">
        <v>50000</v>
      </c>
      <c r="M27" s="32">
        <v>17556</v>
      </c>
      <c r="N27" s="33">
        <v>42992</v>
      </c>
      <c r="O27" s="660" t="s">
        <v>764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1059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764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1060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764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1061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764</v>
      </c>
      <c r="P30" s="283">
        <f t="shared" si="1"/>
        <v>110279</v>
      </c>
      <c r="Q30" s="325" t="s">
        <v>1062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1063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1064</v>
      </c>
      <c r="L31" s="54">
        <v>22490</v>
      </c>
      <c r="M31" s="32">
        <v>50983</v>
      </c>
      <c r="N31" s="33">
        <v>43542</v>
      </c>
      <c r="O31" s="660" t="s">
        <v>764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1066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1064</v>
      </c>
      <c r="L32" s="39">
        <v>200</v>
      </c>
      <c r="M32" s="32">
        <v>46721</v>
      </c>
      <c r="N32" s="33">
        <v>30709</v>
      </c>
      <c r="O32" s="660" t="s">
        <v>764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1033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1024</v>
      </c>
      <c r="E35" s="27"/>
      <c r="F35" s="28"/>
      <c r="G35" s="572"/>
      <c r="H35" s="29"/>
      <c r="I35" s="30"/>
      <c r="J35" s="557">
        <v>44758</v>
      </c>
      <c r="K35" s="568" t="s">
        <v>1043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1114</v>
      </c>
      <c r="E36" s="27"/>
      <c r="F36" s="28"/>
      <c r="G36" s="662"/>
      <c r="H36" s="29"/>
      <c r="I36" s="30"/>
      <c r="J36" s="557">
        <v>44765</v>
      </c>
      <c r="K36" s="688" t="s">
        <v>1054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1065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1115</v>
      </c>
      <c r="E39" s="27"/>
      <c r="F39" s="508"/>
      <c r="G39" s="662"/>
      <c r="H39" s="29"/>
      <c r="I39" s="71"/>
      <c r="J39" s="56">
        <v>44746</v>
      </c>
      <c r="K39" s="663" t="s">
        <v>1098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1103</v>
      </c>
      <c r="E40" s="27"/>
      <c r="F40" s="70"/>
      <c r="G40" s="572"/>
      <c r="H40" s="36"/>
      <c r="I40" s="71"/>
      <c r="J40" s="56">
        <v>44747</v>
      </c>
      <c r="K40" s="38" t="s">
        <v>1099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1101</v>
      </c>
      <c r="L41" s="39">
        <v>3442.5</v>
      </c>
      <c r="M41" s="931">
        <f>SUM(M5:M40)</f>
        <v>2180659.5</v>
      </c>
      <c r="N41" s="931">
        <f>SUM(N5:N40)</f>
        <v>1072718</v>
      </c>
      <c r="P41" s="505">
        <f>SUM(P5:P40)</f>
        <v>4807723.83</v>
      </c>
      <c r="Q41" s="996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1102</v>
      </c>
      <c r="L42" s="702">
        <v>28000</v>
      </c>
      <c r="M42" s="932"/>
      <c r="N42" s="932"/>
      <c r="P42" s="34"/>
      <c r="Q42" s="997"/>
    </row>
    <row r="43" spans="1:18" ht="18" thickBot="1" x14ac:dyDescent="0.35">
      <c r="A43" s="23"/>
      <c r="B43" s="24">
        <v>44762</v>
      </c>
      <c r="C43" s="692">
        <v>379843.2</v>
      </c>
      <c r="D43" s="697" t="s">
        <v>1109</v>
      </c>
      <c r="E43" s="74"/>
      <c r="F43" s="75"/>
      <c r="G43" s="572"/>
      <c r="H43" s="76"/>
      <c r="I43" s="77"/>
      <c r="J43" s="56">
        <v>44750</v>
      </c>
      <c r="K43" s="38" t="s">
        <v>1100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1112</v>
      </c>
      <c r="E44" s="74"/>
      <c r="F44" s="75"/>
      <c r="G44" s="572"/>
      <c r="H44" s="76"/>
      <c r="I44" s="77"/>
      <c r="J44" s="56">
        <v>44753</v>
      </c>
      <c r="K44" s="38" t="s">
        <v>1104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1105</v>
      </c>
      <c r="L45" s="39">
        <v>1061.9100000000001</v>
      </c>
      <c r="M45" s="998">
        <f>M41+N41</f>
        <v>3253377.5</v>
      </c>
      <c r="N45" s="99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1098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1106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1107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1108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1098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1110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1111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1102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1098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973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840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1113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1116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8" t="s">
        <v>11</v>
      </c>
      <c r="I69" s="909"/>
      <c r="J69" s="559"/>
      <c r="K69" s="1033">
        <f>I67+L67</f>
        <v>515778.65000000026</v>
      </c>
      <c r="L69" s="1034"/>
      <c r="M69" s="272"/>
      <c r="N69" s="272"/>
      <c r="P69" s="34"/>
      <c r="Q69" s="13"/>
    </row>
    <row r="70" spans="1:17" x14ac:dyDescent="0.25">
      <c r="D70" s="914" t="s">
        <v>12</v>
      </c>
      <c r="E70" s="914"/>
      <c r="F70" s="312">
        <f>F67-K69-C67</f>
        <v>1573910.5599999998</v>
      </c>
      <c r="I70" s="102"/>
      <c r="J70" s="560"/>
    </row>
    <row r="71" spans="1:17" ht="18.75" x14ac:dyDescent="0.3">
      <c r="D71" s="938" t="s">
        <v>95</v>
      </c>
      <c r="E71" s="938"/>
      <c r="F71" s="111">
        <v>-1727771.26</v>
      </c>
      <c r="I71" s="915" t="s">
        <v>13</v>
      </c>
      <c r="J71" s="916"/>
      <c r="K71" s="917">
        <f>F73+F74+F75</f>
        <v>2141254.8899999997</v>
      </c>
      <c r="L71" s="91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1029">
        <f>-C4</f>
        <v>-2355426.54</v>
      </c>
      <c r="L73" s="917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897" t="s">
        <v>18</v>
      </c>
      <c r="E75" s="898"/>
      <c r="F75" s="113">
        <v>2274653.09</v>
      </c>
      <c r="I75" s="1030" t="s">
        <v>97</v>
      </c>
      <c r="J75" s="1031"/>
      <c r="K75" s="1032">
        <f>K71+K73</f>
        <v>-214171.65000000037</v>
      </c>
      <c r="L75" s="103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3" workbookViewId="0">
      <selection activeCell="H33" sqref="H33:K34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1068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1117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1069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1118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1070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1119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1071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1120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1072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1121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1073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1122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1074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1122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1075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1123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1076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1123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1077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1124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1078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1125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1079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1126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1080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1126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1081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1127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1082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1128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1083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1129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1084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1130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1085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1131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1086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1132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1087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1133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1088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1134</v>
      </c>
      <c r="I23" s="705">
        <v>9874</v>
      </c>
      <c r="J23" s="706">
        <v>300</v>
      </c>
      <c r="K23" s="582">
        <v>44853</v>
      </c>
      <c r="L23" s="852">
        <v>300</v>
      </c>
      <c r="M23" s="137">
        <f t="shared" si="1"/>
        <v>0</v>
      </c>
    </row>
    <row r="24" spans="1:13" ht="21" customHeight="1" x14ac:dyDescent="0.3">
      <c r="A24" s="725">
        <v>44765</v>
      </c>
      <c r="B24" s="726" t="s">
        <v>1089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1135</v>
      </c>
      <c r="I24" s="705">
        <v>9881</v>
      </c>
      <c r="J24" s="706">
        <v>4003.3</v>
      </c>
      <c r="K24" s="582">
        <v>44853</v>
      </c>
      <c r="L24" s="852">
        <v>4003.3</v>
      </c>
      <c r="M24" s="137">
        <f t="shared" si="1"/>
        <v>0</v>
      </c>
    </row>
    <row r="25" spans="1:13" ht="17.25" x14ac:dyDescent="0.3">
      <c r="A25" s="454">
        <v>44767</v>
      </c>
      <c r="B25" s="246" t="s">
        <v>1090</v>
      </c>
      <c r="C25" s="111">
        <v>26094.639999999999</v>
      </c>
      <c r="D25" s="652">
        <v>44837</v>
      </c>
      <c r="E25" s="653">
        <v>26094.639999999999</v>
      </c>
      <c r="F25" s="544">
        <f t="shared" si="0"/>
        <v>0</v>
      </c>
      <c r="G25" s="645"/>
      <c r="H25" s="704" t="s">
        <v>1136</v>
      </c>
      <c r="I25" s="705">
        <v>9891</v>
      </c>
      <c r="J25" s="706">
        <v>300</v>
      </c>
      <c r="K25" s="582">
        <v>44853</v>
      </c>
      <c r="L25" s="852">
        <v>300</v>
      </c>
      <c r="M25" s="137">
        <f t="shared" si="1"/>
        <v>0</v>
      </c>
    </row>
    <row r="26" spans="1:13" ht="17.25" x14ac:dyDescent="0.3">
      <c r="A26" s="454">
        <v>44767</v>
      </c>
      <c r="B26" s="580" t="s">
        <v>1091</v>
      </c>
      <c r="C26" s="111">
        <v>6990.16</v>
      </c>
      <c r="D26" s="652">
        <v>44837</v>
      </c>
      <c r="E26" s="653">
        <v>6990.16</v>
      </c>
      <c r="F26" s="544">
        <f t="shared" si="0"/>
        <v>0</v>
      </c>
      <c r="G26" s="645"/>
      <c r="H26" s="704" t="s">
        <v>1137</v>
      </c>
      <c r="I26" s="705">
        <v>9897</v>
      </c>
      <c r="J26" s="706">
        <v>880</v>
      </c>
      <c r="K26" s="582">
        <v>44853</v>
      </c>
      <c r="L26" s="852">
        <v>880</v>
      </c>
      <c r="M26" s="137">
        <f t="shared" si="1"/>
        <v>0</v>
      </c>
    </row>
    <row r="27" spans="1:13" ht="17.25" x14ac:dyDescent="0.3">
      <c r="A27" s="454">
        <v>44768</v>
      </c>
      <c r="B27" s="246" t="s">
        <v>1092</v>
      </c>
      <c r="C27" s="111">
        <v>97965.58</v>
      </c>
      <c r="D27" s="652">
        <v>44837</v>
      </c>
      <c r="E27" s="653">
        <v>97965.58</v>
      </c>
      <c r="F27" s="544">
        <f t="shared" si="0"/>
        <v>0</v>
      </c>
      <c r="G27" s="645"/>
      <c r="H27" s="704" t="s">
        <v>1137</v>
      </c>
      <c r="I27" s="705">
        <v>9898</v>
      </c>
      <c r="J27" s="706">
        <v>2989.5</v>
      </c>
      <c r="K27" s="582">
        <v>44853</v>
      </c>
      <c r="L27" s="852">
        <v>2989.5</v>
      </c>
      <c r="M27" s="137">
        <f t="shared" si="1"/>
        <v>0</v>
      </c>
    </row>
    <row r="28" spans="1:13" ht="17.25" x14ac:dyDescent="0.3">
      <c r="A28" s="454">
        <v>44769</v>
      </c>
      <c r="B28" s="246" t="s">
        <v>1093</v>
      </c>
      <c r="C28" s="111">
        <v>10947.2</v>
      </c>
      <c r="D28" s="652">
        <v>44837</v>
      </c>
      <c r="E28" s="653">
        <v>10947.2</v>
      </c>
      <c r="F28" s="544">
        <f t="shared" si="0"/>
        <v>0</v>
      </c>
      <c r="G28" s="645"/>
      <c r="H28" s="704" t="s">
        <v>1137</v>
      </c>
      <c r="I28" s="705">
        <v>9902</v>
      </c>
      <c r="J28" s="706">
        <v>300</v>
      </c>
      <c r="K28" s="582">
        <v>44853</v>
      </c>
      <c r="L28" s="852">
        <v>300</v>
      </c>
      <c r="M28" s="137">
        <f t="shared" si="1"/>
        <v>0</v>
      </c>
    </row>
    <row r="29" spans="1:13" ht="17.25" x14ac:dyDescent="0.3">
      <c r="A29" s="454">
        <v>44770</v>
      </c>
      <c r="B29" s="246" t="s">
        <v>1094</v>
      </c>
      <c r="C29" s="111">
        <v>29495.85</v>
      </c>
      <c r="D29" s="652">
        <v>44837</v>
      </c>
      <c r="E29" s="653">
        <v>29495.85</v>
      </c>
      <c r="F29" s="544">
        <f t="shared" si="0"/>
        <v>0</v>
      </c>
      <c r="G29" s="645"/>
      <c r="H29" s="704" t="s">
        <v>1138</v>
      </c>
      <c r="I29" s="705">
        <v>9905</v>
      </c>
      <c r="J29" s="706">
        <v>300</v>
      </c>
      <c r="K29" s="582">
        <v>44853</v>
      </c>
      <c r="L29" s="852">
        <v>300</v>
      </c>
      <c r="M29" s="137">
        <f t="shared" si="1"/>
        <v>0</v>
      </c>
    </row>
    <row r="30" spans="1:13" ht="17.25" x14ac:dyDescent="0.3">
      <c r="A30" s="454">
        <v>44771</v>
      </c>
      <c r="B30" s="246" t="s">
        <v>1095</v>
      </c>
      <c r="C30" s="111">
        <v>9222</v>
      </c>
      <c r="D30" s="652">
        <v>44837</v>
      </c>
      <c r="E30" s="653">
        <v>9222</v>
      </c>
      <c r="F30" s="544">
        <f t="shared" si="0"/>
        <v>0</v>
      </c>
      <c r="G30" s="645"/>
      <c r="H30" s="704" t="s">
        <v>1139</v>
      </c>
      <c r="I30" s="705">
        <v>9919</v>
      </c>
      <c r="J30" s="706">
        <v>440</v>
      </c>
      <c r="K30" s="582">
        <v>44853</v>
      </c>
      <c r="L30" s="852">
        <v>440</v>
      </c>
      <c r="M30" s="137">
        <f t="shared" si="1"/>
        <v>0</v>
      </c>
    </row>
    <row r="31" spans="1:13" ht="17.25" x14ac:dyDescent="0.3">
      <c r="A31" s="454">
        <v>44771</v>
      </c>
      <c r="B31" s="246" t="s">
        <v>1096</v>
      </c>
      <c r="C31" s="111">
        <v>73071.5</v>
      </c>
      <c r="D31" s="652">
        <v>44837</v>
      </c>
      <c r="E31" s="653">
        <v>73071.5</v>
      </c>
      <c r="F31" s="544">
        <f t="shared" si="0"/>
        <v>0</v>
      </c>
      <c r="G31" s="2"/>
      <c r="H31" s="704" t="s">
        <v>1140</v>
      </c>
      <c r="I31" s="705">
        <v>9929</v>
      </c>
      <c r="J31" s="706">
        <v>500</v>
      </c>
      <c r="K31" s="582">
        <v>44853</v>
      </c>
      <c r="L31" s="852">
        <v>500</v>
      </c>
      <c r="M31" s="137">
        <f t="shared" si="1"/>
        <v>0</v>
      </c>
    </row>
    <row r="32" spans="1:13" ht="17.25" x14ac:dyDescent="0.3">
      <c r="A32" s="454">
        <v>44772</v>
      </c>
      <c r="B32" s="246" t="s">
        <v>1097</v>
      </c>
      <c r="C32" s="111">
        <v>78511.600000000006</v>
      </c>
      <c r="D32" s="652">
        <v>44837</v>
      </c>
      <c r="E32" s="653">
        <v>78511.600000000006</v>
      </c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customHeight="1" x14ac:dyDescent="0.25">
      <c r="A33" s="454"/>
      <c r="B33" s="246"/>
      <c r="C33" s="111"/>
      <c r="D33" s="412"/>
      <c r="E33" s="111"/>
      <c r="F33" s="544">
        <f t="shared" si="0"/>
        <v>0</v>
      </c>
      <c r="H33" s="1041" t="s">
        <v>1450</v>
      </c>
      <c r="I33" s="1042"/>
      <c r="J33" s="1042"/>
      <c r="K33" s="1043"/>
      <c r="L33" s="111"/>
      <c r="M33" s="137">
        <f t="shared" si="1"/>
        <v>0</v>
      </c>
    </row>
    <row r="34" spans="1:13" ht="17.25" customHeight="1" x14ac:dyDescent="0.25">
      <c r="A34" s="454"/>
      <c r="B34" s="246"/>
      <c r="C34" s="111"/>
      <c r="D34" s="412"/>
      <c r="E34" s="111"/>
      <c r="F34" s="544">
        <f t="shared" si="0"/>
        <v>0</v>
      </c>
      <c r="H34" s="1041"/>
      <c r="I34" s="1042"/>
      <c r="J34" s="1042"/>
      <c r="K34" s="1043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0" t="s">
        <v>594</v>
      </c>
      <c r="I40" s="991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2"/>
      <c r="I41" s="993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4"/>
      <c r="I42" s="995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1727771.26</v>
      </c>
      <c r="F67" s="153">
        <f>SUM(F3:F66)</f>
        <v>0</v>
      </c>
      <c r="H67" s="986" t="s">
        <v>594</v>
      </c>
      <c r="I67" s="987"/>
      <c r="J67" s="642">
        <f>SUM(J3:J66)</f>
        <v>128177.49999999997</v>
      </c>
      <c r="K67" s="713"/>
      <c r="L67" s="209">
        <f>SUM(L3:L66)</f>
        <v>128177.49999999997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48" t="s">
        <v>207</v>
      </c>
      <c r="H68" s="988"/>
      <c r="I68" s="989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49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4">
    <mergeCell ref="H67:I68"/>
    <mergeCell ref="F68:F69"/>
    <mergeCell ref="H40:I42"/>
    <mergeCell ref="H33:K34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zoomScaleNormal="100" workbookViewId="0">
      <pane xSplit="3" ySplit="4" topLeftCell="D50" activePane="bottomRight" state="frozen"/>
      <selection pane="topRight" activeCell="D1" sqref="D1"/>
      <selection pane="bottomLeft" activeCell="A5" sqref="A5"/>
      <selection pane="bottomRight" activeCell="H82" sqref="H8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886"/>
      <c r="C1" s="952" t="s">
        <v>1142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19" ht="16.5" thickBot="1" x14ac:dyDescent="0.3">
      <c r="B2" s="887"/>
      <c r="C2" s="3"/>
      <c r="H2" s="5"/>
      <c r="I2" s="6"/>
      <c r="J2" s="7"/>
      <c r="L2" s="8"/>
      <c r="M2" s="6"/>
      <c r="N2" s="9"/>
    </row>
    <row r="3" spans="1:19" ht="21.75" thickBot="1" x14ac:dyDescent="0.35">
      <c r="B3" s="890" t="s">
        <v>0</v>
      </c>
      <c r="C3" s="891"/>
      <c r="D3" s="10"/>
      <c r="E3" s="553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893" t="s">
        <v>2</v>
      </c>
      <c r="F4" s="894"/>
      <c r="H4" s="895" t="s">
        <v>3</v>
      </c>
      <c r="I4" s="896"/>
      <c r="J4" s="556"/>
      <c r="K4" s="562"/>
      <c r="L4" s="563"/>
      <c r="M4" s="21" t="s">
        <v>4</v>
      </c>
      <c r="N4" s="22" t="s">
        <v>5</v>
      </c>
      <c r="P4" s="930"/>
      <c r="Q4" s="322" t="s">
        <v>217</v>
      </c>
      <c r="R4" s="951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1143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937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1144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937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1145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937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1147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937</v>
      </c>
      <c r="P8" s="39">
        <f t="shared" ref="P8:P32" si="1">N8+M8+L8+I8+C8</f>
        <v>195957</v>
      </c>
      <c r="Q8" s="325">
        <v>0</v>
      </c>
      <c r="R8" s="388">
        <v>74746</v>
      </c>
      <c r="S8" t="s">
        <v>1148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937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1149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1157</v>
      </c>
      <c r="L10" s="45">
        <v>17752</v>
      </c>
      <c r="M10" s="32">
        <v>33319</v>
      </c>
      <c r="N10" s="33">
        <v>73167</v>
      </c>
      <c r="O10" s="577" t="s">
        <v>937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1150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937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1151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937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1152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937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937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1153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937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1154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937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1155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1156</v>
      </c>
      <c r="L17" s="45">
        <v>17689</v>
      </c>
      <c r="M17" s="32">
        <v>25200</v>
      </c>
      <c r="N17" s="33">
        <v>50035</v>
      </c>
      <c r="O17" s="577" t="s">
        <v>937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1159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937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1160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937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1161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937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1183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937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1184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937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1185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937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>
        <v>18797</v>
      </c>
      <c r="D24" s="42" t="s">
        <v>1186</v>
      </c>
      <c r="E24" s="27">
        <v>44793</v>
      </c>
      <c r="F24" s="28">
        <v>113402</v>
      </c>
      <c r="G24" s="572"/>
      <c r="H24" s="29">
        <v>44793</v>
      </c>
      <c r="I24" s="30">
        <v>4714</v>
      </c>
      <c r="J24" s="51">
        <v>44793</v>
      </c>
      <c r="K24" s="173" t="s">
        <v>1187</v>
      </c>
      <c r="L24" s="52">
        <v>18064</v>
      </c>
      <c r="M24" s="32">
        <v>100977</v>
      </c>
      <c r="N24" s="33">
        <v>44844</v>
      </c>
      <c r="O24" s="577" t="s">
        <v>937</v>
      </c>
      <c r="P24" s="39">
        <f>N24+M24+L24+I24+C24</f>
        <v>187396</v>
      </c>
      <c r="Q24" s="325">
        <v>0</v>
      </c>
      <c r="R24" s="388">
        <v>73994</v>
      </c>
    </row>
    <row r="25" spans="1:19" ht="18" thickBot="1" x14ac:dyDescent="0.35">
      <c r="A25" s="23"/>
      <c r="B25" s="24">
        <v>44794</v>
      </c>
      <c r="C25" s="25">
        <v>11074.5</v>
      </c>
      <c r="D25" s="35" t="s">
        <v>1188</v>
      </c>
      <c r="E25" s="27">
        <v>44794</v>
      </c>
      <c r="F25" s="28">
        <v>95169</v>
      </c>
      <c r="G25" s="572"/>
      <c r="H25" s="29">
        <v>44794</v>
      </c>
      <c r="I25" s="30">
        <v>1353</v>
      </c>
      <c r="J25" s="50"/>
      <c r="K25" s="38"/>
      <c r="L25" s="54"/>
      <c r="M25" s="32">
        <v>53500.5</v>
      </c>
      <c r="N25" s="33">
        <v>29241</v>
      </c>
      <c r="O25" s="577" t="s">
        <v>937</v>
      </c>
      <c r="P25" s="283">
        <f t="shared" si="1"/>
        <v>95169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>
        <v>15886.5</v>
      </c>
      <c r="D26" s="35" t="s">
        <v>1189</v>
      </c>
      <c r="E26" s="27">
        <v>44795</v>
      </c>
      <c r="F26" s="28">
        <v>99660</v>
      </c>
      <c r="G26" s="572"/>
      <c r="H26" s="29">
        <v>44795</v>
      </c>
      <c r="I26" s="30">
        <v>956</v>
      </c>
      <c r="J26" s="37"/>
      <c r="K26" s="728"/>
      <c r="L26" s="729"/>
      <c r="M26" s="32">
        <f>10000+23209.5</f>
        <v>33209.5</v>
      </c>
      <c r="N26" s="33">
        <v>49608</v>
      </c>
      <c r="O26" s="577" t="s">
        <v>937</v>
      </c>
      <c r="P26" s="283">
        <f t="shared" si="1"/>
        <v>99660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>
        <v>14311</v>
      </c>
      <c r="D27" s="42" t="s">
        <v>1190</v>
      </c>
      <c r="E27" s="27">
        <v>44796</v>
      </c>
      <c r="F27" s="28">
        <v>111550</v>
      </c>
      <c r="G27" s="572"/>
      <c r="H27" s="29">
        <v>44796</v>
      </c>
      <c r="I27" s="30">
        <v>2408</v>
      </c>
      <c r="J27" s="55"/>
      <c r="K27" s="174"/>
      <c r="L27" s="54"/>
      <c r="M27" s="32">
        <v>63665</v>
      </c>
      <c r="N27" s="33">
        <v>31166</v>
      </c>
      <c r="O27" s="577" t="s">
        <v>937</v>
      </c>
      <c r="P27" s="283">
        <f t="shared" si="1"/>
        <v>111550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>
        <v>20577</v>
      </c>
      <c r="D28" s="42" t="s">
        <v>1191</v>
      </c>
      <c r="E28" s="27">
        <v>44797</v>
      </c>
      <c r="F28" s="28">
        <v>108964</v>
      </c>
      <c r="G28" s="572"/>
      <c r="H28" s="29">
        <v>44797</v>
      </c>
      <c r="I28" s="30">
        <v>4385</v>
      </c>
      <c r="J28" s="56"/>
      <c r="K28" s="57"/>
      <c r="L28" s="54"/>
      <c r="M28" s="32">
        <f>14701+9372+24359</f>
        <v>48432</v>
      </c>
      <c r="N28" s="33">
        <v>35570</v>
      </c>
      <c r="O28" s="577" t="s">
        <v>937</v>
      </c>
      <c r="P28" s="283">
        <f t="shared" si="1"/>
        <v>108964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>
        <v>20490</v>
      </c>
      <c r="D29" s="58" t="s">
        <v>1197</v>
      </c>
      <c r="E29" s="27">
        <v>44798</v>
      </c>
      <c r="F29" s="28">
        <v>104807</v>
      </c>
      <c r="G29" s="572"/>
      <c r="H29" s="29">
        <v>44798</v>
      </c>
      <c r="I29" s="30">
        <v>3229</v>
      </c>
      <c r="J29" s="59"/>
      <c r="K29" s="175"/>
      <c r="L29" s="54"/>
      <c r="M29" s="32">
        <v>54088</v>
      </c>
      <c r="N29" s="33">
        <v>27000</v>
      </c>
      <c r="O29" s="577" t="s">
        <v>937</v>
      </c>
      <c r="P29" s="283">
        <f t="shared" si="1"/>
        <v>104807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>
        <v>12414</v>
      </c>
      <c r="D30" s="58" t="s">
        <v>1198</v>
      </c>
      <c r="E30" s="27">
        <v>44799</v>
      </c>
      <c r="F30" s="28">
        <v>97054</v>
      </c>
      <c r="G30" s="572"/>
      <c r="H30" s="29">
        <v>44799</v>
      </c>
      <c r="I30" s="30">
        <v>3496</v>
      </c>
      <c r="J30" s="56"/>
      <c r="K30" s="38"/>
      <c r="L30" s="39"/>
      <c r="M30" s="32">
        <v>41955</v>
      </c>
      <c r="N30" s="33">
        <v>39189</v>
      </c>
      <c r="O30" s="577" t="s">
        <v>937</v>
      </c>
      <c r="P30" s="283">
        <f t="shared" si="1"/>
        <v>97054</v>
      </c>
      <c r="Q30" s="325">
        <f t="shared" si="0"/>
        <v>0</v>
      </c>
      <c r="R30" s="319">
        <v>0</v>
      </c>
    </row>
    <row r="31" spans="1:19" ht="18" thickBot="1" x14ac:dyDescent="0.35">
      <c r="A31" s="23"/>
      <c r="B31" s="24">
        <v>44800</v>
      </c>
      <c r="C31" s="25">
        <v>23381</v>
      </c>
      <c r="D31" s="67" t="s">
        <v>1199</v>
      </c>
      <c r="E31" s="27">
        <v>44800</v>
      </c>
      <c r="F31" s="28">
        <v>134624</v>
      </c>
      <c r="G31" s="572"/>
      <c r="H31" s="29">
        <v>44800</v>
      </c>
      <c r="I31" s="30">
        <v>5400</v>
      </c>
      <c r="J31" s="56">
        <v>44800</v>
      </c>
      <c r="K31" s="566" t="s">
        <v>1200</v>
      </c>
      <c r="L31" s="54">
        <v>18009</v>
      </c>
      <c r="M31" s="32">
        <v>26081</v>
      </c>
      <c r="N31" s="33">
        <v>61753</v>
      </c>
      <c r="O31" s="577" t="s">
        <v>937</v>
      </c>
      <c r="P31" s="34">
        <f t="shared" si="1"/>
        <v>134624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>
        <v>0</v>
      </c>
      <c r="D32" s="64"/>
      <c r="E32" s="27">
        <v>44801</v>
      </c>
      <c r="F32" s="28">
        <v>103403</v>
      </c>
      <c r="G32" s="572"/>
      <c r="H32" s="29">
        <v>44801</v>
      </c>
      <c r="I32" s="30">
        <v>120.5</v>
      </c>
      <c r="J32" s="56"/>
      <c r="K32" s="38"/>
      <c r="L32" s="39"/>
      <c r="M32" s="32">
        <v>55305.5</v>
      </c>
      <c r="N32" s="33">
        <v>47977</v>
      </c>
      <c r="O32" s="577" t="s">
        <v>937</v>
      </c>
      <c r="P32" s="34">
        <f t="shared" si="1"/>
        <v>103403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>
        <v>0</v>
      </c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v>0</v>
      </c>
      <c r="Q33" s="325">
        <v>0</v>
      </c>
      <c r="R33" s="319">
        <v>0</v>
      </c>
    </row>
    <row r="34" spans="1:18" ht="18" thickBot="1" x14ac:dyDescent="0.35">
      <c r="A34" s="23"/>
      <c r="B34" s="24">
        <v>44774</v>
      </c>
      <c r="C34" s="25">
        <v>3786</v>
      </c>
      <c r="D34" s="64" t="s">
        <v>1201</v>
      </c>
      <c r="E34" s="27"/>
      <c r="F34" s="28"/>
      <c r="G34" s="572"/>
      <c r="H34" s="29"/>
      <c r="I34" s="30"/>
      <c r="J34" s="56">
        <v>44779</v>
      </c>
      <c r="K34" s="739" t="s">
        <v>1157</v>
      </c>
      <c r="L34" s="39">
        <v>15889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44781</v>
      </c>
      <c r="C35" s="690">
        <v>8782.75</v>
      </c>
      <c r="D35" s="67" t="s">
        <v>1206</v>
      </c>
      <c r="E35" s="27"/>
      <c r="F35" s="28"/>
      <c r="G35" s="572"/>
      <c r="H35" s="29"/>
      <c r="I35" s="30"/>
      <c r="J35" s="698">
        <v>44786</v>
      </c>
      <c r="K35" s="740" t="s">
        <v>1158</v>
      </c>
      <c r="L35" s="702">
        <v>17693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44782</v>
      </c>
      <c r="C36" s="693">
        <v>2543.0700000000002</v>
      </c>
      <c r="D36" s="741" t="s">
        <v>1206</v>
      </c>
      <c r="E36" s="27"/>
      <c r="F36" s="28"/>
      <c r="G36" s="662"/>
      <c r="H36" s="29"/>
      <c r="I36" s="30"/>
      <c r="J36" s="56">
        <v>44793</v>
      </c>
      <c r="K36" s="739" t="s">
        <v>1187</v>
      </c>
      <c r="L36" s="39">
        <v>19292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44784</v>
      </c>
      <c r="C37" s="692">
        <v>36840</v>
      </c>
      <c r="D37" s="742" t="s">
        <v>1205</v>
      </c>
      <c r="E37" s="27"/>
      <c r="F37" s="28"/>
      <c r="G37" s="662"/>
      <c r="H37" s="29"/>
      <c r="I37" s="30"/>
      <c r="J37" s="56">
        <v>44800</v>
      </c>
      <c r="K37" s="739" t="s">
        <v>1200</v>
      </c>
      <c r="L37" s="39">
        <v>19291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44790</v>
      </c>
      <c r="C38" s="692">
        <v>7629.21</v>
      </c>
      <c r="D38" s="742" t="s">
        <v>1206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44792</v>
      </c>
      <c r="C39" s="692">
        <v>200000</v>
      </c>
      <c r="D39" s="695" t="s">
        <v>1208</v>
      </c>
      <c r="E39" s="27"/>
      <c r="F39" s="508"/>
      <c r="G39" s="662"/>
      <c r="H39" s="29"/>
      <c r="I39" s="71"/>
      <c r="J39" s="56">
        <v>44781</v>
      </c>
      <c r="K39" s="663" t="s">
        <v>1202</v>
      </c>
      <c r="L39" s="39">
        <v>6358.5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44796</v>
      </c>
      <c r="C40" s="692">
        <v>434740</v>
      </c>
      <c r="D40" s="696" t="s">
        <v>1208</v>
      </c>
      <c r="E40" s="27"/>
      <c r="F40" s="70"/>
      <c r="G40" s="572"/>
      <c r="H40" s="36"/>
      <c r="I40" s="71"/>
      <c r="J40" s="56">
        <v>44781</v>
      </c>
      <c r="K40" s="38" t="s">
        <v>1203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44796</v>
      </c>
      <c r="C41" s="692">
        <v>190403.20000000001</v>
      </c>
      <c r="D41" s="697" t="s">
        <v>1208</v>
      </c>
      <c r="E41" s="74"/>
      <c r="F41" s="75"/>
      <c r="G41" s="572"/>
      <c r="H41" s="76"/>
      <c r="I41" s="77"/>
      <c r="J41" s="56">
        <v>44782</v>
      </c>
      <c r="K41" s="743" t="s">
        <v>1204</v>
      </c>
      <c r="L41" s="39">
        <v>10440</v>
      </c>
      <c r="M41" s="931">
        <f>SUM(M5:M40)</f>
        <v>1553743.1800000002</v>
      </c>
      <c r="N41" s="931">
        <f>SUM(N5:N40)</f>
        <v>1198132</v>
      </c>
      <c r="P41" s="505">
        <f>SUM(P5:P40)</f>
        <v>3384938.6799999997</v>
      </c>
      <c r="Q41" s="996">
        <f>SUM(Q5:Q40)</f>
        <v>4</v>
      </c>
      <c r="R41" s="227">
        <f>SUM(R28:R40)</f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44785</v>
      </c>
      <c r="K42" s="701" t="s">
        <v>1100</v>
      </c>
      <c r="L42" s="702">
        <v>1856</v>
      </c>
      <c r="M42" s="932"/>
      <c r="N42" s="932"/>
      <c r="P42" s="34"/>
      <c r="Q42" s="997"/>
      <c r="R42" s="227">
        <f>SUM(R5:R41)</f>
        <v>182722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44788</v>
      </c>
      <c r="K43" s="38" t="s">
        <v>1202</v>
      </c>
      <c r="L43" s="39">
        <v>7141.1</v>
      </c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44789</v>
      </c>
      <c r="K44" s="38" t="s">
        <v>201</v>
      </c>
      <c r="L44" s="39">
        <v>549</v>
      </c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44792</v>
      </c>
      <c r="K45" s="671" t="s">
        <v>1207</v>
      </c>
      <c r="L45" s="39">
        <v>2030</v>
      </c>
      <c r="M45" s="998">
        <f>M41+N41</f>
        <v>2751875.18</v>
      </c>
      <c r="N45" s="99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44796</v>
      </c>
      <c r="K46" s="38" t="s">
        <v>1202</v>
      </c>
      <c r="L46" s="39">
        <v>6150.35</v>
      </c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44796</v>
      </c>
      <c r="K47" s="38" t="s">
        <v>825</v>
      </c>
      <c r="L47" s="39">
        <v>2320</v>
      </c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601">
        <v>44796</v>
      </c>
      <c r="K48" s="38" t="s">
        <v>1209</v>
      </c>
      <c r="L48" s="69">
        <v>4640</v>
      </c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44797</v>
      </c>
      <c r="K49" s="38" t="s">
        <v>1210</v>
      </c>
      <c r="L49" s="69">
        <f>11110.94+3061.13+1939.06</f>
        <v>16111.13</v>
      </c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44797</v>
      </c>
      <c r="K50" s="38" t="s">
        <v>1211</v>
      </c>
      <c r="L50" s="69">
        <f>120206.2</f>
        <v>120206.2</v>
      </c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44797</v>
      </c>
      <c r="K51" s="38" t="s">
        <v>1211</v>
      </c>
      <c r="L51" s="69">
        <v>79793.8</v>
      </c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44798</v>
      </c>
      <c r="K52" s="38" t="s">
        <v>1212</v>
      </c>
      <c r="L52" s="69">
        <v>16230.99</v>
      </c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>
        <v>44798</v>
      </c>
      <c r="K53" s="38" t="s">
        <v>1213</v>
      </c>
      <c r="L53" s="69">
        <v>28000</v>
      </c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>
        <v>44799</v>
      </c>
      <c r="K54" s="671" t="s">
        <v>1214</v>
      </c>
      <c r="L54" s="69">
        <v>5972.48</v>
      </c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>
        <v>44802</v>
      </c>
      <c r="K55" s="570" t="s">
        <v>1215</v>
      </c>
      <c r="L55" s="69">
        <v>7772</v>
      </c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>
        <v>44802</v>
      </c>
      <c r="K56" s="570" t="s">
        <v>1216</v>
      </c>
      <c r="L56" s="69">
        <v>30567.47</v>
      </c>
      <c r="M56" s="727"/>
      <c r="N56" s="727"/>
      <c r="P56" s="34"/>
      <c r="Q56" s="13"/>
    </row>
    <row r="57" spans="1:17" ht="18" hidden="1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hidden="1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hidden="1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hidden="1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hidden="1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1367024.73</v>
      </c>
      <c r="D67" s="88"/>
      <c r="E67" s="91" t="s">
        <v>8</v>
      </c>
      <c r="F67" s="90">
        <f>SUM(F5:F60)</f>
        <v>3202213</v>
      </c>
      <c r="G67" s="573"/>
      <c r="H67" s="91" t="s">
        <v>9</v>
      </c>
      <c r="I67" s="92">
        <f>SUM(I5:I60)</f>
        <v>79249</v>
      </c>
      <c r="J67" s="93"/>
      <c r="K67" s="94" t="s">
        <v>10</v>
      </c>
      <c r="L67" s="95">
        <f>SUM(L5:L65)-L26</f>
        <v>493824.52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8" t="s">
        <v>11</v>
      </c>
      <c r="I69" s="909"/>
      <c r="J69" s="559"/>
      <c r="K69" s="1033">
        <f>I67+L67</f>
        <v>573073.52</v>
      </c>
      <c r="L69" s="1034"/>
      <c r="M69" s="272"/>
      <c r="N69" s="272"/>
      <c r="P69" s="34"/>
      <c r="Q69" s="13"/>
    </row>
    <row r="70" spans="1:17" x14ac:dyDescent="0.25">
      <c r="D70" s="914" t="s">
        <v>12</v>
      </c>
      <c r="E70" s="914"/>
      <c r="F70" s="312">
        <f>F67-K69-C67</f>
        <v>1262114.75</v>
      </c>
      <c r="I70" s="102"/>
      <c r="J70" s="560"/>
    </row>
    <row r="71" spans="1:17" ht="18.75" x14ac:dyDescent="0.3">
      <c r="D71" s="938" t="s">
        <v>95</v>
      </c>
      <c r="E71" s="938"/>
      <c r="F71" s="111">
        <v>-1715125.23</v>
      </c>
      <c r="I71" s="915" t="s">
        <v>13</v>
      </c>
      <c r="J71" s="916"/>
      <c r="K71" s="917">
        <f>F73+F74+F75</f>
        <v>2249865.5500000003</v>
      </c>
      <c r="L71" s="91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-301758.96000000002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-754769.44</v>
      </c>
      <c r="H73" s="555"/>
      <c r="I73" s="108" t="s">
        <v>15</v>
      </c>
      <c r="J73" s="109"/>
      <c r="K73" s="1029">
        <f>-C4</f>
        <v>-2274653.09</v>
      </c>
      <c r="L73" s="917"/>
    </row>
    <row r="74" spans="1:17" ht="16.5" thickBot="1" x14ac:dyDescent="0.3">
      <c r="D74" s="110" t="s">
        <v>16</v>
      </c>
      <c r="E74" s="98" t="s">
        <v>17</v>
      </c>
      <c r="F74" s="111">
        <v>332079</v>
      </c>
    </row>
    <row r="75" spans="1:17" ht="20.25" thickTop="1" thickBot="1" x14ac:dyDescent="0.35">
      <c r="C75" s="112">
        <v>44801</v>
      </c>
      <c r="D75" s="897" t="s">
        <v>18</v>
      </c>
      <c r="E75" s="898"/>
      <c r="F75" s="113">
        <v>2672555.9900000002</v>
      </c>
      <c r="I75" s="899" t="s">
        <v>97</v>
      </c>
      <c r="J75" s="900"/>
      <c r="K75" s="901">
        <f>K71+K73</f>
        <v>-24787.539999999572</v>
      </c>
      <c r="L75" s="901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E31" workbookViewId="0">
      <selection activeCell="L47" sqref="L47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7.7109375" style="4" customWidth="1"/>
    <col min="6" max="6" width="22.140625" style="3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25">
      <c r="A3" s="454">
        <v>44774</v>
      </c>
      <c r="B3" s="246" t="s">
        <v>1162</v>
      </c>
      <c r="C3" s="111">
        <v>154625.5</v>
      </c>
      <c r="D3" s="652">
        <v>44837</v>
      </c>
      <c r="E3" s="653">
        <v>154625.5</v>
      </c>
      <c r="F3" s="410">
        <f>C3-E3</f>
        <v>0</v>
      </c>
      <c r="H3" s="744" t="s">
        <v>1217</v>
      </c>
      <c r="I3" s="745">
        <v>9938</v>
      </c>
      <c r="J3" s="746">
        <v>20969</v>
      </c>
      <c r="K3" s="853">
        <v>44853</v>
      </c>
      <c r="L3" s="854">
        <v>20969</v>
      </c>
      <c r="M3" s="183">
        <f>J3-L3</f>
        <v>0</v>
      </c>
    </row>
    <row r="4" spans="1:13" ht="18.75" x14ac:dyDescent="0.3">
      <c r="A4" s="454">
        <v>44775</v>
      </c>
      <c r="B4" s="246" t="s">
        <v>1163</v>
      </c>
      <c r="C4" s="111">
        <v>33703.32</v>
      </c>
      <c r="D4" s="652">
        <v>44837</v>
      </c>
      <c r="E4" s="653">
        <v>33703.32</v>
      </c>
      <c r="F4" s="544">
        <f t="shared" ref="F4:F65" si="0">C4-E4</f>
        <v>0</v>
      </c>
      <c r="G4" s="138"/>
      <c r="H4" s="747" t="s">
        <v>1217</v>
      </c>
      <c r="I4" s="748">
        <v>9940</v>
      </c>
      <c r="J4" s="749">
        <v>1080</v>
      </c>
      <c r="K4" s="853">
        <v>44853</v>
      </c>
      <c r="L4" s="855">
        <v>1080</v>
      </c>
      <c r="M4" s="137">
        <f>M3+J4-L4</f>
        <v>0</v>
      </c>
    </row>
    <row r="5" spans="1:13" ht="15.75" x14ac:dyDescent="0.25">
      <c r="A5" s="454">
        <v>44777</v>
      </c>
      <c r="B5" s="246" t="s">
        <v>1164</v>
      </c>
      <c r="C5" s="111">
        <v>100041.42</v>
      </c>
      <c r="D5" s="652">
        <v>44837</v>
      </c>
      <c r="E5" s="653">
        <v>100041.42</v>
      </c>
      <c r="F5" s="544">
        <f t="shared" si="0"/>
        <v>0</v>
      </c>
      <c r="H5" s="744" t="s">
        <v>1218</v>
      </c>
      <c r="I5" s="745">
        <v>9950</v>
      </c>
      <c r="J5" s="746">
        <v>300</v>
      </c>
      <c r="K5" s="853">
        <v>44853</v>
      </c>
      <c r="L5" s="855">
        <v>300</v>
      </c>
      <c r="M5" s="137">
        <f t="shared" ref="M5:M65" si="1">M4+J5-L5</f>
        <v>0</v>
      </c>
    </row>
    <row r="6" spans="1:13" ht="15.75" x14ac:dyDescent="0.25">
      <c r="A6" s="454">
        <v>44778</v>
      </c>
      <c r="B6" s="246" t="s">
        <v>1165</v>
      </c>
      <c r="C6" s="111">
        <v>83301.009999999995</v>
      </c>
      <c r="D6" s="652">
        <v>44837</v>
      </c>
      <c r="E6" s="653">
        <v>83301.009999999995</v>
      </c>
      <c r="F6" s="544">
        <f t="shared" si="0"/>
        <v>0</v>
      </c>
      <c r="H6" s="747" t="s">
        <v>1219</v>
      </c>
      <c r="I6" s="748">
        <v>9963</v>
      </c>
      <c r="J6" s="749">
        <v>1907.2</v>
      </c>
      <c r="K6" s="853">
        <v>44853</v>
      </c>
      <c r="L6" s="855">
        <v>1907.2</v>
      </c>
      <c r="M6" s="137">
        <f t="shared" si="1"/>
        <v>0</v>
      </c>
    </row>
    <row r="7" spans="1:13" ht="15.75" x14ac:dyDescent="0.25">
      <c r="A7" s="454">
        <v>44779</v>
      </c>
      <c r="B7" s="246" t="s">
        <v>1166</v>
      </c>
      <c r="C7" s="111">
        <v>109154.04</v>
      </c>
      <c r="D7" s="652">
        <v>44837</v>
      </c>
      <c r="E7" s="653">
        <v>109154.04</v>
      </c>
      <c r="F7" s="544">
        <f t="shared" si="0"/>
        <v>0</v>
      </c>
      <c r="H7" s="747" t="s">
        <v>1220</v>
      </c>
      <c r="I7" s="748">
        <v>9981</v>
      </c>
      <c r="J7" s="749">
        <v>500</v>
      </c>
      <c r="K7" s="853">
        <v>44853</v>
      </c>
      <c r="L7" s="855">
        <v>500</v>
      </c>
      <c r="M7" s="137">
        <f t="shared" si="1"/>
        <v>0</v>
      </c>
    </row>
    <row r="8" spans="1:13" ht="15.75" x14ac:dyDescent="0.25">
      <c r="A8" s="454">
        <v>44781</v>
      </c>
      <c r="B8" s="246" t="s">
        <v>1167</v>
      </c>
      <c r="C8" s="111">
        <v>157421.98000000001</v>
      </c>
      <c r="D8" s="652">
        <v>44837</v>
      </c>
      <c r="E8" s="653">
        <v>157421.98000000001</v>
      </c>
      <c r="F8" s="544">
        <f t="shared" si="0"/>
        <v>0</v>
      </c>
      <c r="H8" s="744" t="s">
        <v>1220</v>
      </c>
      <c r="I8" s="745">
        <v>9985</v>
      </c>
      <c r="J8" s="746">
        <v>2866.38</v>
      </c>
      <c r="K8" s="853">
        <v>44853</v>
      </c>
      <c r="L8" s="855">
        <v>2866.38</v>
      </c>
      <c r="M8" s="137">
        <f t="shared" si="1"/>
        <v>0</v>
      </c>
    </row>
    <row r="9" spans="1:13" ht="15.75" x14ac:dyDescent="0.25">
      <c r="A9" s="454">
        <v>44782</v>
      </c>
      <c r="B9" s="246" t="s">
        <v>1168</v>
      </c>
      <c r="C9" s="111">
        <v>112479.02</v>
      </c>
      <c r="D9" s="652">
        <v>44837</v>
      </c>
      <c r="E9" s="653">
        <v>112479.02</v>
      </c>
      <c r="F9" s="544">
        <f t="shared" si="0"/>
        <v>0</v>
      </c>
      <c r="H9" s="744" t="s">
        <v>1221</v>
      </c>
      <c r="I9" s="745">
        <v>9988</v>
      </c>
      <c r="J9" s="746">
        <v>13086.8</v>
      </c>
      <c r="K9" s="853">
        <v>44853</v>
      </c>
      <c r="L9" s="855">
        <v>13086.8</v>
      </c>
      <c r="M9" s="137">
        <f t="shared" si="1"/>
        <v>0</v>
      </c>
    </row>
    <row r="10" spans="1:13" ht="18.75" x14ac:dyDescent="0.3">
      <c r="A10" s="454">
        <v>44783</v>
      </c>
      <c r="B10" s="246" t="s">
        <v>1169</v>
      </c>
      <c r="C10" s="111">
        <v>21000.400000000001</v>
      </c>
      <c r="D10" s="652">
        <v>44837</v>
      </c>
      <c r="E10" s="653">
        <v>21000.400000000001</v>
      </c>
      <c r="F10" s="544">
        <f t="shared" si="0"/>
        <v>0</v>
      </c>
      <c r="G10" s="138"/>
      <c r="H10" s="747" t="s">
        <v>1222</v>
      </c>
      <c r="I10" s="748">
        <v>10001</v>
      </c>
      <c r="J10" s="749">
        <v>300</v>
      </c>
      <c r="K10" s="853">
        <v>44853</v>
      </c>
      <c r="L10" s="855">
        <v>300</v>
      </c>
      <c r="M10" s="137">
        <f t="shared" si="1"/>
        <v>0</v>
      </c>
    </row>
    <row r="11" spans="1:13" ht="15.75" x14ac:dyDescent="0.25">
      <c r="A11" s="454">
        <v>44784</v>
      </c>
      <c r="B11" s="246" t="s">
        <v>1170</v>
      </c>
      <c r="C11" s="111">
        <v>60532.46</v>
      </c>
      <c r="D11" s="652">
        <v>44837</v>
      </c>
      <c r="E11" s="653">
        <v>60532.46</v>
      </c>
      <c r="F11" s="544">
        <f t="shared" si="0"/>
        <v>0</v>
      </c>
      <c r="H11" s="744" t="s">
        <v>1223</v>
      </c>
      <c r="I11" s="745">
        <v>10011</v>
      </c>
      <c r="J11" s="746">
        <v>3566.2</v>
      </c>
      <c r="K11" s="853">
        <v>44853</v>
      </c>
      <c r="L11" s="855">
        <v>3566.2</v>
      </c>
      <c r="M11" s="137">
        <f t="shared" si="1"/>
        <v>0</v>
      </c>
    </row>
    <row r="12" spans="1:13" ht="15.75" x14ac:dyDescent="0.25">
      <c r="A12" s="454">
        <v>44785</v>
      </c>
      <c r="B12" s="246" t="s">
        <v>1171</v>
      </c>
      <c r="C12" s="111">
        <v>73336.13</v>
      </c>
      <c r="D12" s="652">
        <v>44837</v>
      </c>
      <c r="E12" s="653">
        <v>73336.13</v>
      </c>
      <c r="F12" s="544">
        <f t="shared" si="0"/>
        <v>0</v>
      </c>
      <c r="H12" s="747" t="s">
        <v>1223</v>
      </c>
      <c r="I12" s="748">
        <v>10013</v>
      </c>
      <c r="J12" s="749">
        <v>500</v>
      </c>
      <c r="K12" s="853">
        <v>44853</v>
      </c>
      <c r="L12" s="855">
        <v>500</v>
      </c>
      <c r="M12" s="137">
        <f t="shared" si="1"/>
        <v>0</v>
      </c>
    </row>
    <row r="13" spans="1:13" ht="15.75" x14ac:dyDescent="0.25">
      <c r="A13" s="454">
        <v>44786</v>
      </c>
      <c r="B13" s="246" t="s">
        <v>1172</v>
      </c>
      <c r="C13" s="111">
        <v>104138.62</v>
      </c>
      <c r="D13" s="652">
        <v>44837</v>
      </c>
      <c r="E13" s="653">
        <v>104138.62</v>
      </c>
      <c r="F13" s="544">
        <f t="shared" si="0"/>
        <v>0</v>
      </c>
      <c r="H13" s="747" t="s">
        <v>1224</v>
      </c>
      <c r="I13" s="748">
        <v>10017</v>
      </c>
      <c r="J13" s="749">
        <v>1380</v>
      </c>
      <c r="K13" s="853">
        <v>44853</v>
      </c>
      <c r="L13" s="855">
        <v>1380</v>
      </c>
      <c r="M13" s="137">
        <f t="shared" si="1"/>
        <v>0</v>
      </c>
    </row>
    <row r="14" spans="1:13" ht="31.5" x14ac:dyDescent="0.25">
      <c r="A14" s="454">
        <v>44788</v>
      </c>
      <c r="B14" s="246" t="s">
        <v>1173</v>
      </c>
      <c r="C14" s="111">
        <v>120814.64</v>
      </c>
      <c r="D14" s="797" t="s">
        <v>1371</v>
      </c>
      <c r="E14" s="653">
        <f>76948.57+43866.07</f>
        <v>120814.64000000001</v>
      </c>
      <c r="F14" s="544">
        <f t="shared" si="0"/>
        <v>0</v>
      </c>
      <c r="H14" s="744" t="s">
        <v>1225</v>
      </c>
      <c r="I14" s="745">
        <v>10036</v>
      </c>
      <c r="J14" s="746">
        <v>1800</v>
      </c>
      <c r="K14" s="853">
        <v>44853</v>
      </c>
      <c r="L14" s="855">
        <v>1800</v>
      </c>
      <c r="M14" s="137">
        <f t="shared" si="1"/>
        <v>0</v>
      </c>
    </row>
    <row r="15" spans="1:13" ht="15.75" x14ac:dyDescent="0.25">
      <c r="A15" s="454">
        <v>44789</v>
      </c>
      <c r="B15" s="246" t="s">
        <v>1174</v>
      </c>
      <c r="C15" s="111">
        <v>19406.900000000001</v>
      </c>
      <c r="D15" s="584">
        <v>44841</v>
      </c>
      <c r="E15" s="585">
        <v>19406.900000000001</v>
      </c>
      <c r="F15" s="544">
        <f t="shared" si="0"/>
        <v>0</v>
      </c>
      <c r="H15" s="747" t="s">
        <v>1226</v>
      </c>
      <c r="I15" s="748">
        <v>10049</v>
      </c>
      <c r="J15" s="749">
        <v>13000.8</v>
      </c>
      <c r="K15" s="853">
        <v>44853</v>
      </c>
      <c r="L15" s="855">
        <v>13000.8</v>
      </c>
      <c r="M15" s="137">
        <f t="shared" si="1"/>
        <v>0</v>
      </c>
    </row>
    <row r="16" spans="1:13" ht="15.75" x14ac:dyDescent="0.25">
      <c r="A16" s="454">
        <v>44790</v>
      </c>
      <c r="B16" s="246" t="s">
        <v>1175</v>
      </c>
      <c r="C16" s="111">
        <v>67461.399999999994</v>
      </c>
      <c r="D16" s="584">
        <v>44841</v>
      </c>
      <c r="E16" s="585">
        <v>67461.399999999994</v>
      </c>
      <c r="F16" s="544">
        <f t="shared" si="0"/>
        <v>0</v>
      </c>
      <c r="H16" s="744" t="s">
        <v>1227</v>
      </c>
      <c r="I16" s="745">
        <v>10054</v>
      </c>
      <c r="J16" s="746">
        <v>30306.68</v>
      </c>
      <c r="K16" s="853">
        <v>44853</v>
      </c>
      <c r="L16" s="855">
        <v>30306.68</v>
      </c>
      <c r="M16" s="137">
        <f t="shared" si="1"/>
        <v>0</v>
      </c>
    </row>
    <row r="17" spans="1:13" ht="15.75" x14ac:dyDescent="0.25">
      <c r="A17" s="454">
        <v>44791</v>
      </c>
      <c r="B17" s="246" t="s">
        <v>1176</v>
      </c>
      <c r="C17" s="111">
        <v>79085.52</v>
      </c>
      <c r="D17" s="584">
        <v>44841</v>
      </c>
      <c r="E17" s="585">
        <v>79085.52</v>
      </c>
      <c r="F17" s="544">
        <f t="shared" si="0"/>
        <v>0</v>
      </c>
      <c r="H17" s="747" t="s">
        <v>1228</v>
      </c>
      <c r="I17" s="748">
        <v>10063</v>
      </c>
      <c r="J17" s="749">
        <v>400</v>
      </c>
      <c r="K17" s="853">
        <v>44853</v>
      </c>
      <c r="L17" s="855">
        <v>400</v>
      </c>
      <c r="M17" s="137">
        <f t="shared" si="1"/>
        <v>0</v>
      </c>
    </row>
    <row r="18" spans="1:13" ht="15.75" x14ac:dyDescent="0.25">
      <c r="A18" s="454">
        <v>44791</v>
      </c>
      <c r="B18" s="246" t="s">
        <v>1177</v>
      </c>
      <c r="C18" s="111">
        <v>543.20000000000005</v>
      </c>
      <c r="D18" s="584">
        <v>44841</v>
      </c>
      <c r="E18" s="585">
        <v>543.20000000000005</v>
      </c>
      <c r="F18" s="544">
        <f t="shared" si="0"/>
        <v>0</v>
      </c>
      <c r="H18" s="747" t="s">
        <v>1229</v>
      </c>
      <c r="I18" s="748">
        <v>10067</v>
      </c>
      <c r="J18" s="749">
        <v>0</v>
      </c>
      <c r="K18" s="853">
        <v>44853</v>
      </c>
      <c r="L18" s="855">
        <v>0</v>
      </c>
      <c r="M18" s="137">
        <f t="shared" si="1"/>
        <v>0</v>
      </c>
    </row>
    <row r="19" spans="1:13" ht="31.5" x14ac:dyDescent="0.25">
      <c r="A19" s="454">
        <v>44792</v>
      </c>
      <c r="B19" s="246" t="s">
        <v>1178</v>
      </c>
      <c r="C19" s="111">
        <v>22809.58</v>
      </c>
      <c r="D19" s="806" t="s">
        <v>1373</v>
      </c>
      <c r="E19" s="585">
        <f>16600.41+6209.17</f>
        <v>22809.58</v>
      </c>
      <c r="F19" s="544">
        <f t="shared" si="0"/>
        <v>0</v>
      </c>
      <c r="H19" s="744" t="s">
        <v>1229</v>
      </c>
      <c r="I19" s="745">
        <v>10068</v>
      </c>
      <c r="J19" s="746">
        <v>65604</v>
      </c>
      <c r="K19" s="853">
        <v>44853</v>
      </c>
      <c r="L19" s="855">
        <v>65604</v>
      </c>
      <c r="M19" s="137">
        <f t="shared" si="1"/>
        <v>0</v>
      </c>
    </row>
    <row r="20" spans="1:13" ht="15.75" x14ac:dyDescent="0.25">
      <c r="A20" s="454">
        <v>44793</v>
      </c>
      <c r="B20" s="246" t="s">
        <v>1179</v>
      </c>
      <c r="C20" s="111">
        <v>95140.96</v>
      </c>
      <c r="D20" s="807">
        <v>44842</v>
      </c>
      <c r="E20" s="707">
        <v>95140.96</v>
      </c>
      <c r="F20" s="544">
        <f t="shared" si="0"/>
        <v>0</v>
      </c>
      <c r="H20" s="744" t="s">
        <v>1230</v>
      </c>
      <c r="I20" s="745">
        <v>10080</v>
      </c>
      <c r="J20" s="746">
        <v>24654.400000000001</v>
      </c>
      <c r="K20" s="853">
        <v>44853</v>
      </c>
      <c r="L20" s="855">
        <v>24654.400000000001</v>
      </c>
      <c r="M20" s="137">
        <f t="shared" si="1"/>
        <v>0</v>
      </c>
    </row>
    <row r="21" spans="1:13" ht="15.75" x14ac:dyDescent="0.25">
      <c r="A21" s="454">
        <v>44793</v>
      </c>
      <c r="B21" s="246" t="s">
        <v>1180</v>
      </c>
      <c r="C21" s="111">
        <v>1861.5</v>
      </c>
      <c r="D21" s="807">
        <v>44842</v>
      </c>
      <c r="E21" s="707">
        <v>1861.5</v>
      </c>
      <c r="F21" s="544">
        <f t="shared" si="0"/>
        <v>0</v>
      </c>
      <c r="H21" s="747" t="s">
        <v>1231</v>
      </c>
      <c r="I21" s="748">
        <v>10085</v>
      </c>
      <c r="J21" s="749">
        <v>2029.1</v>
      </c>
      <c r="K21" s="853">
        <v>44853</v>
      </c>
      <c r="L21" s="855">
        <v>2029.1</v>
      </c>
      <c r="M21" s="137">
        <f t="shared" si="1"/>
        <v>0</v>
      </c>
    </row>
    <row r="22" spans="1:13" ht="18.75" x14ac:dyDescent="0.3">
      <c r="A22" s="454">
        <v>44795</v>
      </c>
      <c r="B22" s="246" t="s">
        <v>1181</v>
      </c>
      <c r="C22" s="111">
        <v>108419.36</v>
      </c>
      <c r="D22" s="807">
        <v>44842</v>
      </c>
      <c r="E22" s="707">
        <v>108419.36</v>
      </c>
      <c r="F22" s="544">
        <f t="shared" si="0"/>
        <v>0</v>
      </c>
      <c r="G22" s="644"/>
      <c r="H22" s="747" t="s">
        <v>1231</v>
      </c>
      <c r="I22" s="748">
        <v>10087</v>
      </c>
      <c r="J22" s="749">
        <v>16779.599999999999</v>
      </c>
      <c r="K22" s="853">
        <v>44853</v>
      </c>
      <c r="L22" s="855">
        <v>16779.599999999999</v>
      </c>
      <c r="M22" s="137">
        <f t="shared" si="1"/>
        <v>0</v>
      </c>
    </row>
    <row r="23" spans="1:13" ht="15.75" x14ac:dyDescent="0.25">
      <c r="A23" s="454">
        <v>44796</v>
      </c>
      <c r="B23" s="246" t="s">
        <v>1192</v>
      </c>
      <c r="C23" s="111">
        <v>17118</v>
      </c>
      <c r="D23" s="807">
        <v>44842</v>
      </c>
      <c r="E23" s="707">
        <v>17118</v>
      </c>
      <c r="F23" s="544">
        <f t="shared" si="0"/>
        <v>0</v>
      </c>
      <c r="G23" s="2"/>
      <c r="H23" s="744" t="s">
        <v>1232</v>
      </c>
      <c r="I23" s="745">
        <v>10106</v>
      </c>
      <c r="J23" s="746">
        <v>3162</v>
      </c>
      <c r="K23" s="853">
        <v>44853</v>
      </c>
      <c r="L23" s="855">
        <v>3162</v>
      </c>
      <c r="M23" s="137">
        <f t="shared" si="1"/>
        <v>0</v>
      </c>
    </row>
    <row r="24" spans="1:13" ht="21" customHeight="1" x14ac:dyDescent="0.25">
      <c r="A24" s="454">
        <v>44797</v>
      </c>
      <c r="B24" s="246" t="s">
        <v>1193</v>
      </c>
      <c r="C24" s="111">
        <v>35648.26</v>
      </c>
      <c r="D24" s="807">
        <v>44842</v>
      </c>
      <c r="E24" s="707">
        <v>35648.26</v>
      </c>
      <c r="F24" s="544">
        <f t="shared" si="0"/>
        <v>0</v>
      </c>
      <c r="G24" s="2"/>
      <c r="H24" s="747" t="s">
        <v>1232</v>
      </c>
      <c r="I24" s="748">
        <v>10107</v>
      </c>
      <c r="J24" s="749">
        <v>43133.2</v>
      </c>
      <c r="K24" s="853">
        <v>44853</v>
      </c>
      <c r="L24" s="855">
        <v>43133.2</v>
      </c>
      <c r="M24" s="137">
        <f t="shared" si="1"/>
        <v>0</v>
      </c>
    </row>
    <row r="25" spans="1:13" ht="31.5" x14ac:dyDescent="0.25">
      <c r="A25" s="454">
        <v>44797</v>
      </c>
      <c r="B25" s="246" t="s">
        <v>1194</v>
      </c>
      <c r="C25" s="111">
        <v>104295.06</v>
      </c>
      <c r="D25" s="809" t="s">
        <v>1374</v>
      </c>
      <c r="E25" s="707">
        <f>6215.75+98079.31</f>
        <v>104295.06</v>
      </c>
      <c r="F25" s="544">
        <f t="shared" si="0"/>
        <v>0</v>
      </c>
      <c r="G25" s="645"/>
      <c r="H25" s="747" t="s">
        <v>1233</v>
      </c>
      <c r="I25" s="748">
        <v>10115</v>
      </c>
      <c r="J25" s="749">
        <v>11058</v>
      </c>
      <c r="K25" s="853">
        <v>44853</v>
      </c>
      <c r="L25" s="855">
        <v>11058</v>
      </c>
      <c r="M25" s="137">
        <f t="shared" si="1"/>
        <v>0</v>
      </c>
    </row>
    <row r="26" spans="1:13" ht="15.75" x14ac:dyDescent="0.25">
      <c r="A26" s="454">
        <v>44798</v>
      </c>
      <c r="B26" s="580" t="s">
        <v>1195</v>
      </c>
      <c r="C26" s="111">
        <v>7764.05</v>
      </c>
      <c r="D26" s="808">
        <v>44845</v>
      </c>
      <c r="E26" s="261">
        <v>7764.05</v>
      </c>
      <c r="F26" s="544">
        <f t="shared" si="0"/>
        <v>0</v>
      </c>
      <c r="G26" s="645"/>
      <c r="H26" s="747" t="s">
        <v>1234</v>
      </c>
      <c r="I26" s="748">
        <v>10123</v>
      </c>
      <c r="J26" s="749">
        <v>2038</v>
      </c>
      <c r="K26" s="853">
        <v>44853</v>
      </c>
      <c r="L26" s="855">
        <v>2038</v>
      </c>
      <c r="M26" s="137">
        <f t="shared" si="1"/>
        <v>0</v>
      </c>
    </row>
    <row r="27" spans="1:13" ht="15.75" x14ac:dyDescent="0.25">
      <c r="A27" s="454">
        <v>44799</v>
      </c>
      <c r="B27" s="246" t="s">
        <v>1196</v>
      </c>
      <c r="C27" s="111">
        <v>25022.9</v>
      </c>
      <c r="D27" s="808">
        <v>44845</v>
      </c>
      <c r="E27" s="261">
        <v>25022.9</v>
      </c>
      <c r="F27" s="544">
        <f t="shared" si="0"/>
        <v>0</v>
      </c>
      <c r="G27" s="645"/>
      <c r="H27" s="744" t="s">
        <v>1234</v>
      </c>
      <c r="I27" s="745">
        <v>10124</v>
      </c>
      <c r="J27" s="746">
        <v>26455.599999999999</v>
      </c>
      <c r="K27" s="853">
        <v>44853</v>
      </c>
      <c r="L27" s="855">
        <v>26455.599999999999</v>
      </c>
      <c r="M27" s="137">
        <f t="shared" si="1"/>
        <v>0</v>
      </c>
    </row>
    <row r="28" spans="1:13" ht="15.75" x14ac:dyDescent="0.25">
      <c r="A28" s="454"/>
      <c r="B28" s="246"/>
      <c r="C28" s="111"/>
      <c r="D28" s="412"/>
      <c r="E28" s="111"/>
      <c r="F28" s="544">
        <f t="shared" si="0"/>
        <v>0</v>
      </c>
      <c r="G28" s="645"/>
      <c r="H28" s="744" t="s">
        <v>1235</v>
      </c>
      <c r="I28" s="745">
        <v>10134</v>
      </c>
      <c r="J28" s="746">
        <v>1670</v>
      </c>
      <c r="K28" s="853">
        <v>44853</v>
      </c>
      <c r="L28" s="855">
        <v>1670</v>
      </c>
      <c r="M28" s="137">
        <f t="shared" si="1"/>
        <v>0</v>
      </c>
    </row>
    <row r="29" spans="1:13" ht="15.75" x14ac:dyDescent="0.25">
      <c r="A29" s="454"/>
      <c r="B29" s="246"/>
      <c r="C29" s="111"/>
      <c r="D29" s="412"/>
      <c r="E29" s="111"/>
      <c r="F29" s="544">
        <f t="shared" si="0"/>
        <v>0</v>
      </c>
      <c r="G29" s="645"/>
      <c r="H29" s="744" t="s">
        <v>1235</v>
      </c>
      <c r="I29" s="745">
        <v>10136</v>
      </c>
      <c r="J29" s="746">
        <v>550</v>
      </c>
      <c r="K29" s="853">
        <v>44853</v>
      </c>
      <c r="L29" s="855">
        <v>550</v>
      </c>
      <c r="M29" s="137">
        <f t="shared" si="1"/>
        <v>0</v>
      </c>
    </row>
    <row r="30" spans="1:13" ht="15.75" x14ac:dyDescent="0.25">
      <c r="A30" s="454"/>
      <c r="B30" s="246"/>
      <c r="C30" s="111"/>
      <c r="D30" s="412"/>
      <c r="E30" s="111"/>
      <c r="F30" s="544">
        <f t="shared" si="0"/>
        <v>0</v>
      </c>
      <c r="G30" s="645"/>
      <c r="H30" s="747" t="s">
        <v>1236</v>
      </c>
      <c r="I30" s="748">
        <v>10141</v>
      </c>
      <c r="J30" s="749">
        <v>440</v>
      </c>
      <c r="K30" s="853">
        <v>44853</v>
      </c>
      <c r="L30" s="855">
        <v>440</v>
      </c>
      <c r="M30" s="137">
        <f t="shared" si="1"/>
        <v>0</v>
      </c>
    </row>
    <row r="31" spans="1:13" ht="15.75" x14ac:dyDescent="0.25">
      <c r="A31" s="454"/>
      <c r="B31" s="246"/>
      <c r="C31" s="111"/>
      <c r="D31" s="412"/>
      <c r="E31" s="111"/>
      <c r="F31" s="544">
        <f t="shared" si="0"/>
        <v>0</v>
      </c>
      <c r="G31" s="2"/>
      <c r="H31" s="747" t="s">
        <v>1237</v>
      </c>
      <c r="I31" s="748">
        <v>10148</v>
      </c>
      <c r="J31" s="749">
        <v>1298</v>
      </c>
      <c r="K31" s="853">
        <v>44853</v>
      </c>
      <c r="L31" s="855">
        <v>1298</v>
      </c>
      <c r="M31" s="137">
        <f t="shared" si="1"/>
        <v>0</v>
      </c>
    </row>
    <row r="32" spans="1:13" ht="15.75" x14ac:dyDescent="0.25">
      <c r="A32" s="454"/>
      <c r="B32" s="246"/>
      <c r="C32" s="111"/>
      <c r="D32" s="412"/>
      <c r="E32" s="111"/>
      <c r="F32" s="544">
        <f t="shared" si="0"/>
        <v>0</v>
      </c>
      <c r="G32" s="2"/>
      <c r="H32" s="744" t="s">
        <v>1238</v>
      </c>
      <c r="I32" s="745">
        <v>10160</v>
      </c>
      <c r="J32" s="746">
        <v>9934</v>
      </c>
      <c r="K32" s="853">
        <v>44853</v>
      </c>
      <c r="L32" s="855">
        <v>9934</v>
      </c>
      <c r="M32" s="137">
        <f t="shared" si="1"/>
        <v>0</v>
      </c>
    </row>
    <row r="33" spans="1:13" ht="15.75" x14ac:dyDescent="0.25">
      <c r="A33" s="454"/>
      <c r="B33" s="246"/>
      <c r="C33" s="111"/>
      <c r="D33" s="412"/>
      <c r="E33" s="111"/>
      <c r="F33" s="544">
        <f t="shared" si="0"/>
        <v>0</v>
      </c>
      <c r="H33" s="747" t="s">
        <v>1239</v>
      </c>
      <c r="I33" s="748">
        <v>10183</v>
      </c>
      <c r="J33" s="749">
        <v>550</v>
      </c>
      <c r="K33" s="853">
        <v>44853</v>
      </c>
      <c r="L33" s="855">
        <v>550</v>
      </c>
      <c r="M33" s="137">
        <f t="shared" si="1"/>
        <v>0</v>
      </c>
    </row>
    <row r="34" spans="1:13" ht="15.75" x14ac:dyDescent="0.25">
      <c r="A34" s="454"/>
      <c r="B34" s="246"/>
      <c r="C34" s="111"/>
      <c r="D34" s="412"/>
      <c r="E34" s="111"/>
      <c r="F34" s="544">
        <f t="shared" si="0"/>
        <v>0</v>
      </c>
      <c r="H34" s="744" t="s">
        <v>1240</v>
      </c>
      <c r="I34" s="745">
        <v>10187</v>
      </c>
      <c r="J34" s="746">
        <v>440</v>
      </c>
      <c r="K34" s="853">
        <v>44853</v>
      </c>
      <c r="L34" s="855">
        <v>440</v>
      </c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5.75" x14ac:dyDescent="0.25">
      <c r="A37" s="454"/>
      <c r="B37" s="246"/>
      <c r="C37" s="111"/>
      <c r="D37" s="412"/>
      <c r="E37" s="111"/>
      <c r="F37" s="544">
        <f t="shared" si="0"/>
        <v>0</v>
      </c>
      <c r="H37" s="1041" t="s">
        <v>1450</v>
      </c>
      <c r="I37" s="1042"/>
      <c r="J37" s="1042"/>
      <c r="K37" s="1043"/>
      <c r="L37" s="111"/>
      <c r="M37" s="137">
        <f t="shared" si="1"/>
        <v>0</v>
      </c>
    </row>
    <row r="38" spans="1:13" ht="15.75" x14ac:dyDescent="0.25">
      <c r="A38" s="454"/>
      <c r="B38" s="246"/>
      <c r="C38" s="111"/>
      <c r="D38" s="412"/>
      <c r="E38" s="111"/>
      <c r="F38" s="544">
        <f t="shared" si="0"/>
        <v>0</v>
      </c>
      <c r="H38" s="1041"/>
      <c r="I38" s="1042"/>
      <c r="J38" s="1042"/>
      <c r="K38" s="1043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990" t="s">
        <v>594</v>
      </c>
      <c r="I40" s="991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992"/>
      <c r="I41" s="993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994"/>
      <c r="I42" s="995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4" thickTop="1" x14ac:dyDescent="0.35">
      <c r="B67" s="440"/>
      <c r="C67" s="212">
        <f>SUM(C3:C66)</f>
        <v>1715125.23</v>
      </c>
      <c r="D67" s="407"/>
      <c r="E67" s="395">
        <f>SUM(E3:E66)</f>
        <v>1715125.23</v>
      </c>
      <c r="F67" s="153">
        <f>SUM(F3:F66)</f>
        <v>0</v>
      </c>
      <c r="G67" s="798" t="s">
        <v>1372</v>
      </c>
      <c r="H67" s="986" t="s">
        <v>594</v>
      </c>
      <c r="I67" s="987"/>
      <c r="J67" s="642">
        <f>SUM(J3:J66)</f>
        <v>301758.95999999996</v>
      </c>
      <c r="K67" s="713"/>
      <c r="L67" s="209">
        <f>SUM(L3:L66)</f>
        <v>301758.95999999996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948" t="s">
        <v>207</v>
      </c>
      <c r="H68" s="988"/>
      <c r="I68" s="989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949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6.5" thickBot="1" x14ac:dyDescent="0.3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799"/>
      <c r="C72" s="126"/>
      <c r="D72" s="800"/>
      <c r="E72" s="760"/>
      <c r="F72" s="127"/>
      <c r="H72" s="814"/>
      <c r="I72" s="815"/>
      <c r="J72" s="816"/>
      <c r="L72"/>
      <c r="M72"/>
    </row>
    <row r="73" spans="1:13" ht="15.75" customHeight="1" thickBot="1" x14ac:dyDescent="0.3">
      <c r="A73" s="98"/>
      <c r="B73" s="799"/>
      <c r="C73" s="126"/>
      <c r="D73" s="800"/>
      <c r="E73" s="760"/>
      <c r="F73" s="127"/>
      <c r="H73" s="1050" t="s">
        <v>1376</v>
      </c>
      <c r="I73" s="1051"/>
      <c r="J73" s="1052"/>
      <c r="L73"/>
      <c r="M73"/>
    </row>
    <row r="74" spans="1:13" ht="18.75" customHeight="1" thickBot="1" x14ac:dyDescent="0.3">
      <c r="A74" s="98"/>
      <c r="B74" s="799"/>
      <c r="C74" s="129"/>
      <c r="D74" s="800"/>
      <c r="E74" s="1056" t="s">
        <v>1375</v>
      </c>
      <c r="F74" s="1057"/>
      <c r="H74" s="1053"/>
      <c r="I74" s="1054"/>
      <c r="J74" s="1055"/>
      <c r="L74"/>
      <c r="M74"/>
    </row>
    <row r="75" spans="1:13" ht="17.25" thickTop="1" thickBot="1" x14ac:dyDescent="0.3">
      <c r="A75" s="98"/>
      <c r="B75" s="799"/>
      <c r="C75" s="233"/>
      <c r="D75" s="800"/>
      <c r="E75" s="1058"/>
      <c r="F75" s="1059"/>
      <c r="H75" s="817"/>
      <c r="I75" s="760"/>
      <c r="J75" s="818"/>
      <c r="L75"/>
      <c r="M75"/>
    </row>
    <row r="76" spans="1:13" ht="16.5" thickBot="1" x14ac:dyDescent="0.3">
      <c r="A76" s="98"/>
      <c r="B76" s="799"/>
      <c r="C76" s="233"/>
      <c r="D76" s="800"/>
      <c r="E76" s="811"/>
      <c r="F76" s="810"/>
      <c r="H76" s="817"/>
      <c r="I76" s="760"/>
      <c r="J76" s="818"/>
      <c r="L76"/>
      <c r="M76"/>
    </row>
    <row r="77" spans="1:13" ht="27" thickBot="1" x14ac:dyDescent="0.45">
      <c r="A77" s="98"/>
      <c r="B77" s="799"/>
      <c r="C77" s="233"/>
      <c r="D77" s="800"/>
      <c r="E77" s="1045">
        <v>642271.04</v>
      </c>
      <c r="F77" s="1046"/>
      <c r="H77" s="1047">
        <v>584997.29</v>
      </c>
      <c r="I77" s="1048"/>
      <c r="J77" s="1049"/>
      <c r="L77"/>
      <c r="M77"/>
    </row>
    <row r="78" spans="1:13" ht="16.5" thickBot="1" x14ac:dyDescent="0.3">
      <c r="A78" s="98"/>
      <c r="B78" s="799"/>
      <c r="C78" s="233"/>
      <c r="D78" s="800"/>
      <c r="E78" s="812"/>
      <c r="F78" s="813"/>
      <c r="H78" s="817"/>
      <c r="I78" s="760"/>
      <c r="J78" s="818"/>
      <c r="L78"/>
      <c r="M78"/>
    </row>
    <row r="79" spans="1:13" ht="15.75" x14ac:dyDescent="0.25">
      <c r="A79" s="98"/>
      <c r="B79" s="799"/>
      <c r="C79" s="233"/>
      <c r="D79" s="800"/>
      <c r="E79" s="233"/>
      <c r="F79" s="127"/>
      <c r="H79" s="817"/>
      <c r="I79" s="760"/>
      <c r="J79" s="818"/>
      <c r="L79"/>
      <c r="M79"/>
    </row>
    <row r="80" spans="1:13" ht="15.75" x14ac:dyDescent="0.25">
      <c r="A80" s="98"/>
      <c r="B80" s="799"/>
      <c r="C80" s="233"/>
      <c r="D80" s="800"/>
      <c r="E80" s="233"/>
      <c r="F80" s="1044" t="s">
        <v>1377</v>
      </c>
      <c r="G80" s="1044"/>
      <c r="H80" s="1044"/>
      <c r="I80" s="1044"/>
      <c r="J80" s="818"/>
      <c r="L80"/>
      <c r="M80"/>
    </row>
    <row r="81" spans="1:13" ht="16.5" thickBot="1" x14ac:dyDescent="0.3">
      <c r="A81" s="98"/>
      <c r="B81" s="757"/>
      <c r="C81" s="233"/>
      <c r="D81" s="800"/>
      <c r="E81" s="126"/>
      <c r="F81" s="1044"/>
      <c r="G81" s="1044"/>
      <c r="H81" s="1044"/>
      <c r="I81" s="1044"/>
      <c r="J81" s="819"/>
      <c r="L81"/>
      <c r="M81"/>
    </row>
    <row r="82" spans="1:13" ht="15.75" x14ac:dyDescent="0.25">
      <c r="A82" s="98"/>
      <c r="B82" s="757"/>
      <c r="C82" s="233"/>
      <c r="D82" s="800"/>
      <c r="E82" s="126"/>
      <c r="F82" s="127"/>
      <c r="H82"/>
      <c r="I82"/>
      <c r="J82"/>
      <c r="L82"/>
      <c r="M82"/>
    </row>
    <row r="83" spans="1:13" ht="15.75" x14ac:dyDescent="0.25">
      <c r="A83" s="98"/>
      <c r="B83" s="757"/>
      <c r="C83" s="233"/>
      <c r="D83" s="800"/>
      <c r="E83" s="126"/>
      <c r="F83" s="127"/>
      <c r="H83"/>
      <c r="I83"/>
      <c r="J83"/>
      <c r="L83"/>
      <c r="M83"/>
    </row>
    <row r="84" spans="1:13" ht="15.75" x14ac:dyDescent="0.25">
      <c r="A84" s="98"/>
      <c r="B84" s="757"/>
      <c r="C84" s="233"/>
      <c r="D84" s="800"/>
      <c r="E84" s="126"/>
      <c r="F84" s="127"/>
      <c r="H84"/>
      <c r="I84"/>
      <c r="J84"/>
      <c r="L84"/>
      <c r="M84"/>
    </row>
    <row r="85" spans="1:13" ht="15.75" x14ac:dyDescent="0.25">
      <c r="A85" s="98"/>
      <c r="B85" s="757"/>
      <c r="C85" s="233"/>
      <c r="D85" s="800"/>
      <c r="E85" s="126"/>
      <c r="F85" s="127"/>
      <c r="H85"/>
      <c r="I85"/>
      <c r="J85"/>
      <c r="L85"/>
      <c r="M85"/>
    </row>
    <row r="86" spans="1:13" ht="15.75" x14ac:dyDescent="0.25">
      <c r="A86" s="98"/>
      <c r="B86" s="757"/>
      <c r="C86" s="233"/>
      <c r="D86" s="800"/>
      <c r="E86" s="126"/>
      <c r="F86" s="127"/>
      <c r="H86"/>
      <c r="I86"/>
      <c r="J86"/>
      <c r="L86"/>
      <c r="M86"/>
    </row>
    <row r="87" spans="1:13" ht="15.75" x14ac:dyDescent="0.25">
      <c r="A87" s="98"/>
      <c r="B87" s="757"/>
      <c r="C87" s="233"/>
      <c r="D87" s="800"/>
      <c r="E87" s="126"/>
      <c r="F87" s="127"/>
      <c r="H87"/>
      <c r="I87"/>
      <c r="J87"/>
      <c r="L87"/>
      <c r="M87"/>
    </row>
    <row r="88" spans="1:13" ht="15.75" x14ac:dyDescent="0.25">
      <c r="A88" s="98"/>
      <c r="B88" s="757"/>
      <c r="C88" s="233"/>
      <c r="D88" s="800"/>
      <c r="E88" s="126"/>
      <c r="F88" s="127"/>
      <c r="H88"/>
      <c r="I88"/>
      <c r="J88"/>
      <c r="L88"/>
      <c r="M88"/>
    </row>
    <row r="89" spans="1:13" ht="15.75" x14ac:dyDescent="0.25">
      <c r="A89" s="98"/>
      <c r="B89" s="757"/>
      <c r="C89" s="233"/>
      <c r="D89" s="800"/>
      <c r="E89" s="126"/>
      <c r="F89" s="127"/>
      <c r="H89"/>
      <c r="I89"/>
      <c r="J89"/>
      <c r="L89"/>
      <c r="M89"/>
    </row>
    <row r="90" spans="1:13" ht="15.75" x14ac:dyDescent="0.25">
      <c r="A90" s="98"/>
      <c r="B90" s="757"/>
      <c r="C90" s="233"/>
      <c r="D90" s="800"/>
      <c r="E90" s="126"/>
      <c r="F90" s="127"/>
      <c r="H90"/>
      <c r="I90"/>
      <c r="J90"/>
      <c r="L90"/>
      <c r="M90"/>
    </row>
    <row r="91" spans="1:13" ht="15.75" x14ac:dyDescent="0.25">
      <c r="A91" s="98"/>
      <c r="B91" s="757"/>
      <c r="C91" s="233"/>
      <c r="D91" s="800"/>
      <c r="E91" s="126"/>
      <c r="F91" s="127"/>
      <c r="H91"/>
      <c r="I91"/>
      <c r="J91"/>
      <c r="L91"/>
      <c r="M91"/>
    </row>
    <row r="92" spans="1:13" ht="15.75" x14ac:dyDescent="0.25">
      <c r="A92" s="98"/>
      <c r="B92" s="757"/>
      <c r="C92" s="233"/>
      <c r="D92" s="800"/>
      <c r="E92" s="126"/>
      <c r="F92" s="127"/>
      <c r="H92"/>
      <c r="I92"/>
      <c r="J92"/>
      <c r="L92"/>
      <c r="M92"/>
    </row>
    <row r="93" spans="1:13" ht="15.75" x14ac:dyDescent="0.25">
      <c r="A93" s="98"/>
      <c r="B93" s="757"/>
      <c r="C93" s="233"/>
      <c r="D93" s="800"/>
      <c r="E93" s="126"/>
      <c r="F93" s="127"/>
      <c r="H93"/>
      <c r="I93"/>
      <c r="J93"/>
      <c r="L93"/>
      <c r="M93"/>
    </row>
    <row r="94" spans="1:13" ht="15.75" x14ac:dyDescent="0.25">
      <c r="A94" s="98"/>
      <c r="B94" s="757"/>
      <c r="C94" s="233"/>
      <c r="D94" s="800"/>
      <c r="E94" s="126"/>
      <c r="F94" s="127"/>
      <c r="H94"/>
      <c r="I94"/>
      <c r="J94"/>
      <c r="L94"/>
      <c r="M94"/>
    </row>
    <row r="95" spans="1:13" ht="15.75" x14ac:dyDescent="0.25">
      <c r="A95" s="98"/>
      <c r="B95" s="757"/>
      <c r="C95" s="233"/>
      <c r="D95" s="800"/>
      <c r="E95" s="126"/>
      <c r="F95" s="127"/>
      <c r="H95"/>
      <c r="I95"/>
      <c r="J95"/>
      <c r="L95"/>
      <c r="M95"/>
    </row>
    <row r="96" spans="1:13" ht="15.75" x14ac:dyDescent="0.25">
      <c r="A96" s="98"/>
      <c r="B96" s="757"/>
      <c r="C96" s="233"/>
      <c r="D96" s="800"/>
      <c r="E96" s="126"/>
      <c r="F96" s="127"/>
      <c r="H96"/>
      <c r="I96"/>
      <c r="J96"/>
      <c r="L96"/>
      <c r="M96"/>
    </row>
    <row r="97" spans="1:13" ht="15.75" x14ac:dyDescent="0.25">
      <c r="A97" s="98"/>
      <c r="B97" s="757"/>
      <c r="C97" s="233"/>
      <c r="D97" s="800"/>
      <c r="E97" s="126"/>
      <c r="F97" s="127"/>
      <c r="H97"/>
      <c r="I97"/>
      <c r="J97"/>
      <c r="L97"/>
      <c r="M97"/>
    </row>
    <row r="98" spans="1:13" ht="15.75" x14ac:dyDescent="0.25">
      <c r="A98" s="98"/>
      <c r="B98" s="757"/>
      <c r="C98" s="233"/>
      <c r="D98" s="800"/>
      <c r="E98" s="126"/>
      <c r="F98" s="127"/>
      <c r="H98"/>
      <c r="I98"/>
      <c r="J98"/>
      <c r="L98"/>
      <c r="M98"/>
    </row>
    <row r="99" spans="1:13" ht="15.75" x14ac:dyDescent="0.25">
      <c r="A99" s="98"/>
      <c r="B99" s="757"/>
      <c r="C99" s="233"/>
      <c r="D99" s="800"/>
      <c r="E99" s="126"/>
      <c r="F99" s="127"/>
      <c r="H99"/>
      <c r="I99"/>
      <c r="J99"/>
      <c r="L99"/>
      <c r="M99"/>
    </row>
    <row r="100" spans="1:13" x14ac:dyDescent="0.25">
      <c r="A100" s="98"/>
      <c r="B100" s="757"/>
      <c r="C100" s="129"/>
      <c r="D100" s="800"/>
      <c r="E100" s="126"/>
      <c r="F100" s="127"/>
      <c r="H100"/>
      <c r="I100"/>
      <c r="J100"/>
      <c r="L100"/>
      <c r="M100"/>
    </row>
    <row r="101" spans="1:13" x14ac:dyDescent="0.25">
      <c r="A101" s="98"/>
      <c r="B101" s="757"/>
      <c r="C101" s="129"/>
      <c r="D101" s="800"/>
      <c r="E101" s="126"/>
      <c r="F101" s="127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9">
    <mergeCell ref="H37:K38"/>
    <mergeCell ref="F80:I81"/>
    <mergeCell ref="H40:I42"/>
    <mergeCell ref="H67:I68"/>
    <mergeCell ref="F68:F69"/>
    <mergeCell ref="E77:F77"/>
    <mergeCell ref="H77:J77"/>
    <mergeCell ref="H73:J74"/>
    <mergeCell ref="E74:F75"/>
  </mergeCells>
  <pageMargins left="0.7" right="0.7" top="0.75" bottom="0.75" header="0.3" footer="0.3"/>
  <pageSetup orientation="portrait" horizontalDpi="0" verticalDpi="0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2" tint="-0.249977111117893"/>
  </sheetPr>
  <dimension ref="A1:V97"/>
  <sheetViews>
    <sheetView workbookViewId="0">
      <pane xSplit="1" ySplit="4" topLeftCell="B66" activePane="bottomRight" state="frozen"/>
      <selection pane="topRight" activeCell="B1" sqref="B1"/>
      <selection pane="bottomLeft" activeCell="A5" sqref="A5"/>
      <selection pane="bottomRight" activeCell="F74" sqref="F74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  <col min="19" max="19" width="11.42578125" style="98"/>
    <col min="20" max="20" width="17.42578125" bestFit="1" customWidth="1"/>
  </cols>
  <sheetData>
    <row r="1" spans="1:22" ht="23.25" x14ac:dyDescent="0.35">
      <c r="B1" s="886"/>
      <c r="C1" s="952" t="s">
        <v>1244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22" ht="16.5" thickBot="1" x14ac:dyDescent="0.3">
      <c r="B2" s="887"/>
      <c r="C2" s="3"/>
      <c r="H2" s="5"/>
      <c r="I2" s="6"/>
      <c r="J2" s="7"/>
      <c r="L2" s="8"/>
      <c r="M2" s="6"/>
      <c r="N2" s="9"/>
    </row>
    <row r="3" spans="1:22" ht="21.75" thickBot="1" x14ac:dyDescent="0.35">
      <c r="B3" s="890" t="s">
        <v>0</v>
      </c>
      <c r="C3" s="891"/>
      <c r="D3" s="10"/>
      <c r="E3" s="553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22" ht="32.25" thickTop="1" thickBot="1" x14ac:dyDescent="0.35">
      <c r="A4" s="15" t="s">
        <v>1</v>
      </c>
      <c r="B4" s="16"/>
      <c r="C4" s="17">
        <v>2672555.9900000002</v>
      </c>
      <c r="D4" s="18">
        <v>44801</v>
      </c>
      <c r="E4" s="893" t="s">
        <v>2</v>
      </c>
      <c r="F4" s="894"/>
      <c r="H4" s="895" t="s">
        <v>3</v>
      </c>
      <c r="I4" s="896"/>
      <c r="J4" s="556"/>
      <c r="K4" s="562"/>
      <c r="L4" s="563"/>
      <c r="M4" s="21" t="s">
        <v>4</v>
      </c>
      <c r="N4" s="22" t="s">
        <v>5</v>
      </c>
      <c r="P4" s="930"/>
      <c r="Q4" s="322" t="s">
        <v>217</v>
      </c>
      <c r="R4" s="951"/>
    </row>
    <row r="5" spans="1:22" ht="18" thickBot="1" x14ac:dyDescent="0.35">
      <c r="A5" s="23" t="s">
        <v>7</v>
      </c>
      <c r="B5" s="24">
        <v>44802</v>
      </c>
      <c r="C5" s="25">
        <v>7568</v>
      </c>
      <c r="D5" s="26" t="s">
        <v>1245</v>
      </c>
      <c r="E5" s="27">
        <v>44802</v>
      </c>
      <c r="F5" s="28">
        <v>134268</v>
      </c>
      <c r="G5" s="572"/>
      <c r="H5" s="29">
        <v>44802</v>
      </c>
      <c r="I5" s="30">
        <v>399</v>
      </c>
      <c r="J5" s="37"/>
      <c r="K5" s="31"/>
      <c r="L5" s="9"/>
      <c r="M5" s="32">
        <v>70671</v>
      </c>
      <c r="N5" s="33">
        <v>55630</v>
      </c>
      <c r="O5" s="730" t="s">
        <v>937</v>
      </c>
      <c r="P5" s="34">
        <f>N5+M5+L5+I5+C5</f>
        <v>134268</v>
      </c>
      <c r="Q5" s="325">
        <f>P5-F5</f>
        <v>0</v>
      </c>
      <c r="R5" s="379">
        <v>0</v>
      </c>
    </row>
    <row r="6" spans="1:22" ht="18" thickBot="1" x14ac:dyDescent="0.35">
      <c r="A6" s="23"/>
      <c r="B6" s="24">
        <v>44803</v>
      </c>
      <c r="C6" s="25">
        <v>36043</v>
      </c>
      <c r="D6" s="35" t="s">
        <v>1246</v>
      </c>
      <c r="E6" s="27">
        <v>44803</v>
      </c>
      <c r="F6" s="28">
        <v>138387</v>
      </c>
      <c r="G6" s="572"/>
      <c r="H6" s="29">
        <v>44803</v>
      </c>
      <c r="I6" s="30">
        <v>1604</v>
      </c>
      <c r="J6" s="37"/>
      <c r="K6" s="38"/>
      <c r="L6" s="39"/>
      <c r="M6" s="32">
        <f>539+55232+500</f>
        <v>56271</v>
      </c>
      <c r="N6" s="33">
        <v>44469</v>
      </c>
      <c r="O6" s="753" t="s">
        <v>1247</v>
      </c>
      <c r="P6" s="39">
        <f>N6+M6+L6+I6+C6</f>
        <v>138387</v>
      </c>
      <c r="Q6" s="325">
        <f t="shared" ref="Q6:Q40" si="0">P6-F6</f>
        <v>0</v>
      </c>
      <c r="R6" s="319">
        <v>0</v>
      </c>
      <c r="S6" s="426"/>
    </row>
    <row r="7" spans="1:22" ht="18" thickBot="1" x14ac:dyDescent="0.35">
      <c r="A7" s="23"/>
      <c r="B7" s="24">
        <v>44804</v>
      </c>
      <c r="C7" s="25">
        <v>6372</v>
      </c>
      <c r="D7" s="40" t="s">
        <v>114</v>
      </c>
      <c r="E7" s="27">
        <v>44804</v>
      </c>
      <c r="F7" s="28">
        <v>112167</v>
      </c>
      <c r="G7" s="572"/>
      <c r="H7" s="29">
        <v>44804</v>
      </c>
      <c r="I7" s="30">
        <v>2875</v>
      </c>
      <c r="J7" s="37"/>
      <c r="K7" s="38"/>
      <c r="L7" s="39"/>
      <c r="M7" s="32">
        <f>84627+10937.68</f>
        <v>95564.68</v>
      </c>
      <c r="N7" s="33">
        <v>48294</v>
      </c>
      <c r="O7" s="753" t="s">
        <v>1247</v>
      </c>
      <c r="P7" s="39">
        <f>N7+M7+L7+I7+C7</f>
        <v>153105.68</v>
      </c>
      <c r="Q7" s="325">
        <v>0</v>
      </c>
      <c r="R7" s="388">
        <v>40939</v>
      </c>
      <c r="S7" s="426"/>
    </row>
    <row r="8" spans="1:22" ht="18" thickBot="1" x14ac:dyDescent="0.35">
      <c r="A8" s="23"/>
      <c r="B8" s="24">
        <v>44805</v>
      </c>
      <c r="C8" s="25">
        <v>13500</v>
      </c>
      <c r="D8" s="42" t="s">
        <v>330</v>
      </c>
      <c r="E8" s="27">
        <v>44805</v>
      </c>
      <c r="F8" s="28">
        <v>120503</v>
      </c>
      <c r="G8" s="572"/>
      <c r="H8" s="29">
        <v>44805</v>
      </c>
      <c r="I8" s="30">
        <v>3866</v>
      </c>
      <c r="J8" s="43"/>
      <c r="K8" s="38"/>
      <c r="L8" s="39"/>
      <c r="M8" s="32">
        <v>62803</v>
      </c>
      <c r="N8" s="33">
        <v>40334</v>
      </c>
      <c r="O8" s="753" t="s">
        <v>1247</v>
      </c>
      <c r="P8" s="39">
        <f t="shared" ref="P8:P39" si="1">N8+M8+L8+I8+C8</f>
        <v>120503</v>
      </c>
      <c r="Q8" s="325">
        <f t="shared" si="0"/>
        <v>0</v>
      </c>
      <c r="R8" s="319">
        <v>0</v>
      </c>
      <c r="S8" s="426"/>
    </row>
    <row r="9" spans="1:22" ht="18" thickBot="1" x14ac:dyDescent="0.35">
      <c r="A9" s="23"/>
      <c r="B9" s="24">
        <v>44806</v>
      </c>
      <c r="C9" s="25">
        <v>7410</v>
      </c>
      <c r="D9" s="42" t="s">
        <v>328</v>
      </c>
      <c r="E9" s="27">
        <v>44806</v>
      </c>
      <c r="F9" s="28">
        <v>138326</v>
      </c>
      <c r="G9" s="572"/>
      <c r="H9" s="29">
        <v>44806</v>
      </c>
      <c r="I9" s="30">
        <v>2441</v>
      </c>
      <c r="J9" s="37"/>
      <c r="K9" s="223"/>
      <c r="L9" s="39"/>
      <c r="M9" s="32">
        <v>72921</v>
      </c>
      <c r="N9" s="33">
        <v>55554</v>
      </c>
      <c r="O9" s="753" t="s">
        <v>1247</v>
      </c>
      <c r="P9" s="39">
        <f t="shared" si="1"/>
        <v>138326</v>
      </c>
      <c r="Q9" s="325">
        <f t="shared" si="0"/>
        <v>0</v>
      </c>
      <c r="R9" s="319">
        <v>0</v>
      </c>
      <c r="S9" s="426"/>
    </row>
    <row r="10" spans="1:22" ht="18" thickBot="1" x14ac:dyDescent="0.35">
      <c r="A10" s="23"/>
      <c r="B10" s="24">
        <v>44807</v>
      </c>
      <c r="C10" s="25">
        <v>21781.5</v>
      </c>
      <c r="D10" s="40" t="s">
        <v>1248</v>
      </c>
      <c r="E10" s="27">
        <v>44807</v>
      </c>
      <c r="F10" s="28">
        <v>133295</v>
      </c>
      <c r="G10" s="572"/>
      <c r="H10" s="29">
        <v>44807</v>
      </c>
      <c r="I10" s="30">
        <v>9779.5</v>
      </c>
      <c r="J10" s="37">
        <v>44807</v>
      </c>
      <c r="K10" s="167" t="s">
        <v>1249</v>
      </c>
      <c r="L10" s="45">
        <v>18003</v>
      </c>
      <c r="M10" s="32">
        <f>24567+956</f>
        <v>25523</v>
      </c>
      <c r="N10" s="33">
        <v>58208</v>
      </c>
      <c r="O10" s="753" t="s">
        <v>1247</v>
      </c>
      <c r="P10" s="39">
        <f>N10+M10+L10+I10+C10</f>
        <v>133295</v>
      </c>
      <c r="Q10" s="325">
        <f t="shared" si="0"/>
        <v>0</v>
      </c>
      <c r="R10" s="319">
        <v>0</v>
      </c>
      <c r="S10" s="426"/>
    </row>
    <row r="11" spans="1:22" ht="18" thickBot="1" x14ac:dyDescent="0.35">
      <c r="A11" s="23"/>
      <c r="B11" s="24">
        <v>44808</v>
      </c>
      <c r="C11" s="25">
        <v>32635</v>
      </c>
      <c r="D11" s="35" t="s">
        <v>639</v>
      </c>
      <c r="E11" s="27">
        <v>44808</v>
      </c>
      <c r="F11" s="28">
        <v>89343</v>
      </c>
      <c r="G11" s="572"/>
      <c r="H11" s="29">
        <v>44808</v>
      </c>
      <c r="I11" s="30">
        <v>120.5</v>
      </c>
      <c r="J11" s="43"/>
      <c r="K11" s="168"/>
      <c r="L11" s="39"/>
      <c r="M11" s="32">
        <v>15600</v>
      </c>
      <c r="N11" s="33">
        <v>40989</v>
      </c>
      <c r="O11" s="753" t="s">
        <v>1247</v>
      </c>
      <c r="P11" s="39">
        <f t="shared" si="1"/>
        <v>89344.5</v>
      </c>
      <c r="Q11" s="325">
        <f t="shared" si="0"/>
        <v>1.5</v>
      </c>
      <c r="R11" s="319">
        <v>0</v>
      </c>
      <c r="S11" s="426"/>
    </row>
    <row r="12" spans="1:22" ht="18" thickBot="1" x14ac:dyDescent="0.35">
      <c r="A12" s="23"/>
      <c r="B12" s="24">
        <v>44809</v>
      </c>
      <c r="C12" s="25">
        <v>16302.5</v>
      </c>
      <c r="D12" s="35" t="s">
        <v>1251</v>
      </c>
      <c r="E12" s="27">
        <v>44809</v>
      </c>
      <c r="F12" s="28">
        <v>127329</v>
      </c>
      <c r="G12" s="572"/>
      <c r="H12" s="29">
        <v>44809</v>
      </c>
      <c r="I12" s="30">
        <v>1971</v>
      </c>
      <c r="J12" s="37"/>
      <c r="K12" s="169"/>
      <c r="L12" s="39"/>
      <c r="M12" s="32">
        <f>55650+1400</f>
        <v>57050</v>
      </c>
      <c r="N12" s="33">
        <v>52008</v>
      </c>
      <c r="O12" s="754" t="s">
        <v>1247</v>
      </c>
      <c r="P12" s="39">
        <f t="shared" si="1"/>
        <v>127331.5</v>
      </c>
      <c r="Q12" s="325">
        <f t="shared" si="0"/>
        <v>2.5</v>
      </c>
      <c r="R12" s="319">
        <v>0</v>
      </c>
      <c r="S12" s="774"/>
      <c r="T12" s="775"/>
      <c r="U12" s="755"/>
      <c r="V12" s="756"/>
    </row>
    <row r="13" spans="1:22" ht="18" thickBot="1" x14ac:dyDescent="0.35">
      <c r="A13" s="23"/>
      <c r="B13" s="24">
        <v>44810</v>
      </c>
      <c r="C13" s="25">
        <v>33734</v>
      </c>
      <c r="D13" s="42" t="s">
        <v>1252</v>
      </c>
      <c r="E13" s="27">
        <v>44810</v>
      </c>
      <c r="F13" s="28">
        <v>106867</v>
      </c>
      <c r="G13" s="771"/>
      <c r="H13" s="29">
        <v>44810</v>
      </c>
      <c r="I13" s="30">
        <v>1593</v>
      </c>
      <c r="J13" s="37"/>
      <c r="K13" s="38"/>
      <c r="L13" s="39"/>
      <c r="M13" s="32">
        <f>42400+10000+121050+650</f>
        <v>174100</v>
      </c>
      <c r="N13" s="33">
        <v>42079</v>
      </c>
      <c r="O13" s="753" t="s">
        <v>1247</v>
      </c>
      <c r="P13" s="39">
        <f>N13+M13+L13+I13+C13</f>
        <v>251506</v>
      </c>
      <c r="Q13" s="769">
        <f t="shared" si="0"/>
        <v>144639</v>
      </c>
      <c r="R13" s="542">
        <v>0</v>
      </c>
      <c r="S13" s="370">
        <v>44810</v>
      </c>
      <c r="T13" s="327">
        <v>42400</v>
      </c>
      <c r="U13" s="767" t="s">
        <v>597</v>
      </c>
      <c r="V13" s="758"/>
    </row>
    <row r="14" spans="1:22" ht="18" thickBot="1" x14ac:dyDescent="0.35">
      <c r="A14" s="23"/>
      <c r="B14" s="24">
        <v>44811</v>
      </c>
      <c r="C14" s="25">
        <v>10101</v>
      </c>
      <c r="D14" s="40" t="s">
        <v>328</v>
      </c>
      <c r="E14" s="27">
        <v>44811</v>
      </c>
      <c r="F14" s="28">
        <v>116050</v>
      </c>
      <c r="G14" s="572"/>
      <c r="H14" s="29">
        <v>44811</v>
      </c>
      <c r="I14" s="30">
        <v>229</v>
      </c>
      <c r="J14" s="37"/>
      <c r="K14" s="38"/>
      <c r="L14" s="39"/>
      <c r="M14" s="32">
        <f>10336+10272+29415</f>
        <v>50023</v>
      </c>
      <c r="N14" s="33">
        <v>35415</v>
      </c>
      <c r="O14" s="577" t="s">
        <v>597</v>
      </c>
      <c r="P14" s="39">
        <f t="shared" si="1"/>
        <v>95768</v>
      </c>
      <c r="Q14" s="317">
        <f>P14-F14-29415-3</f>
        <v>-49700</v>
      </c>
      <c r="R14" s="770">
        <v>29415</v>
      </c>
      <c r="S14" s="370">
        <v>44810</v>
      </c>
      <c r="T14" s="327">
        <v>10000</v>
      </c>
      <c r="U14" s="767" t="s">
        <v>597</v>
      </c>
      <c r="V14" s="758"/>
    </row>
    <row r="15" spans="1:22" ht="18" thickBot="1" x14ac:dyDescent="0.35">
      <c r="A15" s="23"/>
      <c r="B15" s="24">
        <v>44812</v>
      </c>
      <c r="C15" s="25">
        <v>4064</v>
      </c>
      <c r="D15" s="40" t="s">
        <v>1147</v>
      </c>
      <c r="E15" s="27">
        <v>44812</v>
      </c>
      <c r="F15" s="28">
        <v>101436</v>
      </c>
      <c r="G15" s="572"/>
      <c r="H15" s="29">
        <v>44812</v>
      </c>
      <c r="I15" s="30">
        <v>4919</v>
      </c>
      <c r="J15" s="37"/>
      <c r="K15" s="38"/>
      <c r="L15" s="39"/>
      <c r="M15" s="32">
        <v>0</v>
      </c>
      <c r="N15" s="33">
        <v>42575</v>
      </c>
      <c r="O15" s="577" t="s">
        <v>597</v>
      </c>
      <c r="P15" s="39">
        <f t="shared" si="1"/>
        <v>51558</v>
      </c>
      <c r="Q15" s="317">
        <f t="shared" si="0"/>
        <v>-49878</v>
      </c>
      <c r="R15" s="542">
        <v>0</v>
      </c>
      <c r="S15" s="370">
        <v>44810</v>
      </c>
      <c r="T15" s="768">
        <v>121050</v>
      </c>
      <c r="U15" s="767" t="s">
        <v>597</v>
      </c>
      <c r="V15" s="758"/>
    </row>
    <row r="16" spans="1:22" ht="19.5" thickBot="1" x14ac:dyDescent="0.35">
      <c r="A16" s="23"/>
      <c r="B16" s="24">
        <v>44813</v>
      </c>
      <c r="C16" s="25">
        <v>17740</v>
      </c>
      <c r="D16" s="35" t="s">
        <v>1253</v>
      </c>
      <c r="E16" s="27">
        <v>44813</v>
      </c>
      <c r="F16" s="28">
        <v>114211</v>
      </c>
      <c r="G16" s="572"/>
      <c r="H16" s="29">
        <v>44813</v>
      </c>
      <c r="I16" s="30">
        <v>2780.5</v>
      </c>
      <c r="J16" s="37"/>
      <c r="K16" s="169"/>
      <c r="L16" s="9"/>
      <c r="M16" s="32">
        <v>9891.5</v>
      </c>
      <c r="N16" s="33">
        <v>49188</v>
      </c>
      <c r="O16" s="577" t="s">
        <v>937</v>
      </c>
      <c r="P16" s="39">
        <f t="shared" si="1"/>
        <v>79600</v>
      </c>
      <c r="Q16" s="317">
        <f t="shared" si="0"/>
        <v>-34611</v>
      </c>
      <c r="R16" s="319">
        <v>0</v>
      </c>
      <c r="S16" s="765"/>
      <c r="T16" s="772">
        <f>SUM(T13:T15)</f>
        <v>173450</v>
      </c>
      <c r="U16" s="757"/>
      <c r="V16" s="758"/>
    </row>
    <row r="17" spans="1:22" ht="18" thickBot="1" x14ac:dyDescent="0.35">
      <c r="A17" s="23"/>
      <c r="B17" s="24">
        <v>44814</v>
      </c>
      <c r="C17" s="25">
        <v>19816.5</v>
      </c>
      <c r="D17" s="42" t="s">
        <v>1254</v>
      </c>
      <c r="E17" s="27">
        <v>44814</v>
      </c>
      <c r="F17" s="28">
        <v>117839</v>
      </c>
      <c r="G17" s="572"/>
      <c r="H17" s="29">
        <v>44814</v>
      </c>
      <c r="I17" s="30">
        <v>6254</v>
      </c>
      <c r="J17" s="37">
        <v>44814</v>
      </c>
      <c r="K17" s="38" t="s">
        <v>1255</v>
      </c>
      <c r="L17" s="45">
        <v>18565</v>
      </c>
      <c r="M17" s="32">
        <v>19854.5</v>
      </c>
      <c r="N17" s="33">
        <v>53349</v>
      </c>
      <c r="O17" s="577" t="s">
        <v>937</v>
      </c>
      <c r="P17" s="39">
        <f t="shared" si="1"/>
        <v>117839</v>
      </c>
      <c r="Q17" s="325">
        <f t="shared" si="0"/>
        <v>0</v>
      </c>
      <c r="R17" s="542">
        <v>0</v>
      </c>
      <c r="S17" s="370">
        <v>44810</v>
      </c>
      <c r="T17" s="327">
        <v>-28811</v>
      </c>
      <c r="U17" s="766" t="s">
        <v>27</v>
      </c>
      <c r="V17" s="758"/>
    </row>
    <row r="18" spans="1:22" ht="18" thickBot="1" x14ac:dyDescent="0.35">
      <c r="A18" s="23"/>
      <c r="B18" s="24">
        <v>44815</v>
      </c>
      <c r="C18" s="25">
        <v>31662</v>
      </c>
      <c r="D18" s="35" t="s">
        <v>1257</v>
      </c>
      <c r="E18" s="27">
        <v>44815</v>
      </c>
      <c r="F18" s="28">
        <v>114813</v>
      </c>
      <c r="G18" s="572"/>
      <c r="H18" s="29">
        <v>44815</v>
      </c>
      <c r="I18" s="30">
        <v>2526.5</v>
      </c>
      <c r="J18" s="37"/>
      <c r="K18" s="564"/>
      <c r="L18" s="39"/>
      <c r="M18" s="32">
        <f>20000+23616.5</f>
        <v>43616.5</v>
      </c>
      <c r="N18" s="33">
        <v>37008</v>
      </c>
      <c r="O18" s="577" t="s">
        <v>937</v>
      </c>
      <c r="P18" s="39">
        <f t="shared" si="1"/>
        <v>114813</v>
      </c>
      <c r="Q18" s="325">
        <f t="shared" si="0"/>
        <v>0</v>
      </c>
      <c r="R18" s="542">
        <v>0</v>
      </c>
      <c r="S18" s="370">
        <v>44811</v>
      </c>
      <c r="T18" s="327">
        <v>-49700</v>
      </c>
      <c r="U18" s="766" t="s">
        <v>27</v>
      </c>
      <c r="V18" s="758"/>
    </row>
    <row r="19" spans="1:22" ht="18" customHeight="1" thickBot="1" x14ac:dyDescent="0.35">
      <c r="A19" s="23"/>
      <c r="B19" s="24">
        <v>44816</v>
      </c>
      <c r="C19" s="25">
        <v>27351.5</v>
      </c>
      <c r="D19" s="35" t="s">
        <v>1258</v>
      </c>
      <c r="E19" s="27">
        <v>44816</v>
      </c>
      <c r="F19" s="28">
        <v>152177</v>
      </c>
      <c r="G19" s="572"/>
      <c r="H19" s="29">
        <v>44816</v>
      </c>
      <c r="I19" s="30">
        <v>2087</v>
      </c>
      <c r="J19" s="37"/>
      <c r="K19" s="46"/>
      <c r="L19" s="47"/>
      <c r="M19" s="32">
        <f>6406+44408.5+19602</f>
        <v>70416.5</v>
      </c>
      <c r="N19" s="33">
        <v>52322</v>
      </c>
      <c r="O19" s="577" t="s">
        <v>937</v>
      </c>
      <c r="P19" s="39">
        <f t="shared" si="1"/>
        <v>152177</v>
      </c>
      <c r="Q19" s="325">
        <f t="shared" si="0"/>
        <v>0</v>
      </c>
      <c r="R19" s="542">
        <v>0</v>
      </c>
      <c r="S19" s="370">
        <v>44812</v>
      </c>
      <c r="T19" s="776">
        <v>-49878</v>
      </c>
      <c r="U19" s="766" t="s">
        <v>27</v>
      </c>
      <c r="V19" s="758"/>
    </row>
    <row r="20" spans="1:22" ht="18" customHeight="1" thickBot="1" x14ac:dyDescent="0.35">
      <c r="A20" s="23"/>
      <c r="B20" s="24">
        <v>44817</v>
      </c>
      <c r="C20" s="25">
        <v>33084</v>
      </c>
      <c r="D20" s="35" t="s">
        <v>1259</v>
      </c>
      <c r="E20" s="27">
        <v>44817</v>
      </c>
      <c r="F20" s="28">
        <v>164240</v>
      </c>
      <c r="G20" s="572"/>
      <c r="H20" s="29">
        <v>44817</v>
      </c>
      <c r="I20" s="30">
        <v>2587</v>
      </c>
      <c r="J20" s="37"/>
      <c r="K20" s="171"/>
      <c r="L20" s="45"/>
      <c r="M20" s="32">
        <f>17086+20000+49877</f>
        <v>86963</v>
      </c>
      <c r="N20" s="33">
        <v>93084</v>
      </c>
      <c r="O20" s="577" t="s">
        <v>937</v>
      </c>
      <c r="P20" s="39">
        <f t="shared" si="1"/>
        <v>215718</v>
      </c>
      <c r="Q20" s="325">
        <v>0</v>
      </c>
      <c r="R20" s="388">
        <v>51478</v>
      </c>
      <c r="S20" s="765">
        <v>44813</v>
      </c>
      <c r="T20" s="777">
        <v>-34611</v>
      </c>
      <c r="U20" s="759" t="s">
        <v>27</v>
      </c>
      <c r="V20" s="758"/>
    </row>
    <row r="21" spans="1:22" ht="18" thickBot="1" x14ac:dyDescent="0.35">
      <c r="A21" s="23"/>
      <c r="B21" s="24">
        <v>44818</v>
      </c>
      <c r="C21" s="25">
        <v>13474</v>
      </c>
      <c r="D21" s="35" t="s">
        <v>1260</v>
      </c>
      <c r="E21" s="27">
        <v>44818</v>
      </c>
      <c r="F21" s="28">
        <v>193300</v>
      </c>
      <c r="G21" s="572"/>
      <c r="H21" s="29">
        <v>44818</v>
      </c>
      <c r="I21" s="30">
        <v>2387</v>
      </c>
      <c r="J21" s="37"/>
      <c r="K21" s="565"/>
      <c r="L21" s="45"/>
      <c r="M21" s="32">
        <f>26000+71145+13500</f>
        <v>110645</v>
      </c>
      <c r="N21" s="33">
        <v>66794</v>
      </c>
      <c r="O21" s="577" t="s">
        <v>937</v>
      </c>
      <c r="P21" s="39">
        <f t="shared" si="1"/>
        <v>193300</v>
      </c>
      <c r="Q21" s="325">
        <f t="shared" si="0"/>
        <v>0</v>
      </c>
      <c r="R21" s="319" t="s">
        <v>1261</v>
      </c>
      <c r="S21" s="765">
        <v>44832</v>
      </c>
      <c r="T21" s="34">
        <v>-10450</v>
      </c>
      <c r="U21" s="778" t="s">
        <v>27</v>
      </c>
      <c r="V21" s="758"/>
    </row>
    <row r="22" spans="1:22" ht="31.5" thickBot="1" x14ac:dyDescent="0.35">
      <c r="A22" s="23"/>
      <c r="B22" s="24">
        <v>44819</v>
      </c>
      <c r="C22" s="25">
        <v>4999</v>
      </c>
      <c r="D22" s="35" t="s">
        <v>112</v>
      </c>
      <c r="E22" s="27">
        <v>44819</v>
      </c>
      <c r="F22" s="28">
        <v>190016</v>
      </c>
      <c r="G22" s="572"/>
      <c r="H22" s="29">
        <v>44819</v>
      </c>
      <c r="I22" s="30">
        <v>3539</v>
      </c>
      <c r="J22" s="37">
        <v>44819</v>
      </c>
      <c r="K22" s="773" t="s">
        <v>1262</v>
      </c>
      <c r="L22" s="49">
        <v>15000</v>
      </c>
      <c r="M22" s="32">
        <f>24500+61550</f>
        <v>86050</v>
      </c>
      <c r="N22" s="33">
        <v>80429</v>
      </c>
      <c r="O22" s="577" t="s">
        <v>937</v>
      </c>
      <c r="P22" s="39">
        <f t="shared" si="1"/>
        <v>190017</v>
      </c>
      <c r="Q22" s="325">
        <f t="shared" si="0"/>
        <v>1</v>
      </c>
      <c r="R22" s="319">
        <v>0</v>
      </c>
      <c r="S22" s="765"/>
      <c r="T22" s="779">
        <f>SUM(T17:T21)</f>
        <v>-173450</v>
      </c>
      <c r="U22" s="780"/>
      <c r="V22" s="758"/>
    </row>
    <row r="23" spans="1:22" ht="18" customHeight="1" thickBot="1" x14ac:dyDescent="0.35">
      <c r="A23" s="23"/>
      <c r="B23" s="24">
        <v>44820</v>
      </c>
      <c r="C23" s="25">
        <v>10700</v>
      </c>
      <c r="D23" s="35" t="s">
        <v>1263</v>
      </c>
      <c r="E23" s="27">
        <v>44820</v>
      </c>
      <c r="F23" s="28">
        <v>72012</v>
      </c>
      <c r="G23" s="572"/>
      <c r="H23" s="29">
        <v>44820</v>
      </c>
      <c r="I23" s="30">
        <v>291</v>
      </c>
      <c r="J23" s="50"/>
      <c r="K23" s="172"/>
      <c r="L23" s="45"/>
      <c r="M23" s="32">
        <f>23109+721+14000</f>
        <v>37830</v>
      </c>
      <c r="N23" s="33">
        <v>23191</v>
      </c>
      <c r="O23" s="577" t="s">
        <v>937</v>
      </c>
      <c r="P23" s="39">
        <f t="shared" si="1"/>
        <v>72012</v>
      </c>
      <c r="Q23" s="325">
        <f t="shared" si="0"/>
        <v>0</v>
      </c>
      <c r="R23" s="319">
        <v>0</v>
      </c>
      <c r="S23" s="765"/>
      <c r="T23" s="781">
        <f>T16+T22</f>
        <v>0</v>
      </c>
      <c r="U23" s="782" t="s">
        <v>1272</v>
      </c>
      <c r="V23" s="758"/>
    </row>
    <row r="24" spans="1:22" ht="18" customHeight="1" thickBot="1" x14ac:dyDescent="0.35">
      <c r="A24" s="23"/>
      <c r="B24" s="24">
        <v>44821</v>
      </c>
      <c r="C24" s="25">
        <v>17481</v>
      </c>
      <c r="D24" s="42" t="s">
        <v>1264</v>
      </c>
      <c r="E24" s="27">
        <v>44821</v>
      </c>
      <c r="F24" s="28">
        <v>112511</v>
      </c>
      <c r="G24" s="572"/>
      <c r="H24" s="29">
        <v>44821</v>
      </c>
      <c r="I24" s="30">
        <v>2004</v>
      </c>
      <c r="J24" s="51">
        <v>44821</v>
      </c>
      <c r="K24" s="783" t="s">
        <v>1265</v>
      </c>
      <c r="L24" s="52">
        <v>22708</v>
      </c>
      <c r="M24" s="32">
        <f>16617+1040</f>
        <v>17657</v>
      </c>
      <c r="N24" s="33">
        <v>52661</v>
      </c>
      <c r="O24" s="577" t="s">
        <v>937</v>
      </c>
      <c r="P24" s="39">
        <f>N24+M24+L24+I24+C24</f>
        <v>112511</v>
      </c>
      <c r="Q24" s="325">
        <f t="shared" si="0"/>
        <v>0</v>
      </c>
      <c r="R24" s="319">
        <v>0</v>
      </c>
      <c r="S24" s="765"/>
      <c r="T24" s="760"/>
      <c r="U24" s="760"/>
      <c r="V24" s="758"/>
    </row>
    <row r="25" spans="1:22" ht="18" thickBot="1" x14ac:dyDescent="0.35">
      <c r="A25" s="23"/>
      <c r="B25" s="24">
        <v>44822</v>
      </c>
      <c r="C25" s="25">
        <v>0</v>
      </c>
      <c r="D25" s="35"/>
      <c r="E25" s="27">
        <v>44822</v>
      </c>
      <c r="F25" s="28">
        <v>90619</v>
      </c>
      <c r="G25" s="572"/>
      <c r="H25" s="29">
        <v>44822</v>
      </c>
      <c r="I25" s="30">
        <v>979</v>
      </c>
      <c r="J25" s="50"/>
      <c r="K25" s="38"/>
      <c r="L25" s="54"/>
      <c r="M25" s="32">
        <v>60116</v>
      </c>
      <c r="N25" s="33">
        <v>29524</v>
      </c>
      <c r="O25" s="577" t="s">
        <v>937</v>
      </c>
      <c r="P25" s="283">
        <f t="shared" si="1"/>
        <v>90619</v>
      </c>
      <c r="Q25" s="325">
        <f t="shared" si="0"/>
        <v>0</v>
      </c>
      <c r="R25" s="319">
        <v>0</v>
      </c>
      <c r="S25" s="763"/>
      <c r="T25" s="760"/>
      <c r="U25" s="760"/>
      <c r="V25" s="758"/>
    </row>
    <row r="26" spans="1:22" ht="18" thickBot="1" x14ac:dyDescent="0.35">
      <c r="A26" s="23"/>
      <c r="B26" s="24">
        <v>44823</v>
      </c>
      <c r="C26" s="25">
        <v>32880</v>
      </c>
      <c r="D26" s="35" t="s">
        <v>1266</v>
      </c>
      <c r="E26" s="27">
        <v>44823</v>
      </c>
      <c r="F26" s="28">
        <v>120050</v>
      </c>
      <c r="G26" s="572"/>
      <c r="H26" s="29">
        <v>44823</v>
      </c>
      <c r="I26" s="30">
        <v>1998</v>
      </c>
      <c r="J26" s="37"/>
      <c r="K26" s="728"/>
      <c r="L26" s="729"/>
      <c r="M26" s="32">
        <v>53164</v>
      </c>
      <c r="N26" s="33">
        <v>32008</v>
      </c>
      <c r="O26" s="577" t="s">
        <v>937</v>
      </c>
      <c r="P26" s="283">
        <f t="shared" si="1"/>
        <v>120050</v>
      </c>
      <c r="Q26" s="325">
        <f t="shared" si="0"/>
        <v>0</v>
      </c>
      <c r="R26" s="319">
        <v>0</v>
      </c>
      <c r="S26" s="764"/>
      <c r="T26" s="761"/>
      <c r="U26" s="761"/>
      <c r="V26" s="762"/>
    </row>
    <row r="27" spans="1:22" ht="18" customHeight="1" thickBot="1" x14ac:dyDescent="0.35">
      <c r="A27" s="23"/>
      <c r="B27" s="24">
        <v>44824</v>
      </c>
      <c r="C27" s="25">
        <v>16862</v>
      </c>
      <c r="D27" s="42" t="s">
        <v>1267</v>
      </c>
      <c r="E27" s="27">
        <v>44824</v>
      </c>
      <c r="F27" s="28">
        <v>97544</v>
      </c>
      <c r="G27" s="572"/>
      <c r="H27" s="29">
        <v>44824</v>
      </c>
      <c r="I27" s="30">
        <v>1814</v>
      </c>
      <c r="J27" s="55"/>
      <c r="K27" s="174"/>
      <c r="L27" s="54"/>
      <c r="M27" s="32">
        <v>41910</v>
      </c>
      <c r="N27" s="33">
        <v>36958</v>
      </c>
      <c r="O27" s="577" t="s">
        <v>937</v>
      </c>
      <c r="P27" s="283">
        <f t="shared" si="1"/>
        <v>97544</v>
      </c>
      <c r="Q27" s="325">
        <f t="shared" si="0"/>
        <v>0</v>
      </c>
      <c r="R27" s="319">
        <v>0</v>
      </c>
      <c r="S27" s="426"/>
    </row>
    <row r="28" spans="1:22" ht="18" customHeight="1" thickBot="1" x14ac:dyDescent="0.35">
      <c r="A28" s="23"/>
      <c r="B28" s="24">
        <v>44825</v>
      </c>
      <c r="C28" s="25">
        <v>16722</v>
      </c>
      <c r="D28" s="42" t="s">
        <v>1268</v>
      </c>
      <c r="E28" s="27">
        <v>44825</v>
      </c>
      <c r="F28" s="28">
        <v>173231</v>
      </c>
      <c r="G28" s="572"/>
      <c r="H28" s="29">
        <v>44825</v>
      </c>
      <c r="I28" s="30">
        <v>4223</v>
      </c>
      <c r="J28" s="56"/>
      <c r="K28" s="57"/>
      <c r="L28" s="54"/>
      <c r="M28" s="32">
        <f>6597+430+7326+5692+21000+60450</f>
        <v>101495</v>
      </c>
      <c r="N28" s="33">
        <v>50792</v>
      </c>
      <c r="O28" s="577" t="s">
        <v>937</v>
      </c>
      <c r="P28" s="283">
        <f t="shared" si="1"/>
        <v>173232</v>
      </c>
      <c r="Q28" s="325">
        <f t="shared" si="0"/>
        <v>1</v>
      </c>
      <c r="R28" s="319">
        <v>0</v>
      </c>
    </row>
    <row r="29" spans="1:22" ht="18" thickBot="1" x14ac:dyDescent="0.35">
      <c r="A29" s="23"/>
      <c r="B29" s="24">
        <v>44826</v>
      </c>
      <c r="C29" s="25">
        <v>11366</v>
      </c>
      <c r="D29" s="58" t="s">
        <v>1269</v>
      </c>
      <c r="E29" s="27">
        <v>44826</v>
      </c>
      <c r="F29" s="28">
        <v>90346</v>
      </c>
      <c r="G29" s="572"/>
      <c r="H29" s="29">
        <v>44826</v>
      </c>
      <c r="I29" s="30">
        <v>1642</v>
      </c>
      <c r="J29" s="59">
        <v>44826</v>
      </c>
      <c r="K29" s="175" t="s">
        <v>1270</v>
      </c>
      <c r="L29" s="54">
        <v>5000</v>
      </c>
      <c r="M29" s="32">
        <f>33783+10450</f>
        <v>44233</v>
      </c>
      <c r="N29" s="33">
        <v>28105</v>
      </c>
      <c r="O29" s="577" t="s">
        <v>937</v>
      </c>
      <c r="P29" s="283">
        <f t="shared" si="1"/>
        <v>90346</v>
      </c>
      <c r="Q29" s="325">
        <f t="shared" si="0"/>
        <v>0</v>
      </c>
      <c r="R29" s="319">
        <v>0</v>
      </c>
    </row>
    <row r="30" spans="1:22" ht="18" thickBot="1" x14ac:dyDescent="0.35">
      <c r="A30" s="23"/>
      <c r="B30" s="24">
        <v>44827</v>
      </c>
      <c r="C30" s="25">
        <v>1581</v>
      </c>
      <c r="D30" s="58" t="s">
        <v>1271</v>
      </c>
      <c r="E30" s="27">
        <v>44827</v>
      </c>
      <c r="F30" s="28">
        <v>129338</v>
      </c>
      <c r="G30" s="572"/>
      <c r="H30" s="29">
        <v>44827</v>
      </c>
      <c r="I30" s="30">
        <v>3549</v>
      </c>
      <c r="J30" s="56"/>
      <c r="K30" s="38"/>
      <c r="L30" s="39"/>
      <c r="M30" s="32">
        <v>79814</v>
      </c>
      <c r="N30" s="33">
        <v>44394</v>
      </c>
      <c r="O30" s="577" t="s">
        <v>937</v>
      </c>
      <c r="P30" s="283">
        <f t="shared" si="1"/>
        <v>129338</v>
      </c>
      <c r="Q30" s="325">
        <f t="shared" si="0"/>
        <v>0</v>
      </c>
      <c r="R30" s="319">
        <v>0</v>
      </c>
    </row>
    <row r="31" spans="1:22" ht="18" thickBot="1" x14ac:dyDescent="0.35">
      <c r="A31" s="23"/>
      <c r="B31" s="24">
        <v>44828</v>
      </c>
      <c r="C31" s="25">
        <v>29510.5</v>
      </c>
      <c r="D31" s="67" t="s">
        <v>1273</v>
      </c>
      <c r="E31" s="27">
        <v>44828</v>
      </c>
      <c r="F31" s="28">
        <v>129885</v>
      </c>
      <c r="G31" s="572"/>
      <c r="H31" s="29">
        <v>44828</v>
      </c>
      <c r="I31" s="30">
        <v>5786</v>
      </c>
      <c r="J31" s="56">
        <v>44828</v>
      </c>
      <c r="K31" s="784" t="s">
        <v>1274</v>
      </c>
      <c r="L31" s="54">
        <v>17332</v>
      </c>
      <c r="M31" s="32">
        <v>16552.5</v>
      </c>
      <c r="N31" s="33">
        <v>60704</v>
      </c>
      <c r="O31" s="577" t="s">
        <v>937</v>
      </c>
      <c r="P31" s="34">
        <f t="shared" si="1"/>
        <v>129885</v>
      </c>
      <c r="Q31" s="325">
        <f t="shared" si="0"/>
        <v>0</v>
      </c>
      <c r="R31" s="319">
        <v>0</v>
      </c>
    </row>
    <row r="32" spans="1:22" ht="18" thickBot="1" x14ac:dyDescent="0.35">
      <c r="A32" s="23"/>
      <c r="B32" s="24">
        <v>44829</v>
      </c>
      <c r="C32" s="25">
        <v>8976</v>
      </c>
      <c r="D32" s="64" t="s">
        <v>1275</v>
      </c>
      <c r="E32" s="27">
        <v>44829</v>
      </c>
      <c r="F32" s="28">
        <v>89845</v>
      </c>
      <c r="G32" s="572"/>
      <c r="H32" s="29">
        <v>44829</v>
      </c>
      <c r="I32" s="30">
        <v>2432</v>
      </c>
      <c r="J32" s="56"/>
      <c r="K32" s="38"/>
      <c r="L32" s="39"/>
      <c r="M32" s="32">
        <f>10000+36765</f>
        <v>46765</v>
      </c>
      <c r="N32" s="33">
        <v>31672</v>
      </c>
      <c r="O32" s="577" t="s">
        <v>937</v>
      </c>
      <c r="P32" s="34">
        <f t="shared" si="1"/>
        <v>89845</v>
      </c>
      <c r="Q32" s="325" t="s">
        <v>1276</v>
      </c>
      <c r="R32" s="319">
        <v>0</v>
      </c>
      <c r="S32" s="98" t="s">
        <v>7</v>
      </c>
    </row>
    <row r="33" spans="1:18" ht="18" thickBot="1" x14ac:dyDescent="0.35">
      <c r="A33" s="23"/>
      <c r="B33" s="24">
        <v>44830</v>
      </c>
      <c r="C33" s="25">
        <v>14233</v>
      </c>
      <c r="D33" s="64" t="s">
        <v>1277</v>
      </c>
      <c r="E33" s="27">
        <v>44830</v>
      </c>
      <c r="F33" s="28">
        <v>153400</v>
      </c>
      <c r="G33" s="572"/>
      <c r="H33" s="29">
        <v>44830</v>
      </c>
      <c r="I33" s="30">
        <v>1019</v>
      </c>
      <c r="J33" s="56"/>
      <c r="K33" s="223"/>
      <c r="L33" s="69"/>
      <c r="M33" s="32">
        <f>65768+19602</f>
        <v>85370</v>
      </c>
      <c r="N33" s="33">
        <v>52778</v>
      </c>
      <c r="O33" s="577" t="s">
        <v>937</v>
      </c>
      <c r="P33" s="34">
        <f t="shared" si="1"/>
        <v>153400</v>
      </c>
      <c r="Q33" s="325">
        <v>0</v>
      </c>
      <c r="R33" s="319">
        <v>0</v>
      </c>
    </row>
    <row r="34" spans="1:18" ht="18" thickBot="1" x14ac:dyDescent="0.35">
      <c r="A34" s="23"/>
      <c r="B34" s="24">
        <v>44831</v>
      </c>
      <c r="C34" s="25">
        <v>22714</v>
      </c>
      <c r="D34" s="64" t="s">
        <v>1278</v>
      </c>
      <c r="E34" s="27">
        <v>44831</v>
      </c>
      <c r="F34" s="28">
        <v>145561</v>
      </c>
      <c r="G34" s="572"/>
      <c r="H34" s="29">
        <v>44831</v>
      </c>
      <c r="I34" s="30">
        <v>860</v>
      </c>
      <c r="J34" s="56"/>
      <c r="K34" s="751"/>
      <c r="L34" s="39"/>
      <c r="M34" s="32">
        <f>56143+28602</f>
        <v>84745</v>
      </c>
      <c r="N34" s="33">
        <v>37242</v>
      </c>
      <c r="O34" s="577" t="s">
        <v>937</v>
      </c>
      <c r="P34" s="34">
        <f t="shared" si="1"/>
        <v>145561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44832</v>
      </c>
      <c r="C35" s="690">
        <v>8231</v>
      </c>
      <c r="D35" s="67" t="s">
        <v>328</v>
      </c>
      <c r="E35" s="27">
        <v>44832</v>
      </c>
      <c r="F35" s="28">
        <v>146386</v>
      </c>
      <c r="G35" s="572"/>
      <c r="H35" s="29">
        <v>44832</v>
      </c>
      <c r="I35" s="30">
        <v>1849</v>
      </c>
      <c r="J35" s="698"/>
      <c r="K35" s="752"/>
      <c r="L35" s="702"/>
      <c r="M35" s="32">
        <f>75888+10438</f>
        <v>86326</v>
      </c>
      <c r="N35" s="33">
        <v>39530</v>
      </c>
      <c r="O35" s="577" t="s">
        <v>937</v>
      </c>
      <c r="P35" s="34">
        <f t="shared" si="1"/>
        <v>135936</v>
      </c>
      <c r="Q35" s="317">
        <f>P35-F35</f>
        <v>-10450</v>
      </c>
      <c r="R35" s="319">
        <v>0</v>
      </c>
    </row>
    <row r="36" spans="1:18" ht="18" customHeight="1" thickTop="1" thickBot="1" x14ac:dyDescent="0.35">
      <c r="A36" s="23"/>
      <c r="B36" s="24">
        <v>44833</v>
      </c>
      <c r="C36" s="693">
        <v>19378.5</v>
      </c>
      <c r="D36" s="786" t="s">
        <v>1279</v>
      </c>
      <c r="E36" s="27">
        <v>44833</v>
      </c>
      <c r="F36" s="28">
        <v>129537</v>
      </c>
      <c r="G36" s="662"/>
      <c r="H36" s="29">
        <v>44833</v>
      </c>
      <c r="I36" s="30">
        <v>1432.5</v>
      </c>
      <c r="J36" s="56"/>
      <c r="K36" s="751"/>
      <c r="L36" s="39"/>
      <c r="M36" s="32">
        <f>75617+5967</f>
        <v>81584</v>
      </c>
      <c r="N36" s="33">
        <v>27142</v>
      </c>
      <c r="O36" s="577" t="s">
        <v>937</v>
      </c>
      <c r="P36" s="34">
        <f t="shared" si="1"/>
        <v>129537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44834</v>
      </c>
      <c r="C37" s="692">
        <v>13389</v>
      </c>
      <c r="D37" s="742" t="s">
        <v>1280</v>
      </c>
      <c r="E37" s="27">
        <v>44834</v>
      </c>
      <c r="F37" s="28">
        <v>132707</v>
      </c>
      <c r="G37" s="662"/>
      <c r="H37" s="29">
        <v>44834</v>
      </c>
      <c r="I37" s="30">
        <v>1695.5</v>
      </c>
      <c r="J37" s="56"/>
      <c r="K37" s="751"/>
      <c r="L37" s="39"/>
      <c r="M37" s="32">
        <v>87292.5</v>
      </c>
      <c r="N37" s="33">
        <v>30330</v>
      </c>
      <c r="O37" s="577" t="s">
        <v>937</v>
      </c>
      <c r="P37" s="34">
        <f t="shared" si="1"/>
        <v>132707</v>
      </c>
      <c r="Q37" s="325">
        <v>0</v>
      </c>
      <c r="R37" s="319">
        <v>0</v>
      </c>
    </row>
    <row r="38" spans="1:18" ht="18" thickBot="1" x14ac:dyDescent="0.35">
      <c r="A38" s="23"/>
      <c r="B38" s="24">
        <v>44835</v>
      </c>
      <c r="C38" s="692">
        <v>0</v>
      </c>
      <c r="D38" s="742"/>
      <c r="E38" s="27">
        <v>44835</v>
      </c>
      <c r="F38" s="28">
        <v>156339</v>
      </c>
      <c r="G38" s="662"/>
      <c r="H38" s="29">
        <v>44835</v>
      </c>
      <c r="I38" s="30">
        <v>3056</v>
      </c>
      <c r="J38" s="56">
        <v>44835</v>
      </c>
      <c r="K38" s="787" t="s">
        <v>1281</v>
      </c>
      <c r="L38" s="39">
        <v>19981</v>
      </c>
      <c r="M38" s="32">
        <v>72199</v>
      </c>
      <c r="N38" s="33">
        <v>61103</v>
      </c>
      <c r="O38" s="577" t="s">
        <v>937</v>
      </c>
      <c r="P38" s="34">
        <f t="shared" si="1"/>
        <v>156339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44836</v>
      </c>
      <c r="C39" s="692">
        <v>3653</v>
      </c>
      <c r="D39" s="695" t="s">
        <v>1282</v>
      </c>
      <c r="E39" s="27">
        <v>44836</v>
      </c>
      <c r="F39" s="508">
        <v>110600</v>
      </c>
      <c r="G39" s="662"/>
      <c r="H39" s="29">
        <v>44836</v>
      </c>
      <c r="I39" s="71">
        <v>120</v>
      </c>
      <c r="J39" s="56"/>
      <c r="K39" s="663"/>
      <c r="L39" s="39"/>
      <c r="M39" s="32">
        <v>67471</v>
      </c>
      <c r="N39" s="33">
        <v>39356</v>
      </c>
      <c r="O39" s="577" t="s">
        <v>937</v>
      </c>
      <c r="P39" s="34">
        <f t="shared" si="1"/>
        <v>110600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44805</v>
      </c>
      <c r="C41" s="692">
        <v>1065.9000000000001</v>
      </c>
      <c r="D41" s="697" t="s">
        <v>1350</v>
      </c>
      <c r="E41" s="74"/>
      <c r="F41" s="75"/>
      <c r="G41" s="572"/>
      <c r="H41" s="76"/>
      <c r="I41" s="77"/>
      <c r="J41" s="56">
        <v>44807</v>
      </c>
      <c r="K41" s="739" t="s">
        <v>1250</v>
      </c>
      <c r="L41" s="39">
        <v>19507</v>
      </c>
      <c r="M41" s="931">
        <f>SUM(M5:M40)</f>
        <v>2172487.6799999997</v>
      </c>
      <c r="N41" s="931">
        <f>SUM(N5:N40)</f>
        <v>1625219</v>
      </c>
      <c r="P41" s="505">
        <f>SUM(P5:P40)</f>
        <v>4566318.68</v>
      </c>
      <c r="Q41" s="996">
        <f>SUM(Q5:Q40)</f>
        <v>6</v>
      </c>
      <c r="R41" s="227">
        <f>SUM(R28:R40)</f>
        <v>0</v>
      </c>
    </row>
    <row r="42" spans="1:18" ht="18" thickBot="1" x14ac:dyDescent="0.35">
      <c r="A42" s="23"/>
      <c r="B42" s="24">
        <v>44806</v>
      </c>
      <c r="C42" s="692">
        <v>200000</v>
      </c>
      <c r="D42" s="697" t="s">
        <v>1208</v>
      </c>
      <c r="E42" s="74"/>
      <c r="F42" s="75"/>
      <c r="G42" s="572"/>
      <c r="H42" s="76"/>
      <c r="I42" s="77"/>
      <c r="J42" s="698">
        <v>44814</v>
      </c>
      <c r="K42" s="740" t="s">
        <v>1256</v>
      </c>
      <c r="L42" s="702">
        <v>19250</v>
      </c>
      <c r="M42" s="932"/>
      <c r="N42" s="932"/>
      <c r="P42" s="34"/>
      <c r="Q42" s="997"/>
      <c r="R42" s="788">
        <f>SUM(R5:R41)</f>
        <v>121832</v>
      </c>
    </row>
    <row r="43" spans="1:18" ht="18" thickBot="1" x14ac:dyDescent="0.35">
      <c r="A43" s="23"/>
      <c r="B43" s="24">
        <v>44806</v>
      </c>
      <c r="C43" s="692">
        <v>30000</v>
      </c>
      <c r="D43" s="697" t="s">
        <v>978</v>
      </c>
      <c r="E43" s="74"/>
      <c r="F43" s="75"/>
      <c r="G43" s="572"/>
      <c r="H43" s="76"/>
      <c r="I43" s="77"/>
      <c r="J43" s="56">
        <v>44821</v>
      </c>
      <c r="K43" s="739" t="s">
        <v>1265</v>
      </c>
      <c r="L43" s="39">
        <v>22764</v>
      </c>
      <c r="M43" s="750"/>
      <c r="N43" s="750"/>
      <c r="P43" s="34"/>
      <c r="Q43" s="13"/>
    </row>
    <row r="44" spans="1:18" ht="18" thickBot="1" x14ac:dyDescent="0.35">
      <c r="A44" s="23"/>
      <c r="B44" s="24">
        <v>44810</v>
      </c>
      <c r="C44" s="692">
        <v>2236.4</v>
      </c>
      <c r="D44" s="697" t="s">
        <v>1351</v>
      </c>
      <c r="E44" s="74"/>
      <c r="F44" s="75"/>
      <c r="G44" s="572"/>
      <c r="H44" s="76"/>
      <c r="I44" s="77"/>
      <c r="J44" s="56">
        <v>44828</v>
      </c>
      <c r="K44" s="785" t="s">
        <v>1274</v>
      </c>
      <c r="L44" s="39">
        <v>19464</v>
      </c>
      <c r="M44" s="750"/>
      <c r="N44" s="750"/>
      <c r="P44" s="34"/>
      <c r="Q44" s="13"/>
    </row>
    <row r="45" spans="1:18" ht="18" thickBot="1" x14ac:dyDescent="0.35">
      <c r="A45" s="23"/>
      <c r="B45" s="24">
        <v>44810</v>
      </c>
      <c r="C45" s="692">
        <v>455691.8</v>
      </c>
      <c r="D45" s="73" t="s">
        <v>1352</v>
      </c>
      <c r="E45" s="74"/>
      <c r="F45" s="75"/>
      <c r="G45" s="572"/>
      <c r="H45" s="76"/>
      <c r="I45" s="77"/>
      <c r="J45" s="56">
        <v>44835</v>
      </c>
      <c r="K45" s="785" t="s">
        <v>1281</v>
      </c>
      <c r="L45" s="39">
        <v>19450</v>
      </c>
      <c r="M45" s="998">
        <f>M41+N41</f>
        <v>3797706.6799999997</v>
      </c>
      <c r="N45" s="999"/>
      <c r="P45" s="34"/>
      <c r="Q45" s="13"/>
    </row>
    <row r="46" spans="1:18" ht="18" thickBot="1" x14ac:dyDescent="0.35">
      <c r="A46" s="23"/>
      <c r="B46" s="24">
        <v>44810</v>
      </c>
      <c r="C46" s="692">
        <v>197670.39999999999</v>
      </c>
      <c r="D46" s="73" t="s">
        <v>1208</v>
      </c>
      <c r="E46" s="74"/>
      <c r="F46" s="75"/>
      <c r="G46" s="572"/>
      <c r="H46" s="76"/>
      <c r="I46" s="77"/>
      <c r="J46" s="56"/>
      <c r="K46" s="38"/>
      <c r="L46" s="39">
        <v>0</v>
      </c>
      <c r="M46" s="750"/>
      <c r="N46" s="750"/>
      <c r="P46" s="34"/>
      <c r="Q46" s="13"/>
    </row>
    <row r="47" spans="1:18" ht="18" thickBot="1" x14ac:dyDescent="0.35">
      <c r="A47" s="23"/>
      <c r="B47" s="24">
        <v>44810</v>
      </c>
      <c r="C47" s="692">
        <v>28000</v>
      </c>
      <c r="D47" s="73" t="s">
        <v>1354</v>
      </c>
      <c r="E47" s="74"/>
      <c r="F47" s="75"/>
      <c r="G47" s="572"/>
      <c r="H47" s="76"/>
      <c r="I47" s="77"/>
      <c r="J47" s="622">
        <v>44802</v>
      </c>
      <c r="K47" s="804" t="s">
        <v>202</v>
      </c>
      <c r="L47" s="624">
        <v>4342.01</v>
      </c>
      <c r="M47" s="750"/>
      <c r="N47" s="750"/>
      <c r="P47" s="34"/>
      <c r="Q47" s="13"/>
    </row>
    <row r="48" spans="1:18" ht="18" thickBot="1" x14ac:dyDescent="0.35">
      <c r="A48" s="23"/>
      <c r="B48" s="24">
        <v>44816</v>
      </c>
      <c r="C48" s="692">
        <v>39811</v>
      </c>
      <c r="D48" s="73" t="s">
        <v>1355</v>
      </c>
      <c r="E48" s="74"/>
      <c r="F48" s="75"/>
      <c r="G48" s="572"/>
      <c r="H48" s="76"/>
      <c r="I48" s="77"/>
      <c r="J48" s="466">
        <v>44804</v>
      </c>
      <c r="K48" s="805" t="s">
        <v>1363</v>
      </c>
      <c r="L48" s="54">
        <v>1126.45</v>
      </c>
      <c r="M48" s="750"/>
      <c r="N48" s="750"/>
      <c r="P48" s="34"/>
      <c r="Q48" s="13"/>
    </row>
    <row r="49" spans="1:17" ht="18" thickBot="1" x14ac:dyDescent="0.35">
      <c r="A49" s="23"/>
      <c r="B49" s="24">
        <v>44819</v>
      </c>
      <c r="C49" s="692">
        <v>200000</v>
      </c>
      <c r="D49" s="73" t="s">
        <v>1208</v>
      </c>
      <c r="E49" s="74"/>
      <c r="F49" s="75"/>
      <c r="G49" s="572"/>
      <c r="H49" s="76"/>
      <c r="I49" s="77"/>
      <c r="J49" s="601">
        <v>44809</v>
      </c>
      <c r="K49" s="803" t="s">
        <v>854</v>
      </c>
      <c r="L49" s="69">
        <v>5894.61</v>
      </c>
      <c r="M49" s="750"/>
      <c r="N49" s="750"/>
      <c r="P49" s="34"/>
      <c r="Q49" s="13"/>
    </row>
    <row r="50" spans="1:17" ht="18" thickBot="1" x14ac:dyDescent="0.35">
      <c r="A50" s="23"/>
      <c r="B50" s="24">
        <v>44823</v>
      </c>
      <c r="C50" s="692">
        <v>57150</v>
      </c>
      <c r="D50" s="73" t="s">
        <v>1356</v>
      </c>
      <c r="E50" s="74"/>
      <c r="F50" s="75"/>
      <c r="G50" s="572"/>
      <c r="H50" s="76"/>
      <c r="I50" s="77"/>
      <c r="J50" s="601">
        <v>44812</v>
      </c>
      <c r="K50" s="803" t="s">
        <v>1353</v>
      </c>
      <c r="L50" s="69">
        <v>4006.5</v>
      </c>
      <c r="M50" s="750"/>
      <c r="N50" s="750"/>
      <c r="P50" s="34"/>
      <c r="Q50" s="13"/>
    </row>
    <row r="51" spans="1:17" ht="18" thickBot="1" x14ac:dyDescent="0.35">
      <c r="A51" s="23"/>
      <c r="B51" s="24">
        <v>44824</v>
      </c>
      <c r="C51" s="692">
        <v>184147</v>
      </c>
      <c r="D51" s="73" t="s">
        <v>1208</v>
      </c>
      <c r="E51" s="74"/>
      <c r="F51" s="75"/>
      <c r="G51" s="572"/>
      <c r="H51" s="76"/>
      <c r="I51" s="77"/>
      <c r="J51" s="601">
        <v>44814</v>
      </c>
      <c r="K51" s="803" t="s">
        <v>1100</v>
      </c>
      <c r="L51" s="69">
        <v>1856</v>
      </c>
      <c r="M51" s="750"/>
      <c r="N51" s="750"/>
      <c r="P51" s="34"/>
      <c r="Q51" s="13"/>
    </row>
    <row r="52" spans="1:17" ht="18" thickBot="1" x14ac:dyDescent="0.35">
      <c r="A52" s="23"/>
      <c r="B52" s="24">
        <v>44824</v>
      </c>
      <c r="C52" s="692">
        <v>83097</v>
      </c>
      <c r="D52" s="73" t="s">
        <v>1357</v>
      </c>
      <c r="E52" s="74"/>
      <c r="F52" s="75"/>
      <c r="G52" s="572"/>
      <c r="H52" s="76"/>
      <c r="I52" s="77"/>
      <c r="J52" s="601">
        <v>44823</v>
      </c>
      <c r="K52" s="803" t="s">
        <v>854</v>
      </c>
      <c r="L52" s="69">
        <v>9575.01</v>
      </c>
      <c r="M52" s="750"/>
      <c r="N52" s="750"/>
      <c r="P52" s="34"/>
      <c r="Q52" s="13"/>
    </row>
    <row r="53" spans="1:17" ht="18" thickBot="1" x14ac:dyDescent="0.35">
      <c r="A53" s="23"/>
      <c r="B53" s="24">
        <v>44825</v>
      </c>
      <c r="C53" s="692">
        <v>6862.78</v>
      </c>
      <c r="D53" s="73" t="s">
        <v>1358</v>
      </c>
      <c r="E53" s="74"/>
      <c r="F53" s="75"/>
      <c r="G53" s="572"/>
      <c r="H53" s="76"/>
      <c r="I53" s="77"/>
      <c r="J53" s="601">
        <v>44826</v>
      </c>
      <c r="K53" s="803" t="s">
        <v>1359</v>
      </c>
      <c r="L53" s="69">
        <v>1368</v>
      </c>
      <c r="M53" s="750"/>
      <c r="N53" s="750"/>
      <c r="P53" s="34"/>
      <c r="Q53" s="13"/>
    </row>
    <row r="54" spans="1:17" ht="18" thickBot="1" x14ac:dyDescent="0.35">
      <c r="A54" s="23"/>
      <c r="B54" s="24">
        <v>44826</v>
      </c>
      <c r="C54" s="694">
        <v>28000</v>
      </c>
      <c r="D54" s="73" t="s">
        <v>1354</v>
      </c>
      <c r="E54" s="74"/>
      <c r="F54" s="75"/>
      <c r="G54" s="572"/>
      <c r="H54" s="76"/>
      <c r="I54" s="77"/>
      <c r="J54" s="601">
        <v>44826</v>
      </c>
      <c r="K54" s="802" t="s">
        <v>1360</v>
      </c>
      <c r="L54" s="69">
        <v>2626.35</v>
      </c>
      <c r="M54" s="750"/>
      <c r="N54" s="750"/>
      <c r="P54" s="34"/>
      <c r="Q54" s="13"/>
    </row>
    <row r="55" spans="1:17" ht="18.75" thickTop="1" thickBot="1" x14ac:dyDescent="0.35">
      <c r="A55" s="23"/>
      <c r="B55" s="24">
        <v>44830</v>
      </c>
      <c r="C55" s="691">
        <v>4698</v>
      </c>
      <c r="D55" s="73" t="s">
        <v>834</v>
      </c>
      <c r="E55" s="74"/>
      <c r="F55" s="75"/>
      <c r="G55" s="572"/>
      <c r="H55" s="76"/>
      <c r="I55" s="77"/>
      <c r="J55" s="601">
        <v>44830</v>
      </c>
      <c r="K55" s="803" t="s">
        <v>1361</v>
      </c>
      <c r="L55" s="69">
        <v>4689.8100000000004</v>
      </c>
      <c r="M55" s="750"/>
      <c r="N55" s="750"/>
      <c r="P55" s="34"/>
      <c r="Q55" s="13"/>
    </row>
    <row r="56" spans="1:17" ht="18" thickBot="1" x14ac:dyDescent="0.35">
      <c r="A56" s="23"/>
      <c r="B56" s="24">
        <v>44831</v>
      </c>
      <c r="C56" s="25">
        <v>6792.78</v>
      </c>
      <c r="D56" s="73" t="s">
        <v>1362</v>
      </c>
      <c r="E56" s="74"/>
      <c r="F56" s="75"/>
      <c r="G56" s="572"/>
      <c r="H56" s="76"/>
      <c r="I56" s="77"/>
      <c r="J56" s="601">
        <v>44832</v>
      </c>
      <c r="K56" s="802" t="s">
        <v>202</v>
      </c>
      <c r="L56" s="69">
        <v>12964.45</v>
      </c>
      <c r="M56" s="750"/>
      <c r="N56" s="750"/>
      <c r="P56" s="34"/>
      <c r="Q56" s="13"/>
    </row>
    <row r="57" spans="1:17" ht="18" thickBot="1" x14ac:dyDescent="0.35">
      <c r="A57" s="23"/>
      <c r="B57" s="24">
        <v>44834</v>
      </c>
      <c r="C57" s="25">
        <v>6032</v>
      </c>
      <c r="D57" s="73" t="s">
        <v>1364</v>
      </c>
      <c r="E57" s="74"/>
      <c r="F57" s="75"/>
      <c r="G57" s="572"/>
      <c r="H57" s="76"/>
      <c r="I57" s="77"/>
      <c r="J57" s="601">
        <v>44832</v>
      </c>
      <c r="K57" s="803" t="s">
        <v>825</v>
      </c>
      <c r="L57" s="69">
        <v>2320</v>
      </c>
      <c r="M57" s="750"/>
      <c r="N57" s="750"/>
      <c r="P57" s="34"/>
      <c r="Q57" s="13"/>
    </row>
    <row r="58" spans="1:17" ht="18" thickBot="1" x14ac:dyDescent="0.35">
      <c r="A58" s="23"/>
      <c r="B58" s="24">
        <v>44834</v>
      </c>
      <c r="C58" s="25">
        <v>64615.98</v>
      </c>
      <c r="D58" s="73" t="s">
        <v>1366</v>
      </c>
      <c r="E58" s="74"/>
      <c r="F58" s="75"/>
      <c r="G58" s="572"/>
      <c r="H58" s="76"/>
      <c r="I58" s="77"/>
      <c r="J58" s="601">
        <v>44832</v>
      </c>
      <c r="K58" s="803" t="s">
        <v>1363</v>
      </c>
      <c r="L58" s="69">
        <v>1126.45</v>
      </c>
      <c r="M58" s="750"/>
      <c r="N58" s="750"/>
      <c r="P58" s="34"/>
      <c r="Q58" s="13"/>
    </row>
    <row r="59" spans="1:17" ht="18" thickBot="1" x14ac:dyDescent="0.35">
      <c r="A59" s="23"/>
      <c r="B59" s="24">
        <v>44804</v>
      </c>
      <c r="C59" s="25">
        <v>5568</v>
      </c>
      <c r="D59" s="73" t="s">
        <v>1364</v>
      </c>
      <c r="E59" s="74"/>
      <c r="F59" s="75"/>
      <c r="G59" s="572"/>
      <c r="H59" s="76"/>
      <c r="I59" s="77"/>
      <c r="J59" s="601">
        <v>44834</v>
      </c>
      <c r="K59" s="671" t="s">
        <v>1365</v>
      </c>
      <c r="L59" s="69">
        <v>2850</v>
      </c>
      <c r="M59" s="750"/>
      <c r="N59" s="750"/>
      <c r="P59" s="34"/>
      <c r="Q59" s="13"/>
    </row>
    <row r="60" spans="1:17" ht="16.5" thickBot="1" x14ac:dyDescent="0.3">
      <c r="A60" s="23"/>
      <c r="B60" s="80">
        <v>44804</v>
      </c>
      <c r="C60" s="25">
        <v>391725.77</v>
      </c>
      <c r="D60" s="81" t="s">
        <v>1367</v>
      </c>
      <c r="E60" s="82"/>
      <c r="F60" s="72"/>
      <c r="H60" s="83"/>
      <c r="I60" s="77"/>
      <c r="J60" s="801" t="s">
        <v>1369</v>
      </c>
      <c r="K60" s="174" t="s">
        <v>1370</v>
      </c>
      <c r="L60" s="69">
        <v>42972.75</v>
      </c>
      <c r="M60" s="34"/>
      <c r="N60" s="34"/>
      <c r="P60" s="34"/>
      <c r="Q60" s="13"/>
    </row>
    <row r="61" spans="1:17" ht="16.5" thickBot="1" x14ac:dyDescent="0.3">
      <c r="A61" s="23"/>
      <c r="B61" s="595">
        <v>44804</v>
      </c>
      <c r="C61" s="596">
        <v>17337.12</v>
      </c>
      <c r="D61" s="81" t="s">
        <v>1368</v>
      </c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2558479.81</v>
      </c>
      <c r="D67" s="88"/>
      <c r="E67" s="91" t="s">
        <v>8</v>
      </c>
      <c r="F67" s="90">
        <f>SUM(F5:F60)</f>
        <v>4444478</v>
      </c>
      <c r="G67" s="573"/>
      <c r="H67" s="91" t="s">
        <v>9</v>
      </c>
      <c r="I67" s="92">
        <f>SUM(I5:I60)</f>
        <v>86708</v>
      </c>
      <c r="J67" s="93"/>
      <c r="K67" s="94" t="s">
        <v>10</v>
      </c>
      <c r="L67" s="95">
        <f>SUM(L5:L65)-L26</f>
        <v>314742.39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8" t="s">
        <v>11</v>
      </c>
      <c r="I69" s="909"/>
      <c r="J69" s="559"/>
      <c r="K69" s="1033">
        <f>I67+L67</f>
        <v>401450.39</v>
      </c>
      <c r="L69" s="1034"/>
      <c r="M69" s="272"/>
      <c r="N69" s="272"/>
      <c r="P69" s="34"/>
      <c r="Q69" s="13"/>
    </row>
    <row r="70" spans="1:17" x14ac:dyDescent="0.25">
      <c r="D70" s="914" t="s">
        <v>12</v>
      </c>
      <c r="E70" s="914"/>
      <c r="F70" s="312">
        <f>F67-K69-C67</f>
        <v>1484547.7999999998</v>
      </c>
      <c r="I70" s="102"/>
      <c r="J70" s="560"/>
    </row>
    <row r="71" spans="1:17" ht="18.75" x14ac:dyDescent="0.3">
      <c r="D71" s="938" t="s">
        <v>95</v>
      </c>
      <c r="E71" s="938"/>
      <c r="F71" s="111">
        <v>-2600214.79</v>
      </c>
      <c r="I71" s="915" t="s">
        <v>13</v>
      </c>
      <c r="J71" s="916"/>
      <c r="K71" s="917">
        <f>F73+F74+F75</f>
        <v>2724761.13</v>
      </c>
      <c r="L71" s="917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-250099.28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-1365766.2700000003</v>
      </c>
      <c r="H73" s="555"/>
      <c r="I73" s="108" t="s">
        <v>15</v>
      </c>
      <c r="J73" s="109"/>
      <c r="K73" s="1029">
        <f>-C4</f>
        <v>-2672555.9900000002</v>
      </c>
      <c r="L73" s="917"/>
    </row>
    <row r="74" spans="1:17" ht="16.5" thickBot="1" x14ac:dyDescent="0.3">
      <c r="D74" s="110" t="s">
        <v>16</v>
      </c>
      <c r="E74" s="98" t="s">
        <v>17</v>
      </c>
      <c r="F74" s="111">
        <v>317024</v>
      </c>
    </row>
    <row r="75" spans="1:17" ht="20.25" thickTop="1" thickBot="1" x14ac:dyDescent="0.35">
      <c r="C75" s="112">
        <v>44836</v>
      </c>
      <c r="D75" s="897" t="s">
        <v>18</v>
      </c>
      <c r="E75" s="898"/>
      <c r="F75" s="113">
        <v>3773503.4</v>
      </c>
      <c r="I75" s="1060" t="s">
        <v>198</v>
      </c>
      <c r="J75" s="1061"/>
      <c r="K75" s="1062">
        <f>K71+K73</f>
        <v>52205.139999999665</v>
      </c>
      <c r="L75" s="106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J47:L60">
    <sortCondition ref="J47:J60"/>
  </sortState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249977111117893"/>
  </sheetPr>
  <dimension ref="B1:N123"/>
  <sheetViews>
    <sheetView topLeftCell="A25" workbookViewId="0">
      <selection activeCell="D45" sqref="D45"/>
    </sheetView>
  </sheetViews>
  <sheetFormatPr baseColWidth="10" defaultRowHeight="15" x14ac:dyDescent="0.25"/>
  <cols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545" t="s">
        <v>19</v>
      </c>
      <c r="C2" s="546" t="s">
        <v>20</v>
      </c>
      <c r="D2" s="547" t="s">
        <v>21</v>
      </c>
      <c r="E2" s="548" t="s">
        <v>22</v>
      </c>
      <c r="F2" s="549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31.5" x14ac:dyDescent="0.25">
      <c r="B3" s="454">
        <v>44802</v>
      </c>
      <c r="C3" s="246" t="s">
        <v>1312</v>
      </c>
      <c r="D3" s="111">
        <v>121622.37</v>
      </c>
      <c r="E3" s="834" t="s">
        <v>1443</v>
      </c>
      <c r="F3" s="111">
        <f>71753.5+49868.87</f>
        <v>121622.37</v>
      </c>
      <c r="G3" s="410">
        <f>D3-F3</f>
        <v>0</v>
      </c>
      <c r="I3" s="789" t="s">
        <v>1309</v>
      </c>
      <c r="J3" s="790">
        <v>10198</v>
      </c>
      <c r="K3" s="791">
        <v>3903.92</v>
      </c>
      <c r="L3" s="853">
        <v>44853</v>
      </c>
      <c r="M3" s="856">
        <v>3903.92</v>
      </c>
      <c r="N3" s="183">
        <f>K3-M3</f>
        <v>0</v>
      </c>
    </row>
    <row r="4" spans="2:14" ht="18.75" x14ac:dyDescent="0.3">
      <c r="B4" s="454">
        <v>44802</v>
      </c>
      <c r="C4" s="246" t="s">
        <v>1313</v>
      </c>
      <c r="D4" s="111">
        <v>7506</v>
      </c>
      <c r="E4" s="652">
        <v>44847</v>
      </c>
      <c r="F4" s="653">
        <v>7506</v>
      </c>
      <c r="G4" s="544">
        <f t="shared" ref="G4:G65" si="0">D4-F4</f>
        <v>0</v>
      </c>
      <c r="H4" s="138"/>
      <c r="I4" s="500" t="s">
        <v>1310</v>
      </c>
      <c r="J4" s="501">
        <v>10204</v>
      </c>
      <c r="K4" s="502">
        <v>9566.7999999999993</v>
      </c>
      <c r="L4" s="853">
        <v>44853</v>
      </c>
      <c r="M4" s="857">
        <v>9566.7999999999993</v>
      </c>
      <c r="N4" s="137">
        <f>N3+K4-M4</f>
        <v>0</v>
      </c>
    </row>
    <row r="5" spans="2:14" ht="15.75" x14ac:dyDescent="0.25">
      <c r="B5" s="454">
        <v>44803</v>
      </c>
      <c r="C5" s="246" t="s">
        <v>1314</v>
      </c>
      <c r="D5" s="111">
        <v>60096.32</v>
      </c>
      <c r="E5" s="652">
        <v>44847</v>
      </c>
      <c r="F5" s="653">
        <v>60096.32</v>
      </c>
      <c r="G5" s="544">
        <f t="shared" si="0"/>
        <v>0</v>
      </c>
      <c r="I5" s="500" t="s">
        <v>1311</v>
      </c>
      <c r="J5" s="501">
        <v>10211</v>
      </c>
      <c r="K5" s="502">
        <v>330</v>
      </c>
      <c r="L5" s="853">
        <v>44853</v>
      </c>
      <c r="M5" s="857">
        <v>330</v>
      </c>
      <c r="N5" s="137">
        <f t="shared" ref="N5:N65" si="1">N4+K5-M5</f>
        <v>0</v>
      </c>
    </row>
    <row r="6" spans="2:14" ht="15.75" x14ac:dyDescent="0.25">
      <c r="B6" s="454">
        <v>44804</v>
      </c>
      <c r="C6" s="246" t="s">
        <v>1315</v>
      </c>
      <c r="D6" s="111">
        <v>70935.199999999997</v>
      </c>
      <c r="E6" s="652">
        <v>44847</v>
      </c>
      <c r="F6" s="653">
        <v>70935.199999999997</v>
      </c>
      <c r="G6" s="544">
        <f t="shared" si="0"/>
        <v>0</v>
      </c>
      <c r="I6" s="500" t="s">
        <v>1283</v>
      </c>
      <c r="J6" s="501">
        <v>10237</v>
      </c>
      <c r="K6" s="502">
        <v>1450.6</v>
      </c>
      <c r="L6" s="853">
        <v>44853</v>
      </c>
      <c r="M6" s="857">
        <v>1450.6</v>
      </c>
      <c r="N6" s="137">
        <f t="shared" si="1"/>
        <v>0</v>
      </c>
    </row>
    <row r="7" spans="2:14" ht="15.75" x14ac:dyDescent="0.25">
      <c r="B7" s="452">
        <v>44805</v>
      </c>
      <c r="C7" s="437" t="s">
        <v>1318</v>
      </c>
      <c r="D7" s="392">
        <v>135900.6</v>
      </c>
      <c r="E7" s="652">
        <v>44847</v>
      </c>
      <c r="F7" s="837">
        <v>135900.6</v>
      </c>
      <c r="G7" s="544">
        <f t="shared" si="0"/>
        <v>0</v>
      </c>
      <c r="I7" s="497" t="s">
        <v>1284</v>
      </c>
      <c r="J7" s="498">
        <v>10243</v>
      </c>
      <c r="K7" s="499">
        <v>2480</v>
      </c>
      <c r="L7" s="853">
        <v>44853</v>
      </c>
      <c r="M7" s="857">
        <v>2480</v>
      </c>
      <c r="N7" s="137">
        <f t="shared" si="1"/>
        <v>0</v>
      </c>
    </row>
    <row r="8" spans="2:14" ht="15.75" x14ac:dyDescent="0.25">
      <c r="B8" s="452">
        <v>44713</v>
      </c>
      <c r="C8" s="437" t="s">
        <v>1319</v>
      </c>
      <c r="D8" s="392">
        <v>4028</v>
      </c>
      <c r="E8" s="652">
        <v>44847</v>
      </c>
      <c r="F8" s="837">
        <v>4028</v>
      </c>
      <c r="G8" s="544">
        <f t="shared" si="0"/>
        <v>0</v>
      </c>
      <c r="I8" s="497" t="s">
        <v>1284</v>
      </c>
      <c r="J8" s="498">
        <v>10245</v>
      </c>
      <c r="K8" s="499">
        <v>3712</v>
      </c>
      <c r="L8" s="853">
        <v>44853</v>
      </c>
      <c r="M8" s="857">
        <v>3712</v>
      </c>
      <c r="N8" s="137">
        <f t="shared" si="1"/>
        <v>0</v>
      </c>
    </row>
    <row r="9" spans="2:14" ht="15.75" x14ac:dyDescent="0.25">
      <c r="B9" s="452">
        <v>44806</v>
      </c>
      <c r="C9" s="437" t="s">
        <v>1320</v>
      </c>
      <c r="D9" s="392">
        <v>71698.3</v>
      </c>
      <c r="E9" s="652">
        <v>44847</v>
      </c>
      <c r="F9" s="837">
        <v>71698.3</v>
      </c>
      <c r="G9" s="544">
        <f t="shared" si="0"/>
        <v>0</v>
      </c>
      <c r="I9" s="500" t="s">
        <v>1285</v>
      </c>
      <c r="J9" s="501">
        <v>10252</v>
      </c>
      <c r="K9" s="502">
        <v>8863</v>
      </c>
      <c r="L9" s="853">
        <v>44853</v>
      </c>
      <c r="M9" s="857">
        <v>8863</v>
      </c>
      <c r="N9" s="137">
        <f t="shared" si="1"/>
        <v>0</v>
      </c>
    </row>
    <row r="10" spans="2:14" ht="18.75" x14ac:dyDescent="0.3">
      <c r="B10" s="452">
        <v>44807</v>
      </c>
      <c r="C10" s="437" t="s">
        <v>1321</v>
      </c>
      <c r="D10" s="392">
        <v>76677.600000000006</v>
      </c>
      <c r="E10" s="652">
        <v>44847</v>
      </c>
      <c r="F10" s="837">
        <v>76677.600000000006</v>
      </c>
      <c r="G10" s="544">
        <f t="shared" si="0"/>
        <v>0</v>
      </c>
      <c r="H10" s="138"/>
      <c r="I10" s="500" t="s">
        <v>1286</v>
      </c>
      <c r="J10" s="501">
        <v>10256</v>
      </c>
      <c r="K10" s="502">
        <v>6457.76</v>
      </c>
      <c r="L10" s="853">
        <v>44853</v>
      </c>
      <c r="M10" s="857">
        <v>6457.76</v>
      </c>
      <c r="N10" s="137">
        <f t="shared" si="1"/>
        <v>0</v>
      </c>
    </row>
    <row r="11" spans="2:14" ht="15.75" x14ac:dyDescent="0.25">
      <c r="B11" s="452">
        <v>44809</v>
      </c>
      <c r="C11" s="437" t="s">
        <v>1322</v>
      </c>
      <c r="D11" s="392">
        <v>74432.399999999994</v>
      </c>
      <c r="E11" s="652">
        <v>44847</v>
      </c>
      <c r="F11" s="837">
        <v>74432.399999999994</v>
      </c>
      <c r="G11" s="544">
        <f t="shared" si="0"/>
        <v>0</v>
      </c>
      <c r="I11" s="500" t="s">
        <v>1287</v>
      </c>
      <c r="J11" s="501">
        <v>10264</v>
      </c>
      <c r="K11" s="502">
        <v>6040</v>
      </c>
      <c r="L11" s="853">
        <v>44853</v>
      </c>
      <c r="M11" s="857">
        <v>6040</v>
      </c>
      <c r="N11" s="137">
        <f t="shared" si="1"/>
        <v>0</v>
      </c>
    </row>
    <row r="12" spans="2:14" ht="15.75" x14ac:dyDescent="0.25">
      <c r="B12" s="452">
        <v>44810</v>
      </c>
      <c r="C12" s="437" t="s">
        <v>1323</v>
      </c>
      <c r="D12" s="392">
        <v>88952.15</v>
      </c>
      <c r="E12" s="652">
        <v>44847</v>
      </c>
      <c r="F12" s="837">
        <v>88952.15</v>
      </c>
      <c r="G12" s="544">
        <f t="shared" si="0"/>
        <v>0</v>
      </c>
      <c r="I12" s="497" t="s">
        <v>1288</v>
      </c>
      <c r="J12" s="498">
        <v>10274</v>
      </c>
      <c r="K12" s="499">
        <v>9717.6</v>
      </c>
      <c r="L12" s="853">
        <v>44853</v>
      </c>
      <c r="M12" s="857">
        <v>9717.6</v>
      </c>
      <c r="N12" s="137">
        <f t="shared" si="1"/>
        <v>0</v>
      </c>
    </row>
    <row r="13" spans="2:14" ht="15.75" x14ac:dyDescent="0.25">
      <c r="B13" s="452">
        <v>44811</v>
      </c>
      <c r="C13" s="437" t="s">
        <v>1324</v>
      </c>
      <c r="D13" s="392">
        <v>156034.5</v>
      </c>
      <c r="E13" s="652">
        <v>44847</v>
      </c>
      <c r="F13" s="837">
        <v>156034.5</v>
      </c>
      <c r="G13" s="544">
        <f t="shared" si="0"/>
        <v>0</v>
      </c>
      <c r="I13" s="500" t="s">
        <v>1289</v>
      </c>
      <c r="J13" s="501">
        <v>10300</v>
      </c>
      <c r="K13" s="502">
        <v>16135.8</v>
      </c>
      <c r="L13" s="853">
        <v>44853</v>
      </c>
      <c r="M13" s="857">
        <v>16135.8</v>
      </c>
      <c r="N13" s="137">
        <f t="shared" si="1"/>
        <v>0</v>
      </c>
    </row>
    <row r="14" spans="2:14" ht="15.75" x14ac:dyDescent="0.25">
      <c r="B14" s="452">
        <v>44812</v>
      </c>
      <c r="C14" s="437" t="s">
        <v>1325</v>
      </c>
      <c r="D14" s="392">
        <v>39036</v>
      </c>
      <c r="E14" s="652">
        <v>44847</v>
      </c>
      <c r="F14" s="837">
        <v>39036</v>
      </c>
      <c r="G14" s="544">
        <f t="shared" si="0"/>
        <v>0</v>
      </c>
      <c r="I14" s="497" t="s">
        <v>1290</v>
      </c>
      <c r="J14" s="498">
        <v>10305</v>
      </c>
      <c r="K14" s="499">
        <v>440</v>
      </c>
      <c r="L14" s="853">
        <v>44853</v>
      </c>
      <c r="M14" s="857">
        <v>440</v>
      </c>
      <c r="N14" s="137">
        <f t="shared" si="1"/>
        <v>0</v>
      </c>
    </row>
    <row r="15" spans="2:14" ht="15.75" x14ac:dyDescent="0.25">
      <c r="B15" s="452">
        <v>44813</v>
      </c>
      <c r="C15" s="437" t="s">
        <v>1326</v>
      </c>
      <c r="D15" s="392">
        <v>45856.7</v>
      </c>
      <c r="E15" s="652">
        <v>44847</v>
      </c>
      <c r="F15" s="837">
        <v>45856.7</v>
      </c>
      <c r="G15" s="544">
        <f t="shared" si="0"/>
        <v>0</v>
      </c>
      <c r="I15" s="497" t="s">
        <v>1291</v>
      </c>
      <c r="J15" s="498">
        <v>10315</v>
      </c>
      <c r="K15" s="499">
        <v>9204</v>
      </c>
      <c r="L15" s="853">
        <v>44853</v>
      </c>
      <c r="M15" s="857">
        <v>9204</v>
      </c>
      <c r="N15" s="137">
        <f t="shared" si="1"/>
        <v>0</v>
      </c>
    </row>
    <row r="16" spans="2:14" ht="15.75" x14ac:dyDescent="0.25">
      <c r="B16" s="452">
        <v>44814</v>
      </c>
      <c r="C16" s="437" t="s">
        <v>1327</v>
      </c>
      <c r="D16" s="392">
        <v>90919.73</v>
      </c>
      <c r="E16" s="652">
        <v>44847</v>
      </c>
      <c r="F16" s="837">
        <v>90919.73</v>
      </c>
      <c r="G16" s="544">
        <f t="shared" si="0"/>
        <v>0</v>
      </c>
      <c r="I16" s="500" t="s">
        <v>1292</v>
      </c>
      <c r="J16" s="501">
        <v>10323</v>
      </c>
      <c r="K16" s="502">
        <v>880</v>
      </c>
      <c r="L16" s="853">
        <v>44853</v>
      </c>
      <c r="M16" s="857">
        <v>880</v>
      </c>
      <c r="N16" s="137">
        <f t="shared" si="1"/>
        <v>0</v>
      </c>
    </row>
    <row r="17" spans="2:14" ht="15.75" x14ac:dyDescent="0.25">
      <c r="B17" s="452">
        <v>44814</v>
      </c>
      <c r="C17" s="437" t="s">
        <v>1328</v>
      </c>
      <c r="D17" s="392">
        <v>4788</v>
      </c>
      <c r="E17" s="652">
        <v>44847</v>
      </c>
      <c r="F17" s="837">
        <v>4788</v>
      </c>
      <c r="G17" s="544">
        <f t="shared" si="0"/>
        <v>0</v>
      </c>
      <c r="I17" s="500" t="s">
        <v>1293</v>
      </c>
      <c r="J17" s="501">
        <v>10332</v>
      </c>
      <c r="K17" s="502">
        <v>1990</v>
      </c>
      <c r="L17" s="853">
        <v>44853</v>
      </c>
      <c r="M17" s="857">
        <v>1990</v>
      </c>
      <c r="N17" s="137">
        <f t="shared" si="1"/>
        <v>0</v>
      </c>
    </row>
    <row r="18" spans="2:14" ht="31.5" x14ac:dyDescent="0.25">
      <c r="B18" s="452">
        <v>44816</v>
      </c>
      <c r="C18" s="437" t="s">
        <v>1329</v>
      </c>
      <c r="D18" s="833">
        <v>132050.23999999999</v>
      </c>
      <c r="E18" s="797" t="s">
        <v>1444</v>
      </c>
      <c r="F18" s="653">
        <f>123269.63+8780.61</f>
        <v>132050.23999999999</v>
      </c>
      <c r="G18" s="544">
        <f t="shared" si="0"/>
        <v>0</v>
      </c>
      <c r="I18" s="497" t="s">
        <v>1294</v>
      </c>
      <c r="J18" s="498">
        <v>10350</v>
      </c>
      <c r="K18" s="499">
        <v>440</v>
      </c>
      <c r="L18" s="853">
        <v>44853</v>
      </c>
      <c r="M18" s="857">
        <v>440</v>
      </c>
      <c r="N18" s="137">
        <f t="shared" si="1"/>
        <v>0</v>
      </c>
    </row>
    <row r="19" spans="2:14" ht="15.75" x14ac:dyDescent="0.25">
      <c r="B19" s="452">
        <v>44816</v>
      </c>
      <c r="C19" s="437" t="s">
        <v>1330</v>
      </c>
      <c r="D19" s="392">
        <v>6858</v>
      </c>
      <c r="E19" s="835">
        <v>44848</v>
      </c>
      <c r="F19" s="836">
        <v>6858</v>
      </c>
      <c r="G19" s="544">
        <f t="shared" si="0"/>
        <v>0</v>
      </c>
      <c r="I19" s="497" t="s">
        <v>1294</v>
      </c>
      <c r="J19" s="498">
        <v>10355</v>
      </c>
      <c r="K19" s="499">
        <v>760</v>
      </c>
      <c r="L19" s="853">
        <v>44853</v>
      </c>
      <c r="M19" s="857">
        <v>760</v>
      </c>
      <c r="N19" s="137">
        <f t="shared" si="1"/>
        <v>0</v>
      </c>
    </row>
    <row r="20" spans="2:14" ht="15.75" x14ac:dyDescent="0.25">
      <c r="B20" s="452">
        <v>44817</v>
      </c>
      <c r="C20" s="437" t="s">
        <v>1331</v>
      </c>
      <c r="D20" s="392">
        <v>93240.65</v>
      </c>
      <c r="E20" s="835">
        <v>44848</v>
      </c>
      <c r="F20" s="836">
        <v>93240.65</v>
      </c>
      <c r="G20" s="544">
        <f t="shared" si="0"/>
        <v>0</v>
      </c>
      <c r="I20" s="500" t="s">
        <v>1295</v>
      </c>
      <c r="J20" s="501">
        <v>10374</v>
      </c>
      <c r="K20" s="502">
        <v>440</v>
      </c>
      <c r="L20" s="853">
        <v>44853</v>
      </c>
      <c r="M20" s="857">
        <v>440</v>
      </c>
      <c r="N20" s="137">
        <f t="shared" si="1"/>
        <v>0</v>
      </c>
    </row>
    <row r="21" spans="2:14" ht="15.75" x14ac:dyDescent="0.25">
      <c r="B21" s="452">
        <v>44818</v>
      </c>
      <c r="C21" s="437" t="s">
        <v>1332</v>
      </c>
      <c r="D21" s="392">
        <v>38351.199999999997</v>
      </c>
      <c r="E21" s="835">
        <v>44848</v>
      </c>
      <c r="F21" s="836">
        <v>38351.199999999997</v>
      </c>
      <c r="G21" s="544">
        <f t="shared" si="0"/>
        <v>0</v>
      </c>
      <c r="I21" s="497" t="s">
        <v>1296</v>
      </c>
      <c r="J21" s="498">
        <v>10377</v>
      </c>
      <c r="K21" s="499">
        <v>3060</v>
      </c>
      <c r="L21" s="853">
        <v>44853</v>
      </c>
      <c r="M21" s="857">
        <v>3060</v>
      </c>
      <c r="N21" s="137">
        <f t="shared" si="1"/>
        <v>0</v>
      </c>
    </row>
    <row r="22" spans="2:14" ht="32.25" x14ac:dyDescent="0.3">
      <c r="B22" s="452">
        <v>44819</v>
      </c>
      <c r="C22" s="437" t="s">
        <v>1333</v>
      </c>
      <c r="D22" s="392">
        <v>48115.16</v>
      </c>
      <c r="E22" s="838" t="s">
        <v>1445</v>
      </c>
      <c r="F22" s="836">
        <f>13836.04+34279.12</f>
        <v>48115.16</v>
      </c>
      <c r="G22" s="544">
        <f t="shared" si="0"/>
        <v>0</v>
      </c>
      <c r="H22" s="644"/>
      <c r="I22" s="500" t="s">
        <v>1297</v>
      </c>
      <c r="J22" s="501">
        <v>10388</v>
      </c>
      <c r="K22" s="502">
        <v>330</v>
      </c>
      <c r="L22" s="853">
        <v>44853</v>
      </c>
      <c r="M22" s="857">
        <v>330</v>
      </c>
      <c r="N22" s="137">
        <f t="shared" si="1"/>
        <v>0</v>
      </c>
    </row>
    <row r="23" spans="2:14" ht="15.75" x14ac:dyDescent="0.25">
      <c r="B23" s="452">
        <v>44819</v>
      </c>
      <c r="C23" s="437" t="s">
        <v>1334</v>
      </c>
      <c r="D23" s="392">
        <v>53088</v>
      </c>
      <c r="E23" s="807">
        <v>44851</v>
      </c>
      <c r="F23" s="707">
        <v>53088</v>
      </c>
      <c r="G23" s="544">
        <f t="shared" si="0"/>
        <v>0</v>
      </c>
      <c r="H23" s="2"/>
      <c r="I23" s="500" t="s">
        <v>1298</v>
      </c>
      <c r="J23" s="501">
        <v>10396</v>
      </c>
      <c r="K23" s="502">
        <v>330</v>
      </c>
      <c r="L23" s="853">
        <v>44853</v>
      </c>
      <c r="M23" s="857">
        <v>330</v>
      </c>
      <c r="N23" s="137">
        <f t="shared" si="1"/>
        <v>0</v>
      </c>
    </row>
    <row r="24" spans="2:14" ht="21" customHeight="1" x14ac:dyDescent="0.25">
      <c r="B24" s="452">
        <v>44820</v>
      </c>
      <c r="C24" s="437" t="s">
        <v>1335</v>
      </c>
      <c r="D24" s="392">
        <v>71394.820000000007</v>
      </c>
      <c r="E24" s="807">
        <v>44851</v>
      </c>
      <c r="F24" s="707">
        <v>71394.820000000007</v>
      </c>
      <c r="G24" s="544">
        <f t="shared" si="0"/>
        <v>0</v>
      </c>
      <c r="H24" s="2"/>
      <c r="I24" s="497" t="s">
        <v>1299</v>
      </c>
      <c r="J24" s="498">
        <v>10403</v>
      </c>
      <c r="K24" s="499">
        <v>330</v>
      </c>
      <c r="L24" s="853">
        <v>44853</v>
      </c>
      <c r="M24" s="857">
        <v>330</v>
      </c>
      <c r="N24" s="137">
        <f t="shared" si="1"/>
        <v>0</v>
      </c>
    </row>
    <row r="25" spans="2:14" ht="15.75" x14ac:dyDescent="0.25">
      <c r="B25" s="452">
        <v>44820</v>
      </c>
      <c r="C25" s="437" t="s">
        <v>1336</v>
      </c>
      <c r="D25" s="392">
        <v>7659</v>
      </c>
      <c r="E25" s="807">
        <v>44851</v>
      </c>
      <c r="F25" s="707">
        <v>7659</v>
      </c>
      <c r="G25" s="544">
        <f t="shared" si="0"/>
        <v>0</v>
      </c>
      <c r="H25" s="645"/>
      <c r="I25" s="500" t="s">
        <v>1300</v>
      </c>
      <c r="J25" s="501">
        <v>10408</v>
      </c>
      <c r="K25" s="502">
        <v>312</v>
      </c>
      <c r="L25" s="853">
        <v>44853</v>
      </c>
      <c r="M25" s="857">
        <v>312</v>
      </c>
      <c r="N25" s="137">
        <f t="shared" si="1"/>
        <v>0</v>
      </c>
    </row>
    <row r="26" spans="2:14" ht="15.75" x14ac:dyDescent="0.25">
      <c r="B26" s="452">
        <v>44821</v>
      </c>
      <c r="C26" s="437" t="s">
        <v>1337</v>
      </c>
      <c r="D26" s="392">
        <v>78067.399999999994</v>
      </c>
      <c r="E26" s="807">
        <v>44851</v>
      </c>
      <c r="F26" s="707">
        <v>78067.399999999994</v>
      </c>
      <c r="G26" s="544">
        <f t="shared" si="0"/>
        <v>0</v>
      </c>
      <c r="H26" s="645"/>
      <c r="I26" s="497" t="s">
        <v>1301</v>
      </c>
      <c r="J26" s="498">
        <v>10413</v>
      </c>
      <c r="K26" s="499">
        <v>10749.4</v>
      </c>
      <c r="L26" s="853">
        <v>44853</v>
      </c>
      <c r="M26" s="857">
        <v>10749.4</v>
      </c>
      <c r="N26" s="137">
        <f t="shared" si="1"/>
        <v>0</v>
      </c>
    </row>
    <row r="27" spans="2:14" ht="15.75" x14ac:dyDescent="0.25">
      <c r="B27" s="452">
        <v>44823</v>
      </c>
      <c r="C27" s="437" t="s">
        <v>1338</v>
      </c>
      <c r="D27" s="392">
        <v>4317.6000000000004</v>
      </c>
      <c r="E27" s="807">
        <v>44851</v>
      </c>
      <c r="F27" s="707">
        <v>4317.6000000000004</v>
      </c>
      <c r="G27" s="544">
        <f t="shared" si="0"/>
        <v>0</v>
      </c>
      <c r="H27" s="645"/>
      <c r="I27" s="500" t="s">
        <v>1302</v>
      </c>
      <c r="J27" s="501">
        <v>10426</v>
      </c>
      <c r="K27" s="502">
        <v>440</v>
      </c>
      <c r="L27" s="853">
        <v>44853</v>
      </c>
      <c r="M27" s="857">
        <v>440</v>
      </c>
      <c r="N27" s="137">
        <f t="shared" si="1"/>
        <v>0</v>
      </c>
    </row>
    <row r="28" spans="2:14" ht="31.5" x14ac:dyDescent="0.25">
      <c r="B28" s="452">
        <v>44824</v>
      </c>
      <c r="C28" s="437" t="s">
        <v>1339</v>
      </c>
      <c r="D28" s="392">
        <v>64961.4</v>
      </c>
      <c r="E28" s="839" t="s">
        <v>1446</v>
      </c>
      <c r="F28" s="707">
        <f>3144.56+61816.84</f>
        <v>64961.399999999994</v>
      </c>
      <c r="G28" s="544">
        <f t="shared" si="0"/>
        <v>0</v>
      </c>
      <c r="H28" s="645"/>
      <c r="I28" s="500" t="s">
        <v>1302</v>
      </c>
      <c r="J28" s="501">
        <v>10430</v>
      </c>
      <c r="K28" s="502">
        <v>83796</v>
      </c>
      <c r="L28" s="853">
        <v>44853</v>
      </c>
      <c r="M28" s="857">
        <v>83796</v>
      </c>
      <c r="N28" s="137">
        <f t="shared" si="1"/>
        <v>0</v>
      </c>
    </row>
    <row r="29" spans="2:14" ht="15.75" x14ac:dyDescent="0.25">
      <c r="B29" s="452">
        <v>44825</v>
      </c>
      <c r="C29" s="437" t="s">
        <v>1340</v>
      </c>
      <c r="D29" s="392">
        <v>8619.2000000000007</v>
      </c>
      <c r="E29" s="584">
        <v>44855</v>
      </c>
      <c r="F29" s="585">
        <v>8619.2000000000007</v>
      </c>
      <c r="G29" s="544">
        <f t="shared" si="0"/>
        <v>0</v>
      </c>
      <c r="H29" s="645"/>
      <c r="I29" s="500" t="s">
        <v>1302</v>
      </c>
      <c r="J29" s="501">
        <v>10431</v>
      </c>
      <c r="K29" s="502">
        <v>32</v>
      </c>
      <c r="L29" s="853">
        <v>44853</v>
      </c>
      <c r="M29" s="857">
        <v>32</v>
      </c>
      <c r="N29" s="137">
        <f t="shared" si="1"/>
        <v>0</v>
      </c>
    </row>
    <row r="30" spans="2:14" ht="15.75" x14ac:dyDescent="0.25">
      <c r="B30" s="452">
        <v>44826</v>
      </c>
      <c r="C30" s="437" t="s">
        <v>1341</v>
      </c>
      <c r="D30" s="392">
        <v>26763.09</v>
      </c>
      <c r="E30" s="584">
        <v>44855</v>
      </c>
      <c r="F30" s="585">
        <v>26763.09</v>
      </c>
      <c r="G30" s="544">
        <f t="shared" si="0"/>
        <v>0</v>
      </c>
      <c r="H30" s="645"/>
      <c r="I30" s="497" t="s">
        <v>1302</v>
      </c>
      <c r="J30" s="498">
        <v>10432</v>
      </c>
      <c r="K30" s="499">
        <v>15527.2</v>
      </c>
      <c r="L30" s="853">
        <v>44853</v>
      </c>
      <c r="M30" s="857">
        <v>15527.2</v>
      </c>
      <c r="N30" s="137">
        <f t="shared" si="1"/>
        <v>0</v>
      </c>
    </row>
    <row r="31" spans="2:14" ht="31.5" x14ac:dyDescent="0.25">
      <c r="B31" s="452">
        <v>44827</v>
      </c>
      <c r="C31" s="437" t="s">
        <v>1342</v>
      </c>
      <c r="D31" s="392">
        <v>449824.82</v>
      </c>
      <c r="E31" s="806" t="s">
        <v>1447</v>
      </c>
      <c r="F31" s="583">
        <f>90216.87+359607.95</f>
        <v>449824.82</v>
      </c>
      <c r="G31" s="544">
        <f t="shared" si="0"/>
        <v>0</v>
      </c>
      <c r="H31" s="2"/>
      <c r="I31" s="497" t="s">
        <v>1303</v>
      </c>
      <c r="J31" s="498">
        <v>10439</v>
      </c>
      <c r="K31" s="499">
        <v>9833.2000000000007</v>
      </c>
      <c r="L31" s="853">
        <v>44853</v>
      </c>
      <c r="M31" s="857">
        <v>9833.2000000000007</v>
      </c>
      <c r="N31" s="137">
        <f t="shared" si="1"/>
        <v>0</v>
      </c>
    </row>
    <row r="32" spans="2:14" ht="31.5" x14ac:dyDescent="0.25">
      <c r="B32" s="452">
        <v>44828</v>
      </c>
      <c r="C32" s="437" t="s">
        <v>1343</v>
      </c>
      <c r="D32" s="392">
        <v>75805.399999999994</v>
      </c>
      <c r="E32" s="646" t="s">
        <v>1448</v>
      </c>
      <c r="F32" s="583">
        <f>5417.05+70388.35</f>
        <v>75805.400000000009</v>
      </c>
      <c r="G32" s="544">
        <f t="shared" si="0"/>
        <v>0</v>
      </c>
      <c r="H32" s="2"/>
      <c r="I32" s="497" t="s">
        <v>1304</v>
      </c>
      <c r="J32" s="498">
        <v>10447</v>
      </c>
      <c r="K32" s="499">
        <v>330</v>
      </c>
      <c r="L32" s="853">
        <v>44853</v>
      </c>
      <c r="M32" s="857">
        <v>330</v>
      </c>
      <c r="N32" s="137">
        <f t="shared" si="1"/>
        <v>0</v>
      </c>
    </row>
    <row r="33" spans="2:14" ht="15.75" x14ac:dyDescent="0.25">
      <c r="B33" s="452">
        <v>44828</v>
      </c>
      <c r="C33" s="437" t="s">
        <v>1344</v>
      </c>
      <c r="D33" s="392">
        <v>10260</v>
      </c>
      <c r="E33" s="840">
        <v>44868</v>
      </c>
      <c r="F33" s="841">
        <v>10260</v>
      </c>
      <c r="G33" s="544">
        <f t="shared" si="0"/>
        <v>0</v>
      </c>
      <c r="I33" s="500" t="s">
        <v>1305</v>
      </c>
      <c r="J33" s="501">
        <v>10454</v>
      </c>
      <c r="K33" s="502">
        <v>3738</v>
      </c>
      <c r="L33" s="853">
        <v>44853</v>
      </c>
      <c r="M33" s="857">
        <v>3738</v>
      </c>
      <c r="N33" s="137">
        <f t="shared" si="1"/>
        <v>0</v>
      </c>
    </row>
    <row r="34" spans="2:14" ht="15.75" x14ac:dyDescent="0.25">
      <c r="B34" s="452">
        <v>44830</v>
      </c>
      <c r="C34" s="437" t="s">
        <v>1345</v>
      </c>
      <c r="D34" s="392">
        <v>66227.5</v>
      </c>
      <c r="E34" s="840">
        <v>44868</v>
      </c>
      <c r="F34" s="841">
        <v>66227.5</v>
      </c>
      <c r="G34" s="544">
        <f t="shared" si="0"/>
        <v>0</v>
      </c>
      <c r="I34" s="497" t="s">
        <v>1306</v>
      </c>
      <c r="J34" s="498">
        <v>10473</v>
      </c>
      <c r="K34" s="499">
        <v>1760</v>
      </c>
      <c r="L34" s="853">
        <v>44853</v>
      </c>
      <c r="M34" s="857">
        <v>1760</v>
      </c>
      <c r="N34" s="137">
        <f t="shared" si="1"/>
        <v>0</v>
      </c>
    </row>
    <row r="35" spans="2:14" ht="15.75" x14ac:dyDescent="0.25">
      <c r="B35" s="452">
        <v>44831</v>
      </c>
      <c r="C35" s="437" t="s">
        <v>1346</v>
      </c>
      <c r="D35" s="392">
        <v>61159.199999999997</v>
      </c>
      <c r="E35" s="840">
        <v>44868</v>
      </c>
      <c r="F35" s="841">
        <v>61159.199999999997</v>
      </c>
      <c r="G35" s="544">
        <f t="shared" si="0"/>
        <v>0</v>
      </c>
      <c r="I35" s="500" t="s">
        <v>1307</v>
      </c>
      <c r="J35" s="501">
        <v>10482</v>
      </c>
      <c r="K35" s="502">
        <v>550</v>
      </c>
      <c r="L35" s="853">
        <v>44853</v>
      </c>
      <c r="M35" s="857">
        <v>550</v>
      </c>
      <c r="N35" s="137">
        <f t="shared" si="1"/>
        <v>0</v>
      </c>
    </row>
    <row r="36" spans="2:14" ht="15.75" x14ac:dyDescent="0.25">
      <c r="B36" s="452">
        <v>44832</v>
      </c>
      <c r="C36" s="437" t="s">
        <v>1347</v>
      </c>
      <c r="D36" s="392">
        <v>90739.06</v>
      </c>
      <c r="E36" s="840">
        <v>44868</v>
      </c>
      <c r="F36" s="841">
        <v>90739.06</v>
      </c>
      <c r="G36" s="544">
        <f t="shared" si="0"/>
        <v>0</v>
      </c>
      <c r="I36" s="497" t="s">
        <v>1307</v>
      </c>
      <c r="J36" s="498">
        <v>10483</v>
      </c>
      <c r="K36" s="499">
        <v>34040</v>
      </c>
      <c r="L36" s="853">
        <v>44853</v>
      </c>
      <c r="M36" s="857">
        <v>34040</v>
      </c>
      <c r="N36" s="137">
        <f t="shared" si="1"/>
        <v>0</v>
      </c>
    </row>
    <row r="37" spans="2:14" ht="15.75" x14ac:dyDescent="0.25">
      <c r="B37" s="452">
        <v>44833</v>
      </c>
      <c r="C37" s="437" t="s">
        <v>1348</v>
      </c>
      <c r="D37" s="392">
        <v>27945.95</v>
      </c>
      <c r="E37" s="840">
        <v>44868</v>
      </c>
      <c r="F37" s="841">
        <v>27945.95</v>
      </c>
      <c r="G37" s="544">
        <f t="shared" si="0"/>
        <v>0</v>
      </c>
      <c r="I37" s="500" t="s">
        <v>1307</v>
      </c>
      <c r="J37" s="501">
        <v>10484</v>
      </c>
      <c r="K37" s="502">
        <v>1800</v>
      </c>
      <c r="L37" s="853">
        <v>44853</v>
      </c>
      <c r="M37" s="857">
        <v>1800</v>
      </c>
      <c r="N37" s="137">
        <f t="shared" si="1"/>
        <v>0</v>
      </c>
    </row>
    <row r="38" spans="2:14" ht="15.75" x14ac:dyDescent="0.25">
      <c r="B38" s="452">
        <v>44834</v>
      </c>
      <c r="C38" s="437" t="s">
        <v>1349</v>
      </c>
      <c r="D38" s="392">
        <v>101737.82</v>
      </c>
      <c r="E38" s="840">
        <v>44868</v>
      </c>
      <c r="F38" s="841">
        <v>101737.82</v>
      </c>
      <c r="G38" s="544">
        <f t="shared" si="0"/>
        <v>0</v>
      </c>
      <c r="I38" s="500" t="s">
        <v>1308</v>
      </c>
      <c r="J38" s="501">
        <v>10492</v>
      </c>
      <c r="K38" s="502">
        <v>330</v>
      </c>
      <c r="L38" s="853">
        <v>44853</v>
      </c>
      <c r="M38" s="857">
        <v>330</v>
      </c>
      <c r="N38" s="137">
        <f t="shared" si="1"/>
        <v>0</v>
      </c>
    </row>
    <row r="39" spans="2:14" ht="15.75" x14ac:dyDescent="0.25">
      <c r="B39" s="452">
        <v>44834</v>
      </c>
      <c r="C39" s="437" t="s">
        <v>1316</v>
      </c>
      <c r="D39" s="392">
        <v>5241.6000000000004</v>
      </c>
      <c r="E39" s="840">
        <v>44868</v>
      </c>
      <c r="F39" s="841">
        <v>5241.6000000000004</v>
      </c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2">
        <v>44835</v>
      </c>
      <c r="C40" s="437" t="s">
        <v>1317</v>
      </c>
      <c r="D40" s="392">
        <v>29303.81</v>
      </c>
      <c r="E40" s="840">
        <v>44868</v>
      </c>
      <c r="F40" s="841">
        <v>29303.81</v>
      </c>
      <c r="G40" s="111">
        <f t="shared" si="0"/>
        <v>0</v>
      </c>
      <c r="I40" s="990" t="s">
        <v>594</v>
      </c>
      <c r="J40" s="991"/>
      <c r="K40" s="69"/>
      <c r="L40" s="253"/>
      <c r="M40" s="69"/>
      <c r="N40" s="137">
        <f t="shared" si="1"/>
        <v>0</v>
      </c>
    </row>
    <row r="41" spans="2:14" ht="15.75" x14ac:dyDescent="0.25">
      <c r="B41" s="796"/>
      <c r="C41" s="795"/>
      <c r="D41" s="794"/>
      <c r="E41" s="253"/>
      <c r="F41" s="69"/>
      <c r="G41" s="111">
        <f t="shared" si="0"/>
        <v>0</v>
      </c>
      <c r="I41" s="992"/>
      <c r="J41" s="993"/>
      <c r="K41" s="69"/>
      <c r="L41" s="253"/>
      <c r="M41" s="69"/>
      <c r="N41" s="137">
        <f t="shared" si="1"/>
        <v>0</v>
      </c>
    </row>
    <row r="42" spans="2:14" ht="15.75" x14ac:dyDescent="0.25">
      <c r="B42" s="796"/>
      <c r="C42" s="795"/>
      <c r="D42" s="794"/>
      <c r="E42" s="253"/>
      <c r="F42" s="69"/>
      <c r="G42" s="111">
        <f t="shared" si="0"/>
        <v>0</v>
      </c>
      <c r="I42" s="994"/>
      <c r="J42" s="995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041" t="s">
        <v>1450</v>
      </c>
      <c r="J45" s="1042"/>
      <c r="K45" s="1042"/>
      <c r="L45" s="104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041"/>
      <c r="J46" s="1042"/>
      <c r="K46" s="1042"/>
      <c r="L46" s="104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2600214.79</v>
      </c>
      <c r="E67" s="407"/>
      <c r="F67" s="395">
        <f>SUM(F3:F66)</f>
        <v>2600214.79</v>
      </c>
      <c r="G67" s="153">
        <f>SUM(G3:G66)</f>
        <v>0</v>
      </c>
      <c r="I67" s="986" t="s">
        <v>594</v>
      </c>
      <c r="J67" s="987"/>
      <c r="K67" s="642">
        <f>SUM(K3:K66)</f>
        <v>250099.28000000003</v>
      </c>
      <c r="L67" s="713"/>
      <c r="M67" s="209">
        <f>SUM(M3:M66)</f>
        <v>250099.28000000003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48" t="s">
        <v>207</v>
      </c>
      <c r="I68" s="988"/>
      <c r="J68" s="989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49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E71" s="843"/>
      <c r="F71" s="777"/>
      <c r="H71" s="2"/>
      <c r="I71" s="426"/>
      <c r="J71" s="503"/>
      <c r="K71" s="6"/>
      <c r="L71" s="714"/>
      <c r="M71"/>
    </row>
    <row r="72" spans="2:14" ht="15" customHeight="1" x14ac:dyDescent="0.25">
      <c r="C72" s="799"/>
      <c r="D72" s="777"/>
      <c r="E72" s="800"/>
      <c r="F72" s="233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799"/>
      <c r="D73" s="233"/>
      <c r="E73" s="800"/>
      <c r="F73" s="233"/>
      <c r="H73" s="2"/>
      <c r="I73" s="792"/>
      <c r="J73" s="793"/>
      <c r="K73" s="794"/>
      <c r="L73" s="794"/>
      <c r="M73"/>
      <c r="N73"/>
    </row>
    <row r="74" spans="2:14" ht="15.75" x14ac:dyDescent="0.25">
      <c r="C74" s="799"/>
      <c r="D74" s="233"/>
      <c r="E74" s="800"/>
      <c r="F74" s="233"/>
      <c r="H74" s="2"/>
      <c r="I74" s="792"/>
      <c r="J74" s="793"/>
      <c r="K74" s="794"/>
      <c r="L74" s="794"/>
      <c r="M74"/>
      <c r="N74"/>
    </row>
    <row r="75" spans="2:14" ht="15.75" x14ac:dyDescent="0.25">
      <c r="C75" s="799"/>
      <c r="D75" s="233"/>
      <c r="E75" s="800"/>
      <c r="F75" s="233"/>
      <c r="H75" s="2"/>
      <c r="I75" s="2"/>
      <c r="J75" s="2"/>
      <c r="K75" s="2"/>
      <c r="L75" s="714"/>
      <c r="M75"/>
      <c r="N75"/>
    </row>
    <row r="76" spans="2:14" ht="15.75" x14ac:dyDescent="0.25">
      <c r="C76" s="799"/>
      <c r="D76" s="233"/>
      <c r="E76" s="800"/>
      <c r="F76" s="233"/>
      <c r="H76" s="2"/>
      <c r="I76" s="2"/>
      <c r="J76" s="2"/>
      <c r="K76" s="2"/>
      <c r="L76" s="714"/>
      <c r="M76"/>
      <c r="N76"/>
    </row>
    <row r="77" spans="2:14" ht="15.75" x14ac:dyDescent="0.25">
      <c r="C77" s="799"/>
      <c r="D77" s="233"/>
      <c r="E77" s="800"/>
      <c r="F77" s="126"/>
      <c r="I77"/>
      <c r="J77"/>
      <c r="K77"/>
      <c r="M77"/>
      <c r="N77"/>
    </row>
    <row r="78" spans="2:14" ht="15.75" x14ac:dyDescent="0.25">
      <c r="C78" s="799"/>
      <c r="D78" s="233"/>
      <c r="E78" s="800"/>
      <c r="F78" s="126"/>
      <c r="I78"/>
      <c r="J78"/>
      <c r="K78"/>
      <c r="M78"/>
      <c r="N78"/>
    </row>
    <row r="79" spans="2:14" ht="15.75" x14ac:dyDescent="0.25">
      <c r="C79" s="799"/>
      <c r="D79" s="233"/>
      <c r="E79" s="800"/>
      <c r="F79" s="126"/>
      <c r="I79"/>
      <c r="J79"/>
      <c r="K79"/>
      <c r="M79"/>
      <c r="N79"/>
    </row>
    <row r="80" spans="2:14" ht="15.75" x14ac:dyDescent="0.25">
      <c r="C80" s="799"/>
      <c r="D80" s="233"/>
      <c r="E80" s="800"/>
      <c r="F80" s="126"/>
      <c r="I80"/>
      <c r="J80"/>
      <c r="K80"/>
      <c r="M80"/>
      <c r="N80"/>
    </row>
    <row r="81" spans="3:14" ht="15.75" x14ac:dyDescent="0.25">
      <c r="C81" s="757"/>
      <c r="D81" s="233"/>
      <c r="E81" s="800"/>
      <c r="F81" s="126"/>
      <c r="I81"/>
      <c r="J81"/>
      <c r="K81"/>
      <c r="M81"/>
      <c r="N81"/>
    </row>
    <row r="82" spans="3:14" ht="15.75" x14ac:dyDescent="0.25">
      <c r="C82" s="757"/>
      <c r="D82" s="233"/>
      <c r="E82" s="800"/>
      <c r="F82" s="126"/>
      <c r="I82"/>
      <c r="J82"/>
      <c r="K82"/>
      <c r="M82"/>
      <c r="N82"/>
    </row>
    <row r="83" spans="3:14" ht="15.75" x14ac:dyDescent="0.25">
      <c r="C83" s="757"/>
      <c r="D83" s="233"/>
      <c r="E83" s="800"/>
      <c r="F83" s="126"/>
      <c r="I83"/>
      <c r="J83"/>
      <c r="K83"/>
      <c r="M83"/>
      <c r="N83"/>
    </row>
    <row r="84" spans="3:14" ht="15.75" x14ac:dyDescent="0.25">
      <c r="C84" s="757"/>
      <c r="D84" s="233"/>
      <c r="E84" s="800"/>
      <c r="F84" s="126"/>
      <c r="I84"/>
      <c r="J84"/>
      <c r="K84"/>
      <c r="M84"/>
      <c r="N84"/>
    </row>
    <row r="85" spans="3:14" ht="15.75" x14ac:dyDescent="0.25">
      <c r="C85" s="757"/>
      <c r="D85" s="233"/>
      <c r="E85" s="800"/>
      <c r="F85" s="126"/>
      <c r="I85"/>
      <c r="J85"/>
      <c r="K85"/>
      <c r="M85"/>
      <c r="N85"/>
    </row>
    <row r="86" spans="3:14" ht="15.75" x14ac:dyDescent="0.25">
      <c r="C86" s="757"/>
      <c r="D86" s="233"/>
      <c r="E86" s="800"/>
      <c r="F86" s="126"/>
      <c r="I86"/>
      <c r="J86"/>
      <c r="K86"/>
      <c r="M86"/>
      <c r="N86"/>
    </row>
    <row r="87" spans="3:14" ht="15.75" x14ac:dyDescent="0.25">
      <c r="C87" s="757"/>
      <c r="D87" s="233"/>
      <c r="E87" s="800"/>
      <c r="F87" s="126"/>
      <c r="I87"/>
      <c r="J87"/>
      <c r="K87"/>
      <c r="M87"/>
      <c r="N87"/>
    </row>
    <row r="88" spans="3:14" ht="15.75" x14ac:dyDescent="0.25">
      <c r="C88" s="757"/>
      <c r="D88" s="233"/>
      <c r="E88" s="800"/>
      <c r="F88" s="126"/>
      <c r="I88"/>
      <c r="J88"/>
      <c r="K88"/>
      <c r="M88"/>
      <c r="N88"/>
    </row>
    <row r="89" spans="3:14" ht="15.75" x14ac:dyDescent="0.25">
      <c r="C89" s="757"/>
      <c r="D89" s="233"/>
      <c r="E89" s="800"/>
      <c r="F89" s="126"/>
      <c r="I89"/>
      <c r="J89"/>
      <c r="K89"/>
      <c r="M89"/>
      <c r="N89"/>
    </row>
    <row r="90" spans="3:14" ht="15.75" x14ac:dyDescent="0.25">
      <c r="C90" s="757"/>
      <c r="D90" s="233"/>
      <c r="E90" s="800"/>
      <c r="F90" s="126"/>
      <c r="I90"/>
      <c r="J90"/>
      <c r="K90"/>
      <c r="M90"/>
      <c r="N90"/>
    </row>
    <row r="91" spans="3:14" ht="15.75" x14ac:dyDescent="0.25">
      <c r="C91" s="116"/>
      <c r="D91" s="842"/>
      <c r="E91" s="456"/>
      <c r="I91"/>
      <c r="J91"/>
      <c r="K91"/>
      <c r="M91"/>
      <c r="N91"/>
    </row>
    <row r="92" spans="3:14" ht="15.75" x14ac:dyDescent="0.25">
      <c r="C92" s="116"/>
      <c r="D92" s="392"/>
      <c r="E92" s="456"/>
      <c r="I92"/>
      <c r="J92"/>
      <c r="K92"/>
      <c r="M92"/>
      <c r="N92"/>
    </row>
    <row r="93" spans="3:14" ht="15.75" x14ac:dyDescent="0.25">
      <c r="C93" s="116"/>
      <c r="D93" s="392"/>
      <c r="E93" s="456"/>
      <c r="I93"/>
      <c r="J93"/>
      <c r="K93"/>
      <c r="M93"/>
      <c r="N93"/>
    </row>
    <row r="94" spans="3:14" ht="15.75" x14ac:dyDescent="0.25">
      <c r="C94" s="116"/>
      <c r="D94" s="392"/>
      <c r="E94" s="456"/>
      <c r="I94"/>
      <c r="J94"/>
      <c r="K94"/>
      <c r="M94"/>
      <c r="N94"/>
    </row>
    <row r="95" spans="3:14" ht="15.75" x14ac:dyDescent="0.25">
      <c r="C95" s="116"/>
      <c r="D95" s="392"/>
      <c r="E95" s="456"/>
      <c r="I95"/>
      <c r="J95"/>
      <c r="K95"/>
      <c r="M95"/>
      <c r="N95"/>
    </row>
    <row r="96" spans="3:14" ht="15.75" x14ac:dyDescent="0.25">
      <c r="C96" s="116"/>
      <c r="D96" s="392"/>
      <c r="E96" s="456"/>
      <c r="I96"/>
      <c r="J96"/>
      <c r="K96"/>
      <c r="M96"/>
      <c r="N96"/>
    </row>
    <row r="97" spans="3:14" ht="15.75" x14ac:dyDescent="0.25">
      <c r="C97" s="116"/>
      <c r="D97" s="392"/>
      <c r="E97" s="456"/>
      <c r="I97"/>
      <c r="J97"/>
      <c r="K97"/>
      <c r="M97"/>
      <c r="N97"/>
    </row>
    <row r="98" spans="3:14" ht="15.75" x14ac:dyDescent="0.25">
      <c r="C98" s="116"/>
      <c r="D98" s="392"/>
      <c r="E98" s="456"/>
      <c r="I98"/>
      <c r="J98"/>
      <c r="K98"/>
      <c r="M98"/>
      <c r="N98"/>
    </row>
    <row r="99" spans="3:14" ht="15.75" x14ac:dyDescent="0.25">
      <c r="C99" s="116"/>
      <c r="D99" s="392"/>
      <c r="E99" s="456"/>
      <c r="I99"/>
      <c r="J99"/>
      <c r="K99"/>
      <c r="M99"/>
      <c r="N99"/>
    </row>
    <row r="100" spans="3:14" ht="15.75" x14ac:dyDescent="0.25">
      <c r="C100" s="116"/>
      <c r="D100" s="392"/>
      <c r="E100" s="456"/>
      <c r="I100"/>
      <c r="J100"/>
      <c r="K100"/>
      <c r="M100"/>
      <c r="N100"/>
    </row>
    <row r="101" spans="3:14" x14ac:dyDescent="0.25">
      <c r="C101" s="116"/>
      <c r="D101" s="129">
        <f>SUM(D73:D100)</f>
        <v>0</v>
      </c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45:L46"/>
  </mergeCells>
  <pageMargins left="0.25" right="0.25" top="0.75" bottom="0.75" header="0.3" footer="0.3"/>
  <pageSetup orientation="portrait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FF66"/>
  </sheetPr>
  <dimension ref="A1:R97"/>
  <sheetViews>
    <sheetView topLeftCell="A49" workbookViewId="0">
      <selection activeCell="D81" sqref="D81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6"/>
      <c r="C1" s="952" t="s">
        <v>1378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18" ht="16.5" thickBot="1" x14ac:dyDescent="0.3">
      <c r="B2" s="887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0" t="s">
        <v>0</v>
      </c>
      <c r="C3" s="891"/>
      <c r="D3" s="10"/>
      <c r="E3" s="553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18" ht="32.25" thickTop="1" thickBot="1" x14ac:dyDescent="0.35">
      <c r="A4" s="15" t="s">
        <v>1</v>
      </c>
      <c r="B4" s="16"/>
      <c r="C4" s="17">
        <v>3773503.4</v>
      </c>
      <c r="D4" s="18">
        <v>44836</v>
      </c>
      <c r="E4" s="893" t="s">
        <v>2</v>
      </c>
      <c r="F4" s="894"/>
      <c r="H4" s="895" t="s">
        <v>3</v>
      </c>
      <c r="I4" s="896"/>
      <c r="J4" s="556"/>
      <c r="K4" s="562"/>
      <c r="L4" s="563"/>
      <c r="M4" s="21" t="s">
        <v>4</v>
      </c>
      <c r="N4" s="22" t="s">
        <v>5</v>
      </c>
      <c r="P4" s="930"/>
      <c r="Q4" s="322" t="s">
        <v>217</v>
      </c>
      <c r="R4" s="951"/>
    </row>
    <row r="5" spans="1:18" ht="18" thickBot="1" x14ac:dyDescent="0.35">
      <c r="A5" s="23" t="s">
        <v>7</v>
      </c>
      <c r="B5" s="24">
        <v>44837</v>
      </c>
      <c r="C5" s="25">
        <v>10621</v>
      </c>
      <c r="D5" s="26" t="s">
        <v>1379</v>
      </c>
      <c r="E5" s="27">
        <v>44837</v>
      </c>
      <c r="F5" s="28">
        <v>177072</v>
      </c>
      <c r="G5" s="572"/>
      <c r="H5" s="29">
        <v>44837</v>
      </c>
      <c r="I5" s="30">
        <v>2133</v>
      </c>
      <c r="J5" s="37">
        <v>44837</v>
      </c>
      <c r="K5" s="31" t="s">
        <v>1380</v>
      </c>
      <c r="L5" s="9">
        <v>9674</v>
      </c>
      <c r="M5" s="32">
        <f>14500+23884.2+71222</f>
        <v>109606.2</v>
      </c>
      <c r="N5" s="33">
        <v>45038</v>
      </c>
      <c r="O5" s="176" t="s">
        <v>937</v>
      </c>
      <c r="P5" s="34">
        <f>N5+M5+L5+I5+C5</f>
        <v>177072.2</v>
      </c>
      <c r="Q5" s="325">
        <f>P5-F5</f>
        <v>0.20000000001164153</v>
      </c>
      <c r="R5" s="379">
        <v>0</v>
      </c>
    </row>
    <row r="6" spans="1:18" ht="18" thickBot="1" x14ac:dyDescent="0.35">
      <c r="A6" s="23"/>
      <c r="B6" s="24">
        <v>44838</v>
      </c>
      <c r="C6" s="25">
        <v>25523</v>
      </c>
      <c r="D6" s="35" t="s">
        <v>1381</v>
      </c>
      <c r="E6" s="27">
        <v>44838</v>
      </c>
      <c r="F6" s="28">
        <v>139649</v>
      </c>
      <c r="G6" s="572"/>
      <c r="H6" s="29">
        <v>44838</v>
      </c>
      <c r="I6" s="30">
        <v>1352</v>
      </c>
      <c r="J6" s="37"/>
      <c r="K6" s="38"/>
      <c r="L6" s="39"/>
      <c r="M6" s="32">
        <f>49691+19668.6</f>
        <v>69359.600000000006</v>
      </c>
      <c r="N6" s="33">
        <v>43414</v>
      </c>
      <c r="O6" s="176" t="s">
        <v>937</v>
      </c>
      <c r="P6" s="39">
        <f>N6+M6+L6+I6+C6</f>
        <v>139648.6</v>
      </c>
      <c r="Q6" s="325">
        <f t="shared" ref="Q6:Q40" si="0">P6-F6</f>
        <v>-0.39999999999417923</v>
      </c>
      <c r="R6" s="319">
        <v>0</v>
      </c>
    </row>
    <row r="7" spans="1:18" ht="18" thickBot="1" x14ac:dyDescent="0.35">
      <c r="A7" s="23"/>
      <c r="B7" s="24">
        <v>44839</v>
      </c>
      <c r="C7" s="25">
        <v>29776</v>
      </c>
      <c r="D7" s="40" t="s">
        <v>1382</v>
      </c>
      <c r="E7" s="27">
        <v>44839</v>
      </c>
      <c r="F7" s="28">
        <v>143376</v>
      </c>
      <c r="G7" s="572"/>
      <c r="H7" s="29">
        <v>44839</v>
      </c>
      <c r="I7" s="30">
        <v>6147</v>
      </c>
      <c r="J7" s="37"/>
      <c r="K7" s="38"/>
      <c r="L7" s="39"/>
      <c r="M7" s="32">
        <f>77200+32243</f>
        <v>109443</v>
      </c>
      <c r="N7" s="33">
        <v>34322</v>
      </c>
      <c r="O7" s="176" t="s">
        <v>937</v>
      </c>
      <c r="P7" s="39">
        <f>N7+M7+L7+I7+C7</f>
        <v>179688</v>
      </c>
      <c r="Q7" s="325">
        <v>0</v>
      </c>
      <c r="R7" s="319">
        <v>0</v>
      </c>
    </row>
    <row r="8" spans="1:18" ht="18" thickBot="1" x14ac:dyDescent="0.35">
      <c r="A8" s="23"/>
      <c r="B8" s="24">
        <v>44840</v>
      </c>
      <c r="C8" s="25">
        <v>9121.5</v>
      </c>
      <c r="D8" s="42" t="s">
        <v>1383</v>
      </c>
      <c r="E8" s="27">
        <v>44840</v>
      </c>
      <c r="F8" s="28">
        <v>111729</v>
      </c>
      <c r="G8" s="572"/>
      <c r="H8" s="29">
        <v>44840</v>
      </c>
      <c r="I8" s="30">
        <v>1250</v>
      </c>
      <c r="J8" s="43"/>
      <c r="K8" s="38"/>
      <c r="L8" s="39"/>
      <c r="M8" s="32">
        <f>72500+2464</f>
        <v>74964</v>
      </c>
      <c r="N8" s="33">
        <v>26399</v>
      </c>
      <c r="O8" s="176" t="s">
        <v>937</v>
      </c>
      <c r="P8" s="39">
        <f t="shared" ref="P8:P33" si="1">N8+M8+L8+I8+C8</f>
        <v>111734.5</v>
      </c>
      <c r="Q8" s="325">
        <f t="shared" si="0"/>
        <v>5.5</v>
      </c>
      <c r="R8" s="319">
        <v>0</v>
      </c>
    </row>
    <row r="9" spans="1:18" ht="18" thickBot="1" x14ac:dyDescent="0.35">
      <c r="A9" s="23"/>
      <c r="B9" s="24">
        <v>44841</v>
      </c>
      <c r="C9" s="25">
        <v>12292</v>
      </c>
      <c r="D9" s="42" t="s">
        <v>1384</v>
      </c>
      <c r="E9" s="27">
        <v>44841</v>
      </c>
      <c r="F9" s="28">
        <v>147860</v>
      </c>
      <c r="G9" s="572"/>
      <c r="H9" s="29">
        <v>44841</v>
      </c>
      <c r="I9" s="30">
        <v>1713</v>
      </c>
      <c r="J9" s="37" t="s">
        <v>7</v>
      </c>
      <c r="K9" s="223"/>
      <c r="L9" s="39"/>
      <c r="M9" s="32">
        <f>790+82887</f>
        <v>83677</v>
      </c>
      <c r="N9" s="33">
        <v>50178</v>
      </c>
      <c r="O9" s="176" t="s">
        <v>937</v>
      </c>
      <c r="P9" s="39">
        <f t="shared" si="1"/>
        <v>147860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44842</v>
      </c>
      <c r="C10" s="25">
        <v>7027</v>
      </c>
      <c r="D10" s="40" t="s">
        <v>1385</v>
      </c>
      <c r="E10" s="27">
        <v>44842</v>
      </c>
      <c r="F10" s="28">
        <v>167297</v>
      </c>
      <c r="G10" s="572"/>
      <c r="H10" s="29">
        <v>44842</v>
      </c>
      <c r="I10" s="30">
        <v>3545</v>
      </c>
      <c r="J10" s="37">
        <v>44842</v>
      </c>
      <c r="K10" s="167" t="s">
        <v>1386</v>
      </c>
      <c r="L10" s="45">
        <v>18318</v>
      </c>
      <c r="M10" s="32">
        <f>47979.5+26327.5</f>
        <v>74307</v>
      </c>
      <c r="N10" s="33">
        <v>64100</v>
      </c>
      <c r="O10" s="176" t="s">
        <v>937</v>
      </c>
      <c r="P10" s="39">
        <f>N10+M10+L10+I10+C10</f>
        <v>167297</v>
      </c>
      <c r="Q10" s="325">
        <f t="shared" si="0"/>
        <v>0</v>
      </c>
      <c r="R10" s="319">
        <v>0</v>
      </c>
    </row>
    <row r="11" spans="1:18" ht="18" thickBot="1" x14ac:dyDescent="0.35">
      <c r="A11" s="23"/>
      <c r="B11" s="24">
        <v>44843</v>
      </c>
      <c r="C11" s="25">
        <v>4241</v>
      </c>
      <c r="D11" s="35" t="s">
        <v>1387</v>
      </c>
      <c r="E11" s="27">
        <v>44843</v>
      </c>
      <c r="F11" s="28">
        <v>103804</v>
      </c>
      <c r="G11" s="572"/>
      <c r="H11" s="29">
        <v>44843</v>
      </c>
      <c r="I11" s="30">
        <v>1149</v>
      </c>
      <c r="J11" s="43"/>
      <c r="K11" s="168"/>
      <c r="L11" s="39"/>
      <c r="M11" s="32">
        <v>45426</v>
      </c>
      <c r="N11" s="33">
        <v>52988</v>
      </c>
      <c r="O11" s="176" t="s">
        <v>937</v>
      </c>
      <c r="P11" s="39">
        <f t="shared" si="1"/>
        <v>103804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44844</v>
      </c>
      <c r="C12" s="25">
        <v>14100</v>
      </c>
      <c r="D12" s="35" t="s">
        <v>1388</v>
      </c>
      <c r="E12" s="27">
        <v>44844</v>
      </c>
      <c r="F12" s="28">
        <v>184072</v>
      </c>
      <c r="G12" s="572"/>
      <c r="H12" s="29">
        <v>44844</v>
      </c>
      <c r="I12" s="30">
        <v>1909</v>
      </c>
      <c r="J12" s="37"/>
      <c r="K12" s="169"/>
      <c r="L12" s="39"/>
      <c r="M12" s="32">
        <f>55141+29712+20530+19029</f>
        <v>124412</v>
      </c>
      <c r="N12" s="33">
        <v>43651</v>
      </c>
      <c r="O12" s="176" t="s">
        <v>937</v>
      </c>
      <c r="P12" s="39">
        <f t="shared" si="1"/>
        <v>184072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44845</v>
      </c>
      <c r="C13" s="25">
        <v>18726</v>
      </c>
      <c r="D13" s="42" t="s">
        <v>1389</v>
      </c>
      <c r="E13" s="27">
        <v>44845</v>
      </c>
      <c r="F13" s="28">
        <v>136978</v>
      </c>
      <c r="G13" s="572"/>
      <c r="H13" s="29">
        <v>44845</v>
      </c>
      <c r="I13" s="30">
        <v>1610</v>
      </c>
      <c r="J13" s="37"/>
      <c r="K13" s="38"/>
      <c r="L13" s="39"/>
      <c r="M13" s="32">
        <f>7090+75957</f>
        <v>83047</v>
      </c>
      <c r="N13" s="33">
        <v>33595</v>
      </c>
      <c r="O13" s="176" t="s">
        <v>937</v>
      </c>
      <c r="P13" s="39">
        <f>N13+M13+L13+I13+C13</f>
        <v>136978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44846</v>
      </c>
      <c r="C14" s="25">
        <v>37133</v>
      </c>
      <c r="D14" s="40" t="s">
        <v>1390</v>
      </c>
      <c r="E14" s="27">
        <v>44846</v>
      </c>
      <c r="F14" s="28">
        <v>99399</v>
      </c>
      <c r="G14" s="572"/>
      <c r="H14" s="29">
        <v>44846</v>
      </c>
      <c r="I14" s="30">
        <v>1941.5</v>
      </c>
      <c r="J14" s="37"/>
      <c r="K14" s="38"/>
      <c r="L14" s="39"/>
      <c r="M14" s="32">
        <f>11225+29968.5</f>
        <v>41193.5</v>
      </c>
      <c r="N14" s="33">
        <v>23281</v>
      </c>
      <c r="O14" s="176" t="s">
        <v>937</v>
      </c>
      <c r="P14" s="39">
        <f t="shared" si="1"/>
        <v>103549</v>
      </c>
      <c r="Q14" s="325">
        <v>0</v>
      </c>
      <c r="R14" s="388">
        <v>4150</v>
      </c>
    </row>
    <row r="15" spans="1:18" ht="18" thickBot="1" x14ac:dyDescent="0.35">
      <c r="A15" s="23"/>
      <c r="B15" s="24">
        <v>44847</v>
      </c>
      <c r="C15" s="25">
        <v>11178</v>
      </c>
      <c r="D15" s="40" t="s">
        <v>1391</v>
      </c>
      <c r="E15" s="27">
        <v>44847</v>
      </c>
      <c r="F15" s="28">
        <v>117443</v>
      </c>
      <c r="G15" s="572"/>
      <c r="H15" s="29">
        <v>44847</v>
      </c>
      <c r="I15" s="30">
        <v>4002</v>
      </c>
      <c r="J15" s="37"/>
      <c r="K15" s="38"/>
      <c r="L15" s="39"/>
      <c r="M15" s="32">
        <f>66150</f>
        <v>66150</v>
      </c>
      <c r="N15" s="33">
        <v>36114</v>
      </c>
      <c r="O15" s="176" t="s">
        <v>937</v>
      </c>
      <c r="P15" s="39">
        <f t="shared" si="1"/>
        <v>117444</v>
      </c>
      <c r="Q15" s="325">
        <f t="shared" si="0"/>
        <v>1</v>
      </c>
      <c r="R15" s="319">
        <v>0</v>
      </c>
    </row>
    <row r="16" spans="1:18" ht="18" thickBot="1" x14ac:dyDescent="0.35">
      <c r="A16" s="23"/>
      <c r="B16" s="24">
        <v>44848</v>
      </c>
      <c r="C16" s="25">
        <v>7077.5</v>
      </c>
      <c r="D16" s="35" t="s">
        <v>1392</v>
      </c>
      <c r="E16" s="27">
        <v>44848</v>
      </c>
      <c r="F16" s="28">
        <v>135341</v>
      </c>
      <c r="G16" s="572"/>
      <c r="H16" s="29">
        <v>44848</v>
      </c>
      <c r="I16" s="30">
        <v>1710</v>
      </c>
      <c r="J16" s="37"/>
      <c r="K16" s="169"/>
      <c r="L16" s="9"/>
      <c r="M16" s="32">
        <v>77006.5</v>
      </c>
      <c r="N16" s="33">
        <v>49547</v>
      </c>
      <c r="O16" s="176" t="s">
        <v>937</v>
      </c>
      <c r="P16" s="39">
        <f t="shared" si="1"/>
        <v>135341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44849</v>
      </c>
      <c r="C17" s="25">
        <v>7361</v>
      </c>
      <c r="D17" s="42" t="s">
        <v>1393</v>
      </c>
      <c r="E17" s="27">
        <v>44849</v>
      </c>
      <c r="F17" s="28">
        <v>156982</v>
      </c>
      <c r="G17" s="572"/>
      <c r="H17" s="29">
        <v>44849</v>
      </c>
      <c r="I17" s="30">
        <v>2666.5</v>
      </c>
      <c r="J17" s="37">
        <v>44849</v>
      </c>
      <c r="K17" s="38" t="s">
        <v>1394</v>
      </c>
      <c r="L17" s="45">
        <v>18357</v>
      </c>
      <c r="M17" s="32">
        <v>76392.5</v>
      </c>
      <c r="N17" s="33">
        <v>52205</v>
      </c>
      <c r="O17" s="176" t="s">
        <v>937</v>
      </c>
      <c r="P17" s="39">
        <f t="shared" si="1"/>
        <v>156982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44850</v>
      </c>
      <c r="C18" s="25">
        <v>21626</v>
      </c>
      <c r="D18" s="35" t="s">
        <v>639</v>
      </c>
      <c r="E18" s="27">
        <v>44850</v>
      </c>
      <c r="F18" s="28">
        <v>92253</v>
      </c>
      <c r="G18" s="572"/>
      <c r="H18" s="29">
        <v>44850</v>
      </c>
      <c r="I18" s="30">
        <v>600.5</v>
      </c>
      <c r="J18" s="37"/>
      <c r="K18" s="564"/>
      <c r="L18" s="39"/>
      <c r="M18" s="32">
        <v>32401.5</v>
      </c>
      <c r="N18" s="33">
        <v>37625</v>
      </c>
      <c r="O18" s="176" t="s">
        <v>937</v>
      </c>
      <c r="P18" s="39">
        <f t="shared" si="1"/>
        <v>92253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44851</v>
      </c>
      <c r="C19" s="851">
        <f>15181+57274</f>
        <v>72455</v>
      </c>
      <c r="D19" s="35" t="s">
        <v>1396</v>
      </c>
      <c r="E19" s="27">
        <v>44851</v>
      </c>
      <c r="F19" s="28">
        <v>335060</v>
      </c>
      <c r="G19" s="572"/>
      <c r="H19" s="29">
        <v>44851</v>
      </c>
      <c r="I19" s="30">
        <v>2459</v>
      </c>
      <c r="J19" s="37">
        <v>44851</v>
      </c>
      <c r="K19" s="827" t="s">
        <v>1397</v>
      </c>
      <c r="L19" s="47">
        <v>125623</v>
      </c>
      <c r="M19" s="32">
        <f>59314+3825+15405+22027</f>
        <v>100571</v>
      </c>
      <c r="N19" s="33">
        <v>46654</v>
      </c>
      <c r="O19" s="176" t="s">
        <v>937</v>
      </c>
      <c r="P19" s="39">
        <f t="shared" si="1"/>
        <v>347762</v>
      </c>
      <c r="Q19" s="325">
        <v>0</v>
      </c>
      <c r="R19" s="388">
        <v>12702</v>
      </c>
    </row>
    <row r="20" spans="1:18" ht="18" customHeight="1" thickBot="1" x14ac:dyDescent="0.35">
      <c r="A20" s="23"/>
      <c r="B20" s="24">
        <v>44852</v>
      </c>
      <c r="C20" s="25">
        <v>20132</v>
      </c>
      <c r="D20" s="35" t="s">
        <v>1398</v>
      </c>
      <c r="E20" s="27">
        <v>44852</v>
      </c>
      <c r="F20" s="28">
        <v>112448</v>
      </c>
      <c r="G20" s="572"/>
      <c r="H20" s="29">
        <v>44852</v>
      </c>
      <c r="I20" s="30">
        <v>12996</v>
      </c>
      <c r="J20" s="37"/>
      <c r="K20" s="171"/>
      <c r="L20" s="45"/>
      <c r="M20" s="32">
        <f>50356+40030</f>
        <v>90386</v>
      </c>
      <c r="N20" s="33">
        <v>38783</v>
      </c>
      <c r="O20" s="176" t="s">
        <v>937</v>
      </c>
      <c r="P20" s="39">
        <f t="shared" si="1"/>
        <v>162297</v>
      </c>
      <c r="Q20" s="325">
        <v>0</v>
      </c>
      <c r="R20" s="388">
        <v>49849</v>
      </c>
    </row>
    <row r="21" spans="1:18" ht="18" thickBot="1" x14ac:dyDescent="0.35">
      <c r="A21" s="23"/>
      <c r="B21" s="24">
        <v>44853</v>
      </c>
      <c r="C21" s="25">
        <v>20347</v>
      </c>
      <c r="D21" s="35" t="s">
        <v>1399</v>
      </c>
      <c r="E21" s="27">
        <v>44853</v>
      </c>
      <c r="F21" s="28">
        <v>112085</v>
      </c>
      <c r="G21" s="572"/>
      <c r="H21" s="29">
        <v>44853</v>
      </c>
      <c r="I21" s="30">
        <v>990.5</v>
      </c>
      <c r="J21" s="37"/>
      <c r="K21" s="565"/>
      <c r="L21" s="45"/>
      <c r="M21" s="32">
        <f>11000+26716+12485+13100</f>
        <v>63301</v>
      </c>
      <c r="N21" s="33">
        <v>27446</v>
      </c>
      <c r="O21" s="176" t="s">
        <v>937</v>
      </c>
      <c r="P21" s="39">
        <f t="shared" si="1"/>
        <v>112084.5</v>
      </c>
      <c r="Q21" s="325">
        <f t="shared" si="0"/>
        <v>-0.5</v>
      </c>
      <c r="R21" s="319">
        <v>0</v>
      </c>
    </row>
    <row r="22" spans="1:18" ht="18" thickBot="1" x14ac:dyDescent="0.35">
      <c r="A22" s="23"/>
      <c r="B22" s="24">
        <v>44854</v>
      </c>
      <c r="C22" s="25">
        <v>13240.5</v>
      </c>
      <c r="D22" s="35" t="s">
        <v>1400</v>
      </c>
      <c r="E22" s="27">
        <v>44854</v>
      </c>
      <c r="F22" s="28">
        <v>125544</v>
      </c>
      <c r="G22" s="572"/>
      <c r="H22" s="29">
        <v>44854</v>
      </c>
      <c r="I22" s="30">
        <v>1065</v>
      </c>
      <c r="J22" s="37"/>
      <c r="K22" s="773"/>
      <c r="L22" s="49"/>
      <c r="M22" s="32">
        <f>4423+1978+70094.5+500</f>
        <v>76995.5</v>
      </c>
      <c r="N22" s="33">
        <f>34743</f>
        <v>34743</v>
      </c>
      <c r="O22" s="176" t="s">
        <v>937</v>
      </c>
      <c r="P22" s="39">
        <f t="shared" si="1"/>
        <v>126044</v>
      </c>
      <c r="Q22" s="325">
        <f t="shared" si="0"/>
        <v>500</v>
      </c>
      <c r="R22" s="319">
        <v>0</v>
      </c>
    </row>
    <row r="23" spans="1:18" ht="18" customHeight="1" thickBot="1" x14ac:dyDescent="0.35">
      <c r="A23" s="23"/>
      <c r="B23" s="24">
        <v>44855</v>
      </c>
      <c r="C23" s="25">
        <v>6653.5</v>
      </c>
      <c r="D23" s="35" t="s">
        <v>334</v>
      </c>
      <c r="E23" s="27">
        <v>44855</v>
      </c>
      <c r="F23" s="28">
        <v>142617</v>
      </c>
      <c r="G23" s="572"/>
      <c r="H23" s="29">
        <v>44855</v>
      </c>
      <c r="I23" s="30">
        <v>3138</v>
      </c>
      <c r="J23" s="50"/>
      <c r="K23" s="172"/>
      <c r="L23" s="45"/>
      <c r="M23" s="32">
        <v>80491.5</v>
      </c>
      <c r="N23" s="33">
        <v>52118</v>
      </c>
      <c r="O23" s="176" t="s">
        <v>937</v>
      </c>
      <c r="P23" s="39">
        <f t="shared" si="1"/>
        <v>142401</v>
      </c>
      <c r="Q23" s="828">
        <f t="shared" si="0"/>
        <v>-216</v>
      </c>
      <c r="R23" s="319">
        <v>0</v>
      </c>
    </row>
    <row r="24" spans="1:18" ht="18" customHeight="1" thickBot="1" x14ac:dyDescent="0.35">
      <c r="A24" s="23"/>
      <c r="B24" s="24">
        <v>44856</v>
      </c>
      <c r="C24" s="25">
        <v>28062</v>
      </c>
      <c r="D24" s="42" t="s">
        <v>1401</v>
      </c>
      <c r="E24" s="27">
        <v>44856</v>
      </c>
      <c r="F24" s="28">
        <v>162964</v>
      </c>
      <c r="G24" s="572"/>
      <c r="H24" s="29">
        <v>44856</v>
      </c>
      <c r="I24" s="30">
        <v>3901</v>
      </c>
      <c r="J24" s="51">
        <v>44856</v>
      </c>
      <c r="K24" s="172" t="s">
        <v>1402</v>
      </c>
      <c r="L24" s="52">
        <v>18363</v>
      </c>
      <c r="M24" s="32">
        <v>61506</v>
      </c>
      <c r="N24" s="33">
        <v>51132</v>
      </c>
      <c r="O24" s="176" t="s">
        <v>937</v>
      </c>
      <c r="P24" s="39">
        <f>N24+M24+L24+I24+C24</f>
        <v>162964</v>
      </c>
      <c r="Q24" s="325">
        <f t="shared" si="0"/>
        <v>0</v>
      </c>
      <c r="R24" s="319">
        <v>0</v>
      </c>
    </row>
    <row r="25" spans="1:18" ht="18" thickBot="1" x14ac:dyDescent="0.35">
      <c r="A25" s="23"/>
      <c r="B25" s="24">
        <v>44857</v>
      </c>
      <c r="C25" s="25">
        <v>15549</v>
      </c>
      <c r="D25" s="35" t="s">
        <v>1404</v>
      </c>
      <c r="E25" s="27">
        <v>44857</v>
      </c>
      <c r="F25" s="28">
        <v>158176</v>
      </c>
      <c r="G25" s="572"/>
      <c r="H25" s="29">
        <v>44857</v>
      </c>
      <c r="I25" s="30">
        <v>210</v>
      </c>
      <c r="J25" s="50"/>
      <c r="K25" s="38"/>
      <c r="L25" s="54"/>
      <c r="M25" s="32">
        <f>98113+12000</f>
        <v>110113</v>
      </c>
      <c r="N25" s="33">
        <v>32304</v>
      </c>
      <c r="O25" s="176" t="s">
        <v>937</v>
      </c>
      <c r="P25" s="283">
        <f t="shared" si="1"/>
        <v>158176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44858</v>
      </c>
      <c r="C26" s="25">
        <v>10271</v>
      </c>
      <c r="D26" s="35" t="s">
        <v>1405</v>
      </c>
      <c r="E26" s="27">
        <v>44858</v>
      </c>
      <c r="F26" s="28">
        <v>164192</v>
      </c>
      <c r="G26" s="572"/>
      <c r="H26" s="29">
        <v>44858</v>
      </c>
      <c r="I26" s="30">
        <v>1084</v>
      </c>
      <c r="J26" s="37"/>
      <c r="K26" s="728"/>
      <c r="L26" s="729"/>
      <c r="M26" s="32">
        <f>42320+18000+17955+16315+7924</f>
        <v>102514</v>
      </c>
      <c r="N26" s="33">
        <f>50323</f>
        <v>50323</v>
      </c>
      <c r="O26" s="176" t="s">
        <v>7</v>
      </c>
      <c r="P26" s="283">
        <f t="shared" si="1"/>
        <v>164192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44859</v>
      </c>
      <c r="C27" s="25">
        <v>34616</v>
      </c>
      <c r="D27" s="42" t="s">
        <v>1406</v>
      </c>
      <c r="E27" s="27">
        <v>44859</v>
      </c>
      <c r="F27" s="28">
        <v>125063</v>
      </c>
      <c r="G27" s="572"/>
      <c r="H27" s="29">
        <v>44859</v>
      </c>
      <c r="I27" s="30">
        <v>3549</v>
      </c>
      <c r="J27" s="55"/>
      <c r="K27" s="174"/>
      <c r="L27" s="54"/>
      <c r="M27" s="32">
        <v>51280</v>
      </c>
      <c r="N27" s="33">
        <v>35618</v>
      </c>
      <c r="P27" s="283">
        <f t="shared" si="1"/>
        <v>125063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44860</v>
      </c>
      <c r="C28" s="25">
        <v>15813</v>
      </c>
      <c r="D28" s="42" t="s">
        <v>1407</v>
      </c>
      <c r="E28" s="27">
        <v>44860</v>
      </c>
      <c r="F28" s="28">
        <v>126017</v>
      </c>
      <c r="G28" s="572"/>
      <c r="H28" s="29">
        <v>44860</v>
      </c>
      <c r="I28" s="30">
        <v>452</v>
      </c>
      <c r="J28" s="829"/>
      <c r="K28" s="57"/>
      <c r="L28" s="54"/>
      <c r="M28" s="32">
        <f>39321+6763</f>
        <v>46084</v>
      </c>
      <c r="N28" s="33">
        <v>63668</v>
      </c>
      <c r="P28" s="283">
        <f t="shared" si="1"/>
        <v>126017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44861</v>
      </c>
      <c r="C29" s="25">
        <v>6397</v>
      </c>
      <c r="D29" s="58" t="s">
        <v>1408</v>
      </c>
      <c r="E29" s="27">
        <v>44861</v>
      </c>
      <c r="F29" s="28">
        <v>166135</v>
      </c>
      <c r="G29" s="572"/>
      <c r="H29" s="29">
        <v>44861</v>
      </c>
      <c r="I29" s="30">
        <v>1832</v>
      </c>
      <c r="J29" s="59"/>
      <c r="K29" s="175"/>
      <c r="L29" s="54"/>
      <c r="M29" s="32">
        <f>103432+5190+10223.4</f>
        <v>118845.4</v>
      </c>
      <c r="N29" s="33">
        <v>39061</v>
      </c>
      <c r="P29" s="283">
        <f t="shared" si="1"/>
        <v>166135.4</v>
      </c>
      <c r="Q29" s="325">
        <f t="shared" si="0"/>
        <v>0.39999999999417923</v>
      </c>
      <c r="R29" s="319">
        <v>0</v>
      </c>
    </row>
    <row r="30" spans="1:18" ht="18" thickBot="1" x14ac:dyDescent="0.35">
      <c r="A30" s="23"/>
      <c r="B30" s="24">
        <v>44862</v>
      </c>
      <c r="C30" s="25">
        <v>10473</v>
      </c>
      <c r="D30" s="58" t="s">
        <v>1409</v>
      </c>
      <c r="E30" s="27">
        <v>44862</v>
      </c>
      <c r="F30" s="28">
        <v>137191</v>
      </c>
      <c r="G30" s="572"/>
      <c r="H30" s="29">
        <v>44862</v>
      </c>
      <c r="I30" s="30">
        <v>3957</v>
      </c>
      <c r="J30" s="56"/>
      <c r="K30" s="38"/>
      <c r="L30" s="39"/>
      <c r="M30" s="32">
        <v>72100</v>
      </c>
      <c r="N30" s="33">
        <v>50664</v>
      </c>
      <c r="P30" s="283">
        <f t="shared" si="1"/>
        <v>137194</v>
      </c>
      <c r="Q30" s="325">
        <f t="shared" si="0"/>
        <v>3</v>
      </c>
      <c r="R30" s="319">
        <v>0</v>
      </c>
    </row>
    <row r="31" spans="1:18" ht="31.5" thickBot="1" x14ac:dyDescent="0.35">
      <c r="A31" s="23"/>
      <c r="B31" s="24">
        <v>44863</v>
      </c>
      <c r="C31" s="25">
        <v>16268</v>
      </c>
      <c r="D31" s="67" t="s">
        <v>1410</v>
      </c>
      <c r="E31" s="27">
        <v>44863</v>
      </c>
      <c r="F31" s="28">
        <v>194467</v>
      </c>
      <c r="G31" s="572"/>
      <c r="H31" s="29">
        <v>44863</v>
      </c>
      <c r="I31" s="30">
        <v>2492</v>
      </c>
      <c r="J31" s="56">
        <v>44863</v>
      </c>
      <c r="K31" s="821" t="s">
        <v>1411</v>
      </c>
      <c r="L31" s="54">
        <v>21822</v>
      </c>
      <c r="M31" s="32">
        <v>110525</v>
      </c>
      <c r="N31" s="33">
        <v>43360</v>
      </c>
      <c r="P31" s="34">
        <f t="shared" si="1"/>
        <v>194467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44864</v>
      </c>
      <c r="C32" s="25">
        <v>0</v>
      </c>
      <c r="D32" s="64"/>
      <c r="E32" s="27">
        <v>44864</v>
      </c>
      <c r="F32" s="28">
        <v>145645</v>
      </c>
      <c r="G32" s="572"/>
      <c r="H32" s="29">
        <v>44864</v>
      </c>
      <c r="I32" s="30">
        <v>224</v>
      </c>
      <c r="J32" s="56"/>
      <c r="K32" s="38"/>
      <c r="L32" s="39"/>
      <c r="M32" s="32">
        <v>95861</v>
      </c>
      <c r="N32" s="33">
        <v>49560</v>
      </c>
      <c r="P32" s="34">
        <f t="shared" si="1"/>
        <v>145645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44842</v>
      </c>
      <c r="K34" s="739" t="s">
        <v>1395</v>
      </c>
      <c r="L34" s="39">
        <v>19093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44849</v>
      </c>
      <c r="K35" s="740" t="s">
        <v>1403</v>
      </c>
      <c r="L35" s="702">
        <v>21415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/>
      <c r="C36" s="693"/>
      <c r="D36" s="786"/>
      <c r="E36" s="27"/>
      <c r="F36" s="28"/>
      <c r="G36" s="662"/>
      <c r="H36" s="29"/>
      <c r="I36" s="30"/>
      <c r="J36" s="56">
        <v>44856</v>
      </c>
      <c r="K36" s="739" t="s">
        <v>1402</v>
      </c>
      <c r="L36" s="39">
        <v>20413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/>
      <c r="C37" s="692"/>
      <c r="D37" s="742"/>
      <c r="E37" s="27"/>
      <c r="F37" s="28"/>
      <c r="G37" s="662"/>
      <c r="H37" s="29"/>
      <c r="I37" s="30"/>
      <c r="J37" s="56">
        <v>44863</v>
      </c>
      <c r="K37" s="739" t="s">
        <v>1412</v>
      </c>
      <c r="L37" s="39">
        <f>20914.58+1808.25</f>
        <v>22722.83</v>
      </c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/>
      <c r="C38" s="692"/>
      <c r="D38" s="742"/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/>
      <c r="C39" s="692"/>
      <c r="D39" s="695"/>
      <c r="E39" s="27"/>
      <c r="F39" s="508"/>
      <c r="G39" s="662"/>
      <c r="H39" s="29"/>
      <c r="I39" s="71"/>
      <c r="J39" s="56">
        <v>44841</v>
      </c>
      <c r="K39" s="663" t="s">
        <v>201</v>
      </c>
      <c r="L39" s="39">
        <v>549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>
        <v>44844</v>
      </c>
      <c r="K40" s="38" t="s">
        <v>824</v>
      </c>
      <c r="L40" s="39">
        <v>4006.5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44844</v>
      </c>
      <c r="K41" s="751" t="s">
        <v>830</v>
      </c>
      <c r="L41" s="39">
        <v>1856</v>
      </c>
      <c r="M41" s="931">
        <f>SUM(M5:M40)</f>
        <v>2247959.2000000002</v>
      </c>
      <c r="N41" s="931">
        <f>SUM(N5:N40)</f>
        <v>1207891</v>
      </c>
      <c r="P41" s="505">
        <f>SUM(P5:P40)</f>
        <v>4224165.1999999993</v>
      </c>
      <c r="Q41" s="1063">
        <f>SUM(Q5:Q40)</f>
        <v>293.20000000001164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44848</v>
      </c>
      <c r="K42" s="752" t="s">
        <v>1564</v>
      </c>
      <c r="L42" s="702">
        <v>31059</v>
      </c>
      <c r="M42" s="932"/>
      <c r="N42" s="932"/>
      <c r="P42" s="34"/>
      <c r="Q42" s="1064"/>
      <c r="R42" s="788">
        <f>SUM(R5:R41)</f>
        <v>66701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44848</v>
      </c>
      <c r="K43" s="751" t="s">
        <v>1565</v>
      </c>
      <c r="L43" s="39">
        <v>6032</v>
      </c>
      <c r="M43" s="820"/>
      <c r="N43" s="820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>
        <v>44852</v>
      </c>
      <c r="K44" s="38" t="s">
        <v>1566</v>
      </c>
      <c r="L44" s="39">
        <v>22100.639999999999</v>
      </c>
      <c r="M44" s="820"/>
      <c r="N44" s="82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44859</v>
      </c>
      <c r="K45" s="38" t="s">
        <v>840</v>
      </c>
      <c r="L45" s="39">
        <v>1126.45</v>
      </c>
      <c r="M45" s="998">
        <f>M41+N41</f>
        <v>3455850.2</v>
      </c>
      <c r="N45" s="99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44860</v>
      </c>
      <c r="K46" s="38" t="s">
        <v>1565</v>
      </c>
      <c r="L46" s="39">
        <v>4176</v>
      </c>
      <c r="M46" s="820"/>
      <c r="N46" s="82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20"/>
      <c r="N47" s="82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20"/>
      <c r="N48" s="82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20"/>
      <c r="N49" s="82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20"/>
      <c r="N50" s="82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20"/>
      <c r="N51" s="82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20"/>
      <c r="N52" s="820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20"/>
      <c r="N53" s="820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20"/>
      <c r="N54" s="820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20"/>
      <c r="N55" s="820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20"/>
      <c r="N56" s="820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20"/>
      <c r="N57" s="820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20"/>
      <c r="N58" s="820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20"/>
      <c r="N59" s="820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486080</v>
      </c>
      <c r="D67" s="88"/>
      <c r="E67" s="91" t="s">
        <v>8</v>
      </c>
      <c r="F67" s="90">
        <f>SUM(F5:F60)</f>
        <v>4120859</v>
      </c>
      <c r="G67" s="573"/>
      <c r="H67" s="91" t="s">
        <v>9</v>
      </c>
      <c r="I67" s="92">
        <f>SUM(I5:I60)</f>
        <v>70078</v>
      </c>
      <c r="J67" s="93"/>
      <c r="K67" s="94" t="s">
        <v>10</v>
      </c>
      <c r="L67" s="95">
        <f>SUM(L5:L65)-L26</f>
        <v>366706.42000000004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8" t="s">
        <v>11</v>
      </c>
      <c r="I69" s="909"/>
      <c r="J69" s="559"/>
      <c r="K69" s="1033">
        <f>I67+L67</f>
        <v>436784.42000000004</v>
      </c>
      <c r="L69" s="1034"/>
      <c r="M69" s="272"/>
      <c r="N69" s="272"/>
      <c r="P69" s="34"/>
      <c r="Q69" s="13"/>
    </row>
    <row r="70" spans="1:17" x14ac:dyDescent="0.25">
      <c r="D70" s="914" t="s">
        <v>12</v>
      </c>
      <c r="E70" s="914"/>
      <c r="F70" s="312">
        <f>F67-K69-C67</f>
        <v>3197994.58</v>
      </c>
      <c r="I70" s="102"/>
      <c r="J70" s="560"/>
    </row>
    <row r="71" spans="1:17" ht="18.75" x14ac:dyDescent="0.3">
      <c r="D71" s="938" t="s">
        <v>95</v>
      </c>
      <c r="E71" s="938"/>
      <c r="F71" s="111">
        <v>-2010648.49</v>
      </c>
      <c r="I71" s="915" t="s">
        <v>13</v>
      </c>
      <c r="J71" s="916"/>
      <c r="K71" s="917">
        <f>F73+F74+F75</f>
        <v>4262125.54</v>
      </c>
      <c r="L71" s="917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-176791.2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1010554.8900000001</v>
      </c>
      <c r="H73" s="555"/>
      <c r="I73" s="108" t="s">
        <v>15</v>
      </c>
      <c r="J73" s="109"/>
      <c r="K73" s="1029">
        <f>-C4</f>
        <v>-3773503.4</v>
      </c>
      <c r="L73" s="917"/>
    </row>
    <row r="74" spans="1:17" ht="16.5" thickBot="1" x14ac:dyDescent="0.3">
      <c r="D74" s="110" t="s">
        <v>16</v>
      </c>
      <c r="E74" s="98" t="s">
        <v>17</v>
      </c>
      <c r="F74" s="111">
        <v>74985</v>
      </c>
    </row>
    <row r="75" spans="1:17" ht="20.25" thickTop="1" thickBot="1" x14ac:dyDescent="0.35">
      <c r="C75" s="112">
        <v>44864</v>
      </c>
      <c r="D75" s="897" t="s">
        <v>18</v>
      </c>
      <c r="E75" s="898"/>
      <c r="F75" s="113">
        <v>3176585.65</v>
      </c>
      <c r="I75" s="1060" t="s">
        <v>198</v>
      </c>
      <c r="J75" s="1061"/>
      <c r="K75" s="1062">
        <f>K71+K73</f>
        <v>488622.14000000013</v>
      </c>
      <c r="L75" s="106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M45:N45"/>
    <mergeCell ref="P3:P4"/>
    <mergeCell ref="B1:B2"/>
    <mergeCell ref="C1:M1"/>
    <mergeCell ref="B3:C3"/>
    <mergeCell ref="H3:I3"/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</mergeCells>
  <pageMargins left="0.25" right="0.25" top="0.35" bottom="0.35" header="0.3" footer="0.3"/>
  <pageSetup paperSize="5" orientation="landscape" horizontalDpi="0" verticalDpi="0" r:id="rId1"/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FF66"/>
  </sheetPr>
  <dimension ref="B1:N123"/>
  <sheetViews>
    <sheetView topLeftCell="A31" workbookViewId="0">
      <selection activeCell="F25" sqref="F25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44837</v>
      </c>
      <c r="C3" s="845" t="s">
        <v>1413</v>
      </c>
      <c r="D3" s="307">
        <v>88125.66</v>
      </c>
      <c r="E3" s="868">
        <v>44876</v>
      </c>
      <c r="F3" s="869">
        <v>88125.66</v>
      </c>
      <c r="G3" s="410">
        <f>D3-F3</f>
        <v>0</v>
      </c>
      <c r="I3" s="858" t="s">
        <v>1451</v>
      </c>
      <c r="J3" s="748">
        <v>10499</v>
      </c>
      <c r="K3" s="749">
        <v>2150</v>
      </c>
      <c r="L3" s="853">
        <v>44853</v>
      </c>
      <c r="M3" s="860">
        <v>2150</v>
      </c>
      <c r="N3" s="183">
        <f>K3-M3</f>
        <v>0</v>
      </c>
    </row>
    <row r="4" spans="2:14" ht="18.75" x14ac:dyDescent="0.3">
      <c r="B4" s="454">
        <v>44838</v>
      </c>
      <c r="C4" s="246" t="s">
        <v>1414</v>
      </c>
      <c r="D4" s="111">
        <v>56205.15</v>
      </c>
      <c r="E4" s="868">
        <v>44876</v>
      </c>
      <c r="F4" s="870">
        <v>56205.15</v>
      </c>
      <c r="G4" s="544">
        <f t="shared" ref="G4:G65" si="0">D4-F4</f>
        <v>0</v>
      </c>
      <c r="H4" s="138"/>
      <c r="I4" s="858" t="s">
        <v>1452</v>
      </c>
      <c r="J4" s="748">
        <v>10507</v>
      </c>
      <c r="K4" s="749">
        <v>4000</v>
      </c>
      <c r="L4" s="853">
        <v>44853</v>
      </c>
      <c r="M4" s="860">
        <v>4000</v>
      </c>
      <c r="N4" s="137">
        <f>N3+K4-M4</f>
        <v>0</v>
      </c>
    </row>
    <row r="5" spans="2:14" ht="15.75" x14ac:dyDescent="0.25">
      <c r="B5" s="454">
        <v>44839</v>
      </c>
      <c r="C5" s="246" t="s">
        <v>1415</v>
      </c>
      <c r="D5" s="111">
        <v>65950</v>
      </c>
      <c r="E5" s="868">
        <v>44876</v>
      </c>
      <c r="F5" s="870">
        <v>65950</v>
      </c>
      <c r="G5" s="544">
        <f t="shared" si="0"/>
        <v>0</v>
      </c>
      <c r="I5" s="858" t="s">
        <v>1452</v>
      </c>
      <c r="J5" s="748">
        <v>10508</v>
      </c>
      <c r="K5" s="749">
        <v>330</v>
      </c>
      <c r="L5" s="853">
        <v>44853</v>
      </c>
      <c r="M5" s="860">
        <v>330</v>
      </c>
      <c r="N5" s="137">
        <f t="shared" ref="N5:N65" si="1">N4+K5-M5</f>
        <v>0</v>
      </c>
    </row>
    <row r="6" spans="2:14" ht="15.75" x14ac:dyDescent="0.25">
      <c r="B6" s="454">
        <v>44839</v>
      </c>
      <c r="C6" s="246" t="s">
        <v>1416</v>
      </c>
      <c r="D6" s="111">
        <v>11783.6</v>
      </c>
      <c r="E6" s="868">
        <v>44876</v>
      </c>
      <c r="F6" s="870">
        <v>11783.6</v>
      </c>
      <c r="G6" s="544">
        <f t="shared" si="0"/>
        <v>0</v>
      </c>
      <c r="I6" s="859" t="s">
        <v>1453</v>
      </c>
      <c r="J6" s="745">
        <v>10516</v>
      </c>
      <c r="K6" s="746">
        <v>330</v>
      </c>
      <c r="L6" s="853">
        <v>44853</v>
      </c>
      <c r="M6" s="860">
        <v>330</v>
      </c>
      <c r="N6" s="137">
        <f t="shared" si="1"/>
        <v>0</v>
      </c>
    </row>
    <row r="7" spans="2:14" ht="15.75" x14ac:dyDescent="0.25">
      <c r="B7" s="454">
        <v>44840</v>
      </c>
      <c r="C7" s="246" t="s">
        <v>1417</v>
      </c>
      <c r="D7" s="111">
        <v>43663.74</v>
      </c>
      <c r="E7" s="868">
        <v>44876</v>
      </c>
      <c r="F7" s="870">
        <v>43663.74</v>
      </c>
      <c r="G7" s="544">
        <f t="shared" si="0"/>
        <v>0</v>
      </c>
      <c r="I7" s="859" t="s">
        <v>1454</v>
      </c>
      <c r="J7" s="745">
        <v>10522</v>
      </c>
      <c r="K7" s="746">
        <v>3646.4</v>
      </c>
      <c r="L7" s="853">
        <v>44853</v>
      </c>
      <c r="M7" s="860">
        <v>3646.4</v>
      </c>
      <c r="N7" s="137">
        <f t="shared" si="1"/>
        <v>0</v>
      </c>
    </row>
    <row r="8" spans="2:14" ht="15.75" x14ac:dyDescent="0.25">
      <c r="B8" s="454">
        <v>44841</v>
      </c>
      <c r="C8" s="246" t="s">
        <v>1418</v>
      </c>
      <c r="D8" s="111">
        <v>134361.29999999999</v>
      </c>
      <c r="E8" s="868">
        <v>44876</v>
      </c>
      <c r="F8" s="870">
        <v>134361.29999999999</v>
      </c>
      <c r="G8" s="544">
        <f t="shared" si="0"/>
        <v>0</v>
      </c>
      <c r="I8" s="858" t="s">
        <v>1455</v>
      </c>
      <c r="J8" s="748">
        <v>10535</v>
      </c>
      <c r="K8" s="749">
        <v>330</v>
      </c>
      <c r="L8" s="853">
        <v>44853</v>
      </c>
      <c r="M8" s="860">
        <v>330</v>
      </c>
      <c r="N8" s="137">
        <f t="shared" si="1"/>
        <v>0</v>
      </c>
    </row>
    <row r="9" spans="2:14" ht="31.5" x14ac:dyDescent="0.25">
      <c r="B9" s="454">
        <v>44842</v>
      </c>
      <c r="C9" s="246" t="s">
        <v>1419</v>
      </c>
      <c r="D9" s="111">
        <v>119152.93</v>
      </c>
      <c r="E9" s="871" t="s">
        <v>1534</v>
      </c>
      <c r="F9" s="872">
        <f>72563.05+46589.88</f>
        <v>119152.93</v>
      </c>
      <c r="G9" s="544">
        <f t="shared" si="0"/>
        <v>0</v>
      </c>
      <c r="I9" s="859" t="s">
        <v>1456</v>
      </c>
      <c r="J9" s="745">
        <v>10544</v>
      </c>
      <c r="K9" s="746">
        <v>11444.8</v>
      </c>
      <c r="L9" s="853">
        <v>44853</v>
      </c>
      <c r="M9" s="860">
        <v>11444.8</v>
      </c>
      <c r="N9" s="137">
        <f t="shared" si="1"/>
        <v>0</v>
      </c>
    </row>
    <row r="10" spans="2:14" ht="18.75" x14ac:dyDescent="0.3">
      <c r="B10" s="454">
        <v>44844</v>
      </c>
      <c r="C10" s="246" t="s">
        <v>1420</v>
      </c>
      <c r="D10" s="111">
        <v>56609.8</v>
      </c>
      <c r="E10" s="873">
        <v>44881</v>
      </c>
      <c r="F10" s="872">
        <v>56609.8</v>
      </c>
      <c r="G10" s="544">
        <f t="shared" si="0"/>
        <v>0</v>
      </c>
      <c r="H10" s="138"/>
      <c r="I10" s="859" t="s">
        <v>1456</v>
      </c>
      <c r="J10" s="745">
        <v>10546</v>
      </c>
      <c r="K10" s="746">
        <v>550</v>
      </c>
      <c r="L10" s="853">
        <v>44853</v>
      </c>
      <c r="M10" s="860">
        <v>550</v>
      </c>
      <c r="N10" s="137">
        <f t="shared" si="1"/>
        <v>0</v>
      </c>
    </row>
    <row r="11" spans="2:14" ht="15.75" x14ac:dyDescent="0.25">
      <c r="B11" s="454">
        <v>44844</v>
      </c>
      <c r="C11" s="246" t="s">
        <v>1421</v>
      </c>
      <c r="D11" s="111">
        <v>11900.34</v>
      </c>
      <c r="E11" s="873">
        <v>44881</v>
      </c>
      <c r="F11" s="872">
        <v>11900.34</v>
      </c>
      <c r="G11" s="544">
        <f t="shared" si="0"/>
        <v>0</v>
      </c>
      <c r="I11" s="858" t="s">
        <v>1457</v>
      </c>
      <c r="J11" s="748">
        <v>10556</v>
      </c>
      <c r="K11" s="749">
        <v>3917.2</v>
      </c>
      <c r="L11" s="853">
        <v>44853</v>
      </c>
      <c r="M11" s="860">
        <v>3917.2</v>
      </c>
      <c r="N11" s="137">
        <f t="shared" si="1"/>
        <v>0</v>
      </c>
    </row>
    <row r="12" spans="2:14" ht="15.75" x14ac:dyDescent="0.25">
      <c r="B12" s="454">
        <v>44844</v>
      </c>
      <c r="C12" s="246" t="s">
        <v>1422</v>
      </c>
      <c r="D12" s="111">
        <v>4077.4</v>
      </c>
      <c r="E12" s="873">
        <v>44881</v>
      </c>
      <c r="F12" s="872">
        <v>4077.4</v>
      </c>
      <c r="G12" s="544">
        <f t="shared" si="0"/>
        <v>0</v>
      </c>
      <c r="I12" s="858" t="s">
        <v>1457</v>
      </c>
      <c r="J12" s="748">
        <v>10561</v>
      </c>
      <c r="K12" s="749">
        <v>738</v>
      </c>
      <c r="L12" s="853">
        <v>44853</v>
      </c>
      <c r="M12" s="860">
        <v>738</v>
      </c>
      <c r="N12" s="137">
        <f t="shared" si="1"/>
        <v>0</v>
      </c>
    </row>
    <row r="13" spans="2:14" ht="15.75" x14ac:dyDescent="0.25">
      <c r="B13" s="454">
        <v>44844</v>
      </c>
      <c r="C13" s="246" t="s">
        <v>1423</v>
      </c>
      <c r="D13" s="111">
        <v>34319.599999999999</v>
      </c>
      <c r="E13" s="873">
        <v>44881</v>
      </c>
      <c r="F13" s="872">
        <v>34319.599999999999</v>
      </c>
      <c r="G13" s="544">
        <f t="shared" si="0"/>
        <v>0</v>
      </c>
      <c r="I13" s="859" t="s">
        <v>1458</v>
      </c>
      <c r="J13" s="745">
        <v>10566</v>
      </c>
      <c r="K13" s="746">
        <v>330</v>
      </c>
      <c r="L13" s="853">
        <v>44853</v>
      </c>
      <c r="M13" s="860">
        <v>330</v>
      </c>
      <c r="N13" s="137">
        <f t="shared" si="1"/>
        <v>0</v>
      </c>
    </row>
    <row r="14" spans="2:14" ht="31.5" x14ac:dyDescent="0.25">
      <c r="B14" s="454">
        <v>44845</v>
      </c>
      <c r="C14" s="246" t="s">
        <v>1424</v>
      </c>
      <c r="D14" s="111">
        <v>75381.73</v>
      </c>
      <c r="E14" s="874" t="s">
        <v>1535</v>
      </c>
      <c r="F14" s="876">
        <f>71661.48+3720.25</f>
        <v>75381.73</v>
      </c>
      <c r="G14" s="544">
        <f t="shared" si="0"/>
        <v>0</v>
      </c>
      <c r="I14" s="858" t="s">
        <v>1459</v>
      </c>
      <c r="J14" s="748">
        <v>10575</v>
      </c>
      <c r="K14" s="749">
        <v>330</v>
      </c>
      <c r="L14" s="853">
        <v>44853</v>
      </c>
      <c r="M14" s="860">
        <v>330</v>
      </c>
      <c r="N14" s="137">
        <f t="shared" si="1"/>
        <v>0</v>
      </c>
    </row>
    <row r="15" spans="2:14" ht="15.75" x14ac:dyDescent="0.25">
      <c r="B15" s="454">
        <v>44846</v>
      </c>
      <c r="C15" s="246" t="s">
        <v>1425</v>
      </c>
      <c r="D15" s="111">
        <v>16980.2</v>
      </c>
      <c r="E15" s="877">
        <v>44883</v>
      </c>
      <c r="F15" s="876">
        <v>16980.2</v>
      </c>
      <c r="G15" s="544">
        <f t="shared" si="0"/>
        <v>0</v>
      </c>
      <c r="I15" s="859" t="s">
        <v>1460</v>
      </c>
      <c r="J15" s="745">
        <v>10583</v>
      </c>
      <c r="K15" s="746">
        <v>24229.599999999999</v>
      </c>
      <c r="L15" s="853">
        <v>44853</v>
      </c>
      <c r="M15" s="860">
        <v>24229.599999999999</v>
      </c>
      <c r="N15" s="137">
        <f t="shared" si="1"/>
        <v>0</v>
      </c>
    </row>
    <row r="16" spans="2:14" ht="31.5" x14ac:dyDescent="0.25">
      <c r="B16" s="454">
        <v>44846</v>
      </c>
      <c r="C16" s="246" t="s">
        <v>1426</v>
      </c>
      <c r="D16" s="111">
        <v>105790.02</v>
      </c>
      <c r="E16" s="878" t="s">
        <v>1536</v>
      </c>
      <c r="F16" s="111">
        <f>101800.55+3989.47</f>
        <v>105790.02</v>
      </c>
      <c r="G16" s="544">
        <f t="shared" si="0"/>
        <v>0</v>
      </c>
      <c r="I16" s="859" t="s">
        <v>1461</v>
      </c>
      <c r="J16" s="745">
        <v>10598</v>
      </c>
      <c r="K16" s="746">
        <v>585</v>
      </c>
      <c r="L16" s="853">
        <v>44853</v>
      </c>
      <c r="M16" s="860">
        <v>585</v>
      </c>
      <c r="N16" s="137">
        <f t="shared" si="1"/>
        <v>0</v>
      </c>
    </row>
    <row r="17" spans="2:14" ht="15.75" x14ac:dyDescent="0.25">
      <c r="B17" s="454">
        <v>44847</v>
      </c>
      <c r="C17" s="246" t="s">
        <v>1427</v>
      </c>
      <c r="D17" s="111">
        <v>24981.4</v>
      </c>
      <c r="E17" s="412">
        <v>44884</v>
      </c>
      <c r="F17" s="111">
        <v>24981.4</v>
      </c>
      <c r="G17" s="544">
        <f t="shared" si="0"/>
        <v>0</v>
      </c>
      <c r="I17" s="858" t="s">
        <v>1462</v>
      </c>
      <c r="J17" s="748">
        <v>10609</v>
      </c>
      <c r="K17" s="749">
        <v>550</v>
      </c>
      <c r="L17" s="853">
        <v>44853</v>
      </c>
      <c r="M17" s="860">
        <v>550</v>
      </c>
      <c r="N17" s="137">
        <f t="shared" si="1"/>
        <v>0</v>
      </c>
    </row>
    <row r="18" spans="2:14" ht="31.5" x14ac:dyDescent="0.25">
      <c r="B18" s="454">
        <v>44848</v>
      </c>
      <c r="C18" s="246" t="s">
        <v>1428</v>
      </c>
      <c r="D18" s="111">
        <v>86391.58</v>
      </c>
      <c r="E18" s="834" t="s">
        <v>1537</v>
      </c>
      <c r="F18" s="879">
        <f>35513.13+50878.45</f>
        <v>86391.579999999987</v>
      </c>
      <c r="G18" s="544">
        <f t="shared" si="0"/>
        <v>0</v>
      </c>
      <c r="I18" s="858" t="s">
        <v>1463</v>
      </c>
      <c r="J18" s="748">
        <v>10622</v>
      </c>
      <c r="K18" s="749">
        <v>26499</v>
      </c>
      <c r="L18" s="853">
        <v>44853</v>
      </c>
      <c r="M18" s="860">
        <v>26499</v>
      </c>
      <c r="N18" s="137">
        <f t="shared" si="1"/>
        <v>0</v>
      </c>
    </row>
    <row r="19" spans="2:14" ht="31.5" x14ac:dyDescent="0.25">
      <c r="B19" s="454">
        <v>44849</v>
      </c>
      <c r="C19" s="246" t="s">
        <v>1429</v>
      </c>
      <c r="D19" s="111">
        <v>94144.84</v>
      </c>
      <c r="E19" s="881" t="s">
        <v>1538</v>
      </c>
      <c r="F19" s="880">
        <f>52285.55+41859.29</f>
        <v>94144.84</v>
      </c>
      <c r="G19" s="544">
        <f t="shared" si="0"/>
        <v>0</v>
      </c>
      <c r="I19" s="859" t="s">
        <v>1464</v>
      </c>
      <c r="J19" s="745">
        <v>10624</v>
      </c>
      <c r="K19" s="746">
        <v>440</v>
      </c>
      <c r="L19" s="853">
        <v>44853</v>
      </c>
      <c r="M19" s="860">
        <v>440</v>
      </c>
      <c r="N19" s="137">
        <f t="shared" si="1"/>
        <v>0</v>
      </c>
    </row>
    <row r="20" spans="2:14" ht="17.25" x14ac:dyDescent="0.3">
      <c r="B20" s="454">
        <v>44852</v>
      </c>
      <c r="C20" s="246" t="s">
        <v>1430</v>
      </c>
      <c r="D20" s="111">
        <v>70298.16</v>
      </c>
      <c r="E20" s="882">
        <v>44894</v>
      </c>
      <c r="F20" s="880">
        <v>70298.16</v>
      </c>
      <c r="G20" s="544">
        <f t="shared" si="0"/>
        <v>0</v>
      </c>
      <c r="I20" s="859" t="s">
        <v>1465</v>
      </c>
      <c r="J20" s="745">
        <v>10632</v>
      </c>
      <c r="K20" s="746">
        <v>550</v>
      </c>
      <c r="L20" s="732"/>
      <c r="M20" s="706"/>
      <c r="N20" s="137">
        <f t="shared" si="1"/>
        <v>550</v>
      </c>
    </row>
    <row r="21" spans="2:14" ht="32.25" x14ac:dyDescent="0.3">
      <c r="B21" s="454">
        <v>44853</v>
      </c>
      <c r="C21" s="246" t="s">
        <v>1431</v>
      </c>
      <c r="D21" s="111">
        <v>146110.1</v>
      </c>
      <c r="E21" s="883" t="s">
        <v>1539</v>
      </c>
      <c r="F21" s="875">
        <f>100052.55+46057.55</f>
        <v>146110.1</v>
      </c>
      <c r="G21" s="544">
        <f t="shared" si="0"/>
        <v>0</v>
      </c>
      <c r="I21" s="859" t="s">
        <v>1466</v>
      </c>
      <c r="J21" s="745">
        <v>10646</v>
      </c>
      <c r="K21" s="746">
        <v>10860</v>
      </c>
      <c r="L21" s="732"/>
      <c r="M21" s="706"/>
      <c r="N21" s="137">
        <f t="shared" si="1"/>
        <v>11410</v>
      </c>
    </row>
    <row r="22" spans="2:14" ht="18.75" x14ac:dyDescent="0.3">
      <c r="B22" s="454">
        <v>44853</v>
      </c>
      <c r="C22" s="246" t="s">
        <v>1432</v>
      </c>
      <c r="D22" s="111">
        <v>57043.199999999997</v>
      </c>
      <c r="E22" s="884">
        <v>44897</v>
      </c>
      <c r="F22" s="875">
        <v>57043.199999999997</v>
      </c>
      <c r="G22" s="544">
        <f t="shared" si="0"/>
        <v>0</v>
      </c>
      <c r="H22" s="644"/>
      <c r="I22" s="859" t="s">
        <v>1467</v>
      </c>
      <c r="J22" s="745">
        <v>10664</v>
      </c>
      <c r="K22" s="746">
        <v>7291</v>
      </c>
      <c r="L22" s="732"/>
      <c r="M22" s="706"/>
      <c r="N22" s="137">
        <f t="shared" si="1"/>
        <v>18701</v>
      </c>
    </row>
    <row r="23" spans="2:14" ht="15.75" x14ac:dyDescent="0.25">
      <c r="B23" s="454">
        <v>44853</v>
      </c>
      <c r="C23" s="246" t="s">
        <v>1433</v>
      </c>
      <c r="D23" s="111">
        <v>20156.400000000001</v>
      </c>
      <c r="E23" s="884">
        <v>44897</v>
      </c>
      <c r="F23" s="875">
        <v>20156.400000000001</v>
      </c>
      <c r="G23" s="544">
        <f t="shared" si="0"/>
        <v>0</v>
      </c>
      <c r="H23" s="2"/>
      <c r="I23" s="859" t="s">
        <v>1468</v>
      </c>
      <c r="J23" s="745">
        <v>10665</v>
      </c>
      <c r="K23" s="746">
        <v>2880</v>
      </c>
      <c r="L23" s="412"/>
      <c r="M23" s="111"/>
      <c r="N23" s="137">
        <f t="shared" si="1"/>
        <v>21581</v>
      </c>
    </row>
    <row r="24" spans="2:14" ht="21" customHeight="1" x14ac:dyDescent="0.25">
      <c r="B24" s="454">
        <v>44854</v>
      </c>
      <c r="C24" s="246" t="s">
        <v>1434</v>
      </c>
      <c r="D24" s="111">
        <v>27112.25</v>
      </c>
      <c r="E24" s="884">
        <v>44897</v>
      </c>
      <c r="F24" s="875">
        <v>8517.35</v>
      </c>
      <c r="G24" s="544">
        <f t="shared" si="0"/>
        <v>18594.900000000001</v>
      </c>
      <c r="H24" s="2"/>
      <c r="I24" s="858" t="s">
        <v>1468</v>
      </c>
      <c r="J24" s="748">
        <v>10666</v>
      </c>
      <c r="K24" s="749">
        <v>440</v>
      </c>
      <c r="L24" s="412"/>
      <c r="M24" s="111"/>
      <c r="N24" s="137">
        <f t="shared" si="1"/>
        <v>22021</v>
      </c>
    </row>
    <row r="25" spans="2:14" ht="15.75" x14ac:dyDescent="0.25">
      <c r="B25" s="454">
        <v>44855</v>
      </c>
      <c r="C25" s="246" t="s">
        <v>1435</v>
      </c>
      <c r="D25" s="111">
        <v>89839.6</v>
      </c>
      <c r="E25" s="412"/>
      <c r="F25" s="111"/>
      <c r="G25" s="544">
        <f t="shared" si="0"/>
        <v>89839.6</v>
      </c>
      <c r="H25" s="645"/>
      <c r="I25" s="858" t="s">
        <v>1469</v>
      </c>
      <c r="J25" s="748">
        <v>10673</v>
      </c>
      <c r="K25" s="749">
        <v>1334.6</v>
      </c>
      <c r="L25" s="412"/>
      <c r="M25" s="111"/>
      <c r="N25" s="137">
        <f t="shared" si="1"/>
        <v>23355.599999999999</v>
      </c>
    </row>
    <row r="26" spans="2:14" ht="15.75" x14ac:dyDescent="0.25">
      <c r="B26" s="454">
        <v>44856</v>
      </c>
      <c r="C26" s="246" t="s">
        <v>1436</v>
      </c>
      <c r="D26" s="111">
        <v>63880.7</v>
      </c>
      <c r="E26" s="412"/>
      <c r="F26" s="111"/>
      <c r="G26" s="544">
        <f t="shared" si="0"/>
        <v>63880.7</v>
      </c>
      <c r="H26" s="645"/>
      <c r="I26" s="858" t="s">
        <v>1470</v>
      </c>
      <c r="J26" s="748">
        <v>10681</v>
      </c>
      <c r="K26" s="749">
        <v>330</v>
      </c>
      <c r="L26" s="412"/>
      <c r="M26" s="111"/>
      <c r="N26" s="137">
        <f t="shared" si="1"/>
        <v>23685.599999999999</v>
      </c>
    </row>
    <row r="27" spans="2:14" ht="15.75" x14ac:dyDescent="0.25">
      <c r="B27" s="454">
        <v>44856</v>
      </c>
      <c r="C27" s="246" t="s">
        <v>1437</v>
      </c>
      <c r="D27" s="111">
        <v>33646.400000000001</v>
      </c>
      <c r="E27" s="412"/>
      <c r="F27" s="111"/>
      <c r="G27" s="544">
        <f t="shared" si="0"/>
        <v>33646.400000000001</v>
      </c>
      <c r="H27" s="645"/>
      <c r="I27" s="858" t="s">
        <v>1471</v>
      </c>
      <c r="J27" s="748">
        <v>10689</v>
      </c>
      <c r="K27" s="749">
        <v>18840</v>
      </c>
      <c r="L27" s="412"/>
      <c r="M27" s="111"/>
      <c r="N27" s="137">
        <f t="shared" si="1"/>
        <v>42525.599999999999</v>
      </c>
    </row>
    <row r="28" spans="2:14" ht="15.75" x14ac:dyDescent="0.25">
      <c r="B28" s="454">
        <v>44859</v>
      </c>
      <c r="C28" s="246" t="s">
        <v>1438</v>
      </c>
      <c r="D28" s="111">
        <v>103246.58</v>
      </c>
      <c r="E28" s="412"/>
      <c r="F28" s="111"/>
      <c r="G28" s="544">
        <f t="shared" si="0"/>
        <v>103246.58</v>
      </c>
      <c r="H28" s="645"/>
      <c r="I28" s="859" t="s">
        <v>1471</v>
      </c>
      <c r="J28" s="745">
        <v>10692</v>
      </c>
      <c r="K28" s="746">
        <v>6241</v>
      </c>
      <c r="L28" s="412"/>
      <c r="M28" s="111"/>
      <c r="N28" s="137">
        <f t="shared" si="1"/>
        <v>48766.6</v>
      </c>
    </row>
    <row r="29" spans="2:14" ht="15.75" x14ac:dyDescent="0.25">
      <c r="B29" s="454">
        <v>44860</v>
      </c>
      <c r="C29" s="246" t="s">
        <v>1439</v>
      </c>
      <c r="D29" s="111">
        <v>144593.79999999999</v>
      </c>
      <c r="E29" s="412"/>
      <c r="F29" s="111"/>
      <c r="G29" s="544">
        <f t="shared" si="0"/>
        <v>144593.79999999999</v>
      </c>
      <c r="H29" s="645"/>
      <c r="I29" s="859" t="s">
        <v>1472</v>
      </c>
      <c r="J29" s="745">
        <v>10699</v>
      </c>
      <c r="K29" s="746">
        <v>15297.6</v>
      </c>
      <c r="L29" s="412"/>
      <c r="M29" s="111"/>
      <c r="N29" s="137">
        <f t="shared" si="1"/>
        <v>64064.2</v>
      </c>
    </row>
    <row r="30" spans="2:14" ht="15.75" x14ac:dyDescent="0.25">
      <c r="B30" s="454">
        <v>44861</v>
      </c>
      <c r="C30" s="246" t="s">
        <v>1440</v>
      </c>
      <c r="D30" s="111">
        <v>89553.91</v>
      </c>
      <c r="E30" s="412"/>
      <c r="F30" s="111"/>
      <c r="G30" s="544">
        <f t="shared" si="0"/>
        <v>89553.91</v>
      </c>
      <c r="H30" s="645"/>
      <c r="I30" s="859" t="s">
        <v>1472</v>
      </c>
      <c r="J30" s="745">
        <v>10704</v>
      </c>
      <c r="K30" s="746">
        <v>4465</v>
      </c>
      <c r="L30" s="412"/>
      <c r="M30" s="111"/>
      <c r="N30" s="137">
        <f t="shared" si="1"/>
        <v>68529.2</v>
      </c>
    </row>
    <row r="31" spans="2:14" ht="15.75" x14ac:dyDescent="0.25">
      <c r="B31" s="454">
        <v>44862</v>
      </c>
      <c r="C31" s="246" t="s">
        <v>1441</v>
      </c>
      <c r="D31" s="111">
        <v>24569.3</v>
      </c>
      <c r="E31" s="412"/>
      <c r="F31" s="111"/>
      <c r="G31" s="544">
        <f t="shared" si="0"/>
        <v>24569.3</v>
      </c>
      <c r="H31" s="2"/>
      <c r="I31" s="858" t="s">
        <v>1473</v>
      </c>
      <c r="J31" s="748">
        <v>10716</v>
      </c>
      <c r="K31" s="749">
        <v>26098</v>
      </c>
      <c r="L31" s="412"/>
      <c r="M31" s="111"/>
      <c r="N31" s="137">
        <f t="shared" si="1"/>
        <v>94627.199999999997</v>
      </c>
    </row>
    <row r="32" spans="2:14" ht="15.75" x14ac:dyDescent="0.25">
      <c r="B32" s="454">
        <v>44862</v>
      </c>
      <c r="C32" s="246" t="s">
        <v>1442</v>
      </c>
      <c r="D32" s="111">
        <v>3740</v>
      </c>
      <c r="E32" s="412"/>
      <c r="F32" s="111"/>
      <c r="G32" s="544">
        <f t="shared" si="0"/>
        <v>3740</v>
      </c>
      <c r="H32" s="2"/>
      <c r="I32" s="859" t="s">
        <v>1473</v>
      </c>
      <c r="J32" s="745">
        <v>10717</v>
      </c>
      <c r="K32" s="746">
        <v>1764</v>
      </c>
      <c r="L32" s="412"/>
      <c r="M32" s="111"/>
      <c r="N32" s="137">
        <f t="shared" si="1"/>
        <v>96391.2</v>
      </c>
    </row>
    <row r="33" spans="2:14" ht="15.75" x14ac:dyDescent="0.25">
      <c r="B33" s="454">
        <v>44863</v>
      </c>
      <c r="C33" s="246" t="s">
        <v>1449</v>
      </c>
      <c r="D33" s="111">
        <v>107038.8</v>
      </c>
      <c r="E33" s="412"/>
      <c r="F33" s="111"/>
      <c r="G33" s="544">
        <f t="shared" si="0"/>
        <v>107038.8</v>
      </c>
      <c r="I33" s="500"/>
      <c r="J33" s="501"/>
      <c r="K33" s="502"/>
      <c r="L33" s="412"/>
      <c r="M33" s="111"/>
      <c r="N33" s="137">
        <f t="shared" si="1"/>
        <v>96391.2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497"/>
      <c r="J34" s="498"/>
      <c r="K34" s="499"/>
      <c r="L34" s="412"/>
      <c r="M34" s="111"/>
      <c r="N34" s="137">
        <f t="shared" si="1"/>
        <v>96391.2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500"/>
      <c r="J35" s="501"/>
      <c r="K35" s="502"/>
      <c r="L35" s="412"/>
      <c r="M35" s="111"/>
      <c r="N35" s="137">
        <f t="shared" si="1"/>
        <v>96391.2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41" t="s">
        <v>1474</v>
      </c>
      <c r="J36" s="1042"/>
      <c r="K36" s="1042"/>
      <c r="L36" s="1043"/>
      <c r="M36" s="111"/>
      <c r="N36" s="137">
        <f t="shared" si="1"/>
        <v>96391.2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41"/>
      <c r="J37" s="1042"/>
      <c r="K37" s="1042"/>
      <c r="L37" s="1043"/>
      <c r="M37" s="111"/>
      <c r="N37" s="137">
        <f t="shared" si="1"/>
        <v>96391.2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96391.2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96391.2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0" t="s">
        <v>594</v>
      </c>
      <c r="J40" s="991"/>
      <c r="K40" s="69"/>
      <c r="L40" s="253"/>
      <c r="M40" s="69"/>
      <c r="N40" s="137">
        <f t="shared" si="1"/>
        <v>96391.2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2"/>
      <c r="J41" s="993"/>
      <c r="K41" s="69"/>
      <c r="L41" s="253"/>
      <c r="M41" s="69"/>
      <c r="N41" s="137">
        <f t="shared" si="1"/>
        <v>96391.2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4"/>
      <c r="J42" s="995"/>
      <c r="K42" s="69"/>
      <c r="L42" s="253"/>
      <c r="M42" s="69"/>
      <c r="N42" s="137">
        <f t="shared" si="1"/>
        <v>96391.2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96391.2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96391.2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96391.2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96391.2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96391.2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96391.2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96391.2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96391.2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96391.2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96391.2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96391.2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96391.2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96391.2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96391.2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96391.2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96391.2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96391.2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96391.2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96391.2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96391.2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96391.2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96391.2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96391.2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2010648.49</v>
      </c>
      <c r="E67" s="407"/>
      <c r="F67" s="395">
        <f>SUM(F3:F66)</f>
        <v>1331944.5</v>
      </c>
      <c r="G67" s="153">
        <f>SUM(G3:G66)</f>
        <v>678703.99000000011</v>
      </c>
      <c r="I67" s="986" t="s">
        <v>594</v>
      </c>
      <c r="J67" s="987"/>
      <c r="K67" s="642">
        <f>SUM(K3:K66)</f>
        <v>176791.2</v>
      </c>
      <c r="L67" s="713"/>
      <c r="M67" s="209">
        <f>SUM(M3:M66)</f>
        <v>80400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48" t="s">
        <v>207</v>
      </c>
      <c r="I68" s="988"/>
      <c r="J68" s="989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49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D72" s="307">
        <v>46589.88</v>
      </c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D73" s="111">
        <v>56609.8</v>
      </c>
      <c r="E73" s="456"/>
      <c r="F73"/>
      <c r="H73" s="2"/>
      <c r="I73" s="792"/>
      <c r="J73" s="793"/>
      <c r="K73" s="794"/>
      <c r="L73" s="794"/>
      <c r="M73"/>
      <c r="N73"/>
    </row>
    <row r="74" spans="2:14" ht="15.75" x14ac:dyDescent="0.25">
      <c r="C74" s="194"/>
      <c r="D74" s="111">
        <v>11900.34</v>
      </c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111">
        <v>4077.4</v>
      </c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111">
        <v>34319.599999999999</v>
      </c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111">
        <v>71661.48</v>
      </c>
      <c r="E77" s="456"/>
      <c r="I77"/>
      <c r="J77"/>
      <c r="K77"/>
      <c r="M77"/>
      <c r="N77"/>
    </row>
    <row r="78" spans="2:14" ht="15.75" x14ac:dyDescent="0.25">
      <c r="C78" s="194"/>
      <c r="D78" s="111">
        <v>0</v>
      </c>
      <c r="E78" s="456"/>
      <c r="I78"/>
      <c r="J78"/>
      <c r="K78"/>
      <c r="M78"/>
      <c r="N78"/>
    </row>
    <row r="79" spans="2:14" ht="15.75" x14ac:dyDescent="0.25">
      <c r="C79" s="194"/>
      <c r="D79" s="111">
        <v>0</v>
      </c>
      <c r="E79" s="456"/>
      <c r="I79"/>
      <c r="J79"/>
      <c r="K79"/>
      <c r="M79"/>
      <c r="N79"/>
    </row>
    <row r="80" spans="2:14" ht="15.75" x14ac:dyDescent="0.25">
      <c r="C80" s="194"/>
      <c r="D80" s="111">
        <v>0</v>
      </c>
      <c r="E80" s="456"/>
      <c r="I80"/>
      <c r="J80"/>
      <c r="K80"/>
      <c r="M80"/>
      <c r="N80"/>
    </row>
    <row r="81" spans="3:14" ht="15.75" x14ac:dyDescent="0.25">
      <c r="C81" s="116"/>
      <c r="D81" s="111">
        <v>0</v>
      </c>
      <c r="E81" s="456"/>
      <c r="I81"/>
      <c r="J81"/>
      <c r="K81"/>
      <c r="M81"/>
      <c r="N81"/>
    </row>
    <row r="82" spans="3:14" ht="15.75" x14ac:dyDescent="0.25">
      <c r="C82" s="116"/>
      <c r="D82" s="111">
        <v>0</v>
      </c>
      <c r="E82" s="456"/>
      <c r="I82"/>
      <c r="J82"/>
      <c r="K82"/>
      <c r="M82"/>
      <c r="N82"/>
    </row>
    <row r="83" spans="3:14" ht="15.75" x14ac:dyDescent="0.25">
      <c r="C83" s="116"/>
      <c r="D83" s="233">
        <f>SUM(D72:D82)</f>
        <v>225158.5</v>
      </c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40:J42"/>
    <mergeCell ref="I67:J68"/>
    <mergeCell ref="G68:G69"/>
    <mergeCell ref="I36:L37"/>
  </mergeCells>
  <pageMargins left="0.7" right="0.7" top="0.75" bottom="0.75" header="0.3" footer="0.3"/>
  <pageSetup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70C0"/>
  </sheetPr>
  <dimension ref="A1:R97"/>
  <sheetViews>
    <sheetView topLeftCell="A28" workbookViewId="0">
      <selection activeCell="F82" sqref="F82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6"/>
      <c r="C1" s="952" t="s">
        <v>1475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18" ht="16.5" thickBot="1" x14ac:dyDescent="0.3">
      <c r="B2" s="887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0" t="s">
        <v>0</v>
      </c>
      <c r="C3" s="891"/>
      <c r="D3" s="10"/>
      <c r="E3" s="553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18" ht="32.25" thickTop="1" thickBot="1" x14ac:dyDescent="0.35">
      <c r="A4" s="15" t="s">
        <v>1</v>
      </c>
      <c r="B4" s="16"/>
      <c r="C4" s="17">
        <v>3176585.65</v>
      </c>
      <c r="D4" s="18">
        <v>44864</v>
      </c>
      <c r="E4" s="893" t="s">
        <v>2</v>
      </c>
      <c r="F4" s="894"/>
      <c r="H4" s="895" t="s">
        <v>3</v>
      </c>
      <c r="I4" s="896"/>
      <c r="J4" s="556"/>
      <c r="K4" s="562"/>
      <c r="L4" s="563"/>
      <c r="M4" s="21" t="s">
        <v>4</v>
      </c>
      <c r="N4" s="22" t="s">
        <v>5</v>
      </c>
      <c r="P4" s="930"/>
      <c r="Q4" s="322" t="s">
        <v>217</v>
      </c>
      <c r="R4" s="951"/>
    </row>
    <row r="5" spans="1:18" ht="18" thickBot="1" x14ac:dyDescent="0.35">
      <c r="A5" s="23" t="s">
        <v>7</v>
      </c>
      <c r="B5" s="24">
        <v>44865</v>
      </c>
      <c r="C5" s="25">
        <v>15575</v>
      </c>
      <c r="D5" s="26" t="s">
        <v>1476</v>
      </c>
      <c r="E5" s="27">
        <v>44865</v>
      </c>
      <c r="F5" s="28">
        <v>140634</v>
      </c>
      <c r="G5" s="572"/>
      <c r="H5" s="29">
        <v>44865</v>
      </c>
      <c r="I5" s="30">
        <v>2379</v>
      </c>
      <c r="J5" s="37"/>
      <c r="K5" s="31"/>
      <c r="L5" s="9"/>
      <c r="M5" s="32">
        <v>59395</v>
      </c>
      <c r="N5" s="33">
        <v>63285</v>
      </c>
      <c r="O5" s="176" t="s">
        <v>937</v>
      </c>
      <c r="P5" s="34">
        <f>N5+M5+L5+I5+C5</f>
        <v>140634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44866</v>
      </c>
      <c r="C6" s="25">
        <v>31790</v>
      </c>
      <c r="D6" s="35" t="s">
        <v>1477</v>
      </c>
      <c r="E6" s="27">
        <v>44866</v>
      </c>
      <c r="F6" s="28">
        <v>163362</v>
      </c>
      <c r="G6" s="572"/>
      <c r="H6" s="29">
        <v>44866</v>
      </c>
      <c r="I6" s="30">
        <v>1070</v>
      </c>
      <c r="J6" s="37"/>
      <c r="K6" s="38"/>
      <c r="L6" s="39"/>
      <c r="M6" s="32">
        <f>23370+72461+14618+6055+7600</f>
        <v>124104</v>
      </c>
      <c r="N6" s="33">
        <v>44575</v>
      </c>
      <c r="O6" s="176" t="s">
        <v>937</v>
      </c>
      <c r="P6" s="39">
        <f>N6+M6+L6+I6+C6</f>
        <v>201539</v>
      </c>
      <c r="Q6" s="325">
        <v>0</v>
      </c>
      <c r="R6" s="388">
        <v>38177</v>
      </c>
    </row>
    <row r="7" spans="1:18" ht="18" thickBot="1" x14ac:dyDescent="0.35">
      <c r="A7" s="23"/>
      <c r="B7" s="24">
        <v>44867</v>
      </c>
      <c r="C7" s="25">
        <v>7537</v>
      </c>
      <c r="D7" s="40" t="s">
        <v>1478</v>
      </c>
      <c r="E7" s="27">
        <v>44867</v>
      </c>
      <c r="F7" s="28">
        <v>88665</v>
      </c>
      <c r="G7" s="572"/>
      <c r="H7" s="29">
        <v>44867</v>
      </c>
      <c r="I7" s="30">
        <v>593</v>
      </c>
      <c r="J7" s="37"/>
      <c r="K7" s="38"/>
      <c r="L7" s="39"/>
      <c r="M7" s="32">
        <f>30000+11516+12912</f>
        <v>54428</v>
      </c>
      <c r="N7" s="33">
        <v>26107</v>
      </c>
      <c r="O7" s="176" t="s">
        <v>937</v>
      </c>
      <c r="P7" s="39">
        <f>N7+M7+L7+I7+C7</f>
        <v>88665</v>
      </c>
      <c r="Q7" s="325">
        <f t="shared" ref="Q7:Q40" si="0">P7-F7</f>
        <v>0</v>
      </c>
      <c r="R7" s="319">
        <v>0</v>
      </c>
    </row>
    <row r="8" spans="1:18" ht="18" thickBot="1" x14ac:dyDescent="0.35">
      <c r="A8" s="23"/>
      <c r="B8" s="24">
        <v>44868</v>
      </c>
      <c r="C8" s="25">
        <v>14159</v>
      </c>
      <c r="D8" s="42" t="s">
        <v>1479</v>
      </c>
      <c r="E8" s="27">
        <v>44868</v>
      </c>
      <c r="F8" s="28">
        <v>137013</v>
      </c>
      <c r="G8" s="572"/>
      <c r="H8" s="29">
        <v>44868</v>
      </c>
      <c r="I8" s="30">
        <v>1505.5</v>
      </c>
      <c r="J8" s="43"/>
      <c r="K8" s="38"/>
      <c r="L8" s="39"/>
      <c r="M8" s="32">
        <f>61501.5+10000</f>
        <v>71501.5</v>
      </c>
      <c r="N8" s="33">
        <v>51116</v>
      </c>
      <c r="O8" s="176" t="s">
        <v>937</v>
      </c>
      <c r="P8" s="39">
        <f t="shared" ref="P8:P33" si="1">N8+M8+L8+I8+C8</f>
        <v>138282</v>
      </c>
      <c r="Q8" s="325">
        <v>0</v>
      </c>
      <c r="R8" s="388">
        <v>1269</v>
      </c>
    </row>
    <row r="9" spans="1:18" ht="18" thickBot="1" x14ac:dyDescent="0.35">
      <c r="A9" s="23"/>
      <c r="B9" s="24">
        <v>44869</v>
      </c>
      <c r="C9" s="25">
        <v>8001</v>
      </c>
      <c r="D9" s="42" t="s">
        <v>1480</v>
      </c>
      <c r="E9" s="27">
        <v>44869</v>
      </c>
      <c r="F9" s="28">
        <v>132659</v>
      </c>
      <c r="G9" s="572"/>
      <c r="H9" s="29">
        <v>44869</v>
      </c>
      <c r="I9" s="30">
        <v>3007.5</v>
      </c>
      <c r="J9" s="37"/>
      <c r="K9" s="223"/>
      <c r="L9" s="39"/>
      <c r="M9" s="32">
        <f>83945.5+367</f>
        <v>84312.5</v>
      </c>
      <c r="N9" s="33">
        <v>37338</v>
      </c>
      <c r="O9" s="176" t="s">
        <v>937</v>
      </c>
      <c r="P9" s="39">
        <f t="shared" si="1"/>
        <v>132659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44870</v>
      </c>
      <c r="C10" s="25">
        <v>20046</v>
      </c>
      <c r="D10" s="40" t="s">
        <v>1481</v>
      </c>
      <c r="E10" s="27">
        <v>44870</v>
      </c>
      <c r="F10" s="28">
        <v>173414</v>
      </c>
      <c r="G10" s="572"/>
      <c r="H10" s="29">
        <v>44870</v>
      </c>
      <c r="I10" s="30">
        <v>6727.5</v>
      </c>
      <c r="J10" s="37" t="s">
        <v>7</v>
      </c>
      <c r="K10" s="864" t="s">
        <v>1482</v>
      </c>
      <c r="L10" s="45">
        <v>17682.88</v>
      </c>
      <c r="M10" s="32">
        <f>77306+3075</f>
        <v>80381</v>
      </c>
      <c r="N10" s="33">
        <v>48577</v>
      </c>
      <c r="O10" s="176" t="s">
        <v>937</v>
      </c>
      <c r="P10" s="39">
        <f>N10+M10+L10+I10+C10</f>
        <v>173414.38</v>
      </c>
      <c r="Q10" s="325">
        <f>P10-F10</f>
        <v>0.38000000000465661</v>
      </c>
      <c r="R10" s="319">
        <v>0</v>
      </c>
    </row>
    <row r="11" spans="1:18" ht="18" thickBot="1" x14ac:dyDescent="0.35">
      <c r="A11" s="23"/>
      <c r="B11" s="24">
        <v>44871</v>
      </c>
      <c r="C11" s="25">
        <v>1071</v>
      </c>
      <c r="D11" s="35" t="s">
        <v>1282</v>
      </c>
      <c r="E11" s="27">
        <v>44871</v>
      </c>
      <c r="F11" s="28">
        <v>95844</v>
      </c>
      <c r="G11" s="572"/>
      <c r="H11" s="29">
        <v>44871</v>
      </c>
      <c r="I11" s="30">
        <v>5954.5</v>
      </c>
      <c r="J11" s="43"/>
      <c r="K11" s="168"/>
      <c r="L11" s="39"/>
      <c r="M11" s="32">
        <f>46521.5+8000</f>
        <v>54521.5</v>
      </c>
      <c r="N11" s="33">
        <v>34297</v>
      </c>
      <c r="O11" s="176" t="s">
        <v>937</v>
      </c>
      <c r="P11" s="39">
        <f t="shared" si="1"/>
        <v>95844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44872</v>
      </c>
      <c r="C12" s="25">
        <v>18157</v>
      </c>
      <c r="D12" s="35" t="s">
        <v>1484</v>
      </c>
      <c r="E12" s="27">
        <v>44872</v>
      </c>
      <c r="F12" s="28">
        <v>152397</v>
      </c>
      <c r="G12" s="572"/>
      <c r="H12" s="29">
        <v>44872</v>
      </c>
      <c r="I12" s="30">
        <v>6309</v>
      </c>
      <c r="J12" s="37"/>
      <c r="K12" s="169"/>
      <c r="L12" s="39"/>
      <c r="M12" s="32">
        <f>8000+50243+6297</f>
        <v>64540</v>
      </c>
      <c r="N12" s="33">
        <v>63391</v>
      </c>
      <c r="O12" s="176" t="s">
        <v>937</v>
      </c>
      <c r="P12" s="39">
        <f t="shared" si="1"/>
        <v>152397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44873</v>
      </c>
      <c r="C13" s="25">
        <v>28211</v>
      </c>
      <c r="D13" s="42" t="s">
        <v>1485</v>
      </c>
      <c r="E13" s="27">
        <v>44873</v>
      </c>
      <c r="F13" s="28">
        <v>138088</v>
      </c>
      <c r="G13" s="572"/>
      <c r="H13" s="29">
        <v>44873</v>
      </c>
      <c r="I13" s="30">
        <v>2096</v>
      </c>
      <c r="J13" s="37"/>
      <c r="K13" s="38"/>
      <c r="L13" s="39"/>
      <c r="M13" s="32">
        <f>55772+14000</f>
        <v>69772</v>
      </c>
      <c r="N13" s="33">
        <v>38009</v>
      </c>
      <c r="O13" s="176" t="s">
        <v>937</v>
      </c>
      <c r="P13" s="39">
        <f>N13+M13+L13+I13+C13</f>
        <v>138088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44874</v>
      </c>
      <c r="C14" s="25">
        <v>20066</v>
      </c>
      <c r="D14" s="40" t="s">
        <v>1486</v>
      </c>
      <c r="E14" s="27">
        <v>44874</v>
      </c>
      <c r="F14" s="28">
        <v>140007</v>
      </c>
      <c r="G14" s="572"/>
      <c r="H14" s="29">
        <v>44874</v>
      </c>
      <c r="I14" s="30">
        <v>981</v>
      </c>
      <c r="J14" s="37"/>
      <c r="K14" s="38"/>
      <c r="L14" s="39"/>
      <c r="M14" s="32">
        <f>9691+15824+53847+6000</f>
        <v>85362</v>
      </c>
      <c r="N14" s="33">
        <v>33598</v>
      </c>
      <c r="O14" s="176" t="s">
        <v>937</v>
      </c>
      <c r="P14" s="39">
        <f t="shared" si="1"/>
        <v>140007</v>
      </c>
      <c r="Q14" s="325">
        <v>0</v>
      </c>
      <c r="R14" s="319">
        <v>0</v>
      </c>
    </row>
    <row r="15" spans="1:18" ht="18" thickBot="1" x14ac:dyDescent="0.35">
      <c r="A15" s="23"/>
      <c r="B15" s="24">
        <v>44875</v>
      </c>
      <c r="C15" s="25">
        <v>7548.5</v>
      </c>
      <c r="D15" s="40" t="s">
        <v>1487</v>
      </c>
      <c r="E15" s="27">
        <v>44875</v>
      </c>
      <c r="F15" s="28">
        <v>117829</v>
      </c>
      <c r="G15" s="572"/>
      <c r="H15" s="29">
        <v>44875</v>
      </c>
      <c r="I15" s="30">
        <v>1224</v>
      </c>
      <c r="J15" s="37"/>
      <c r="K15" s="38"/>
      <c r="L15" s="39"/>
      <c r="M15" s="32">
        <f>6000+67980.5</f>
        <v>73980.5</v>
      </c>
      <c r="N15" s="33">
        <v>35076</v>
      </c>
      <c r="O15" s="176" t="s">
        <v>937</v>
      </c>
      <c r="P15" s="39">
        <f t="shared" si="1"/>
        <v>117829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44876</v>
      </c>
      <c r="C16" s="25">
        <v>14040</v>
      </c>
      <c r="D16" s="35" t="s">
        <v>1488</v>
      </c>
      <c r="E16" s="27">
        <v>44876</v>
      </c>
      <c r="F16" s="28">
        <v>125361</v>
      </c>
      <c r="G16" s="572"/>
      <c r="H16" s="29">
        <v>44876</v>
      </c>
      <c r="I16" s="30">
        <v>1235</v>
      </c>
      <c r="J16" s="37"/>
      <c r="K16" s="169"/>
      <c r="L16" s="9"/>
      <c r="M16" s="32">
        <f>10000+67084</f>
        <v>77084</v>
      </c>
      <c r="N16" s="33">
        <v>32902</v>
      </c>
      <c r="O16" s="176" t="s">
        <v>937</v>
      </c>
      <c r="P16" s="39">
        <f t="shared" si="1"/>
        <v>125261</v>
      </c>
      <c r="Q16" s="865">
        <f t="shared" si="0"/>
        <v>-100</v>
      </c>
      <c r="R16" s="319">
        <v>0</v>
      </c>
    </row>
    <row r="17" spans="1:18" ht="18" thickBot="1" x14ac:dyDescent="0.35">
      <c r="A17" s="23"/>
      <c r="B17" s="24">
        <v>44877</v>
      </c>
      <c r="C17" s="25">
        <v>8101</v>
      </c>
      <c r="D17" s="42" t="s">
        <v>1489</v>
      </c>
      <c r="E17" s="27">
        <v>44877</v>
      </c>
      <c r="F17" s="28">
        <v>153045</v>
      </c>
      <c r="G17" s="572"/>
      <c r="H17" s="29">
        <v>44877</v>
      </c>
      <c r="I17" s="30">
        <v>2768</v>
      </c>
      <c r="J17" s="37">
        <v>44877</v>
      </c>
      <c r="K17" s="785" t="s">
        <v>1490</v>
      </c>
      <c r="L17" s="45">
        <v>20062</v>
      </c>
      <c r="M17" s="32">
        <f>57720+358</f>
        <v>58078</v>
      </c>
      <c r="N17" s="33">
        <v>64036</v>
      </c>
      <c r="O17" s="176" t="s">
        <v>937</v>
      </c>
      <c r="P17" s="39">
        <f t="shared" si="1"/>
        <v>153045</v>
      </c>
      <c r="Q17" s="325">
        <f t="shared" si="0"/>
        <v>0</v>
      </c>
      <c r="R17" s="319">
        <v>0</v>
      </c>
    </row>
    <row r="18" spans="1:18" ht="18" thickBot="1" x14ac:dyDescent="0.35">
      <c r="A18" s="23"/>
      <c r="B18" s="24">
        <v>44878</v>
      </c>
      <c r="C18" s="25">
        <v>35473</v>
      </c>
      <c r="D18" s="35" t="s">
        <v>1492</v>
      </c>
      <c r="E18" s="27">
        <v>44878</v>
      </c>
      <c r="F18" s="28">
        <v>91719</v>
      </c>
      <c r="G18" s="572"/>
      <c r="H18" s="29">
        <v>44878</v>
      </c>
      <c r="I18" s="30">
        <v>1557</v>
      </c>
      <c r="J18" s="37"/>
      <c r="K18" s="564"/>
      <c r="L18" s="39"/>
      <c r="M18" s="32">
        <v>16374</v>
      </c>
      <c r="N18" s="33">
        <v>38315</v>
      </c>
      <c r="O18" s="176" t="s">
        <v>937</v>
      </c>
      <c r="P18" s="39">
        <f t="shared" si="1"/>
        <v>91719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44879</v>
      </c>
      <c r="C19" s="25">
        <v>20931</v>
      </c>
      <c r="D19" s="35" t="s">
        <v>1493</v>
      </c>
      <c r="E19" s="27">
        <v>44879</v>
      </c>
      <c r="F19" s="28">
        <v>130095</v>
      </c>
      <c r="G19" s="572"/>
      <c r="H19" s="29">
        <v>44879</v>
      </c>
      <c r="I19" s="30">
        <v>8571</v>
      </c>
      <c r="J19" s="37"/>
      <c r="K19" s="863"/>
      <c r="L19" s="47"/>
      <c r="M19" s="32">
        <f>56661+11262.5</f>
        <v>67923.5</v>
      </c>
      <c r="N19" s="33">
        <v>32669</v>
      </c>
      <c r="O19" s="176" t="s">
        <v>937</v>
      </c>
      <c r="P19" s="39">
        <f t="shared" si="1"/>
        <v>130094.5</v>
      </c>
      <c r="Q19" s="325">
        <v>0</v>
      </c>
      <c r="R19" s="319">
        <v>0</v>
      </c>
    </row>
    <row r="20" spans="1:18" ht="18" customHeight="1" thickBot="1" x14ac:dyDescent="0.35">
      <c r="A20" s="23"/>
      <c r="B20" s="24">
        <v>44880</v>
      </c>
      <c r="C20" s="25">
        <v>16767</v>
      </c>
      <c r="D20" s="35" t="s">
        <v>1494</v>
      </c>
      <c r="E20" s="27">
        <v>44880</v>
      </c>
      <c r="F20" s="28">
        <v>16023</v>
      </c>
      <c r="G20" s="572"/>
      <c r="H20" s="29">
        <v>44880</v>
      </c>
      <c r="I20" s="30">
        <v>1507</v>
      </c>
      <c r="J20" s="37"/>
      <c r="K20" s="171"/>
      <c r="L20" s="45"/>
      <c r="M20" s="32">
        <f>6219.92+21000+7885+65840</f>
        <v>100944.92</v>
      </c>
      <c r="N20" s="33">
        <v>41011</v>
      </c>
      <c r="O20" s="176" t="s">
        <v>937</v>
      </c>
      <c r="P20" s="39">
        <f t="shared" si="1"/>
        <v>160229.91999999998</v>
      </c>
      <c r="Q20" s="325">
        <v>0</v>
      </c>
      <c r="R20" s="319">
        <v>0</v>
      </c>
    </row>
    <row r="21" spans="1:18" ht="18" thickBot="1" x14ac:dyDescent="0.35">
      <c r="A21" s="23"/>
      <c r="B21" s="24">
        <v>44881</v>
      </c>
      <c r="C21" s="25">
        <v>19179</v>
      </c>
      <c r="D21" s="35" t="s">
        <v>1495</v>
      </c>
      <c r="E21" s="27">
        <v>44881</v>
      </c>
      <c r="F21" s="28">
        <v>148682</v>
      </c>
      <c r="G21" s="572"/>
      <c r="H21" s="29">
        <v>44881</v>
      </c>
      <c r="I21" s="30">
        <v>1326</v>
      </c>
      <c r="J21" s="37"/>
      <c r="K21" s="565"/>
      <c r="L21" s="45"/>
      <c r="M21" s="32">
        <f>10541+20070.6+64484</f>
        <v>95095.6</v>
      </c>
      <c r="N21" s="33">
        <v>33081</v>
      </c>
      <c r="O21" s="867" t="s">
        <v>1501</v>
      </c>
      <c r="P21" s="39">
        <f t="shared" si="1"/>
        <v>148681.60000000001</v>
      </c>
      <c r="Q21" s="325">
        <f t="shared" si="0"/>
        <v>-0.39999999999417923</v>
      </c>
      <c r="R21" s="319">
        <v>0</v>
      </c>
    </row>
    <row r="22" spans="1:18" ht="18" thickBot="1" x14ac:dyDescent="0.35">
      <c r="A22" s="23"/>
      <c r="B22" s="24">
        <v>44882</v>
      </c>
      <c r="C22" s="25">
        <v>12383</v>
      </c>
      <c r="D22" s="35" t="s">
        <v>1496</v>
      </c>
      <c r="E22" s="27">
        <v>44882</v>
      </c>
      <c r="F22" s="28">
        <v>114401</v>
      </c>
      <c r="G22" s="572"/>
      <c r="H22" s="29">
        <v>44882</v>
      </c>
      <c r="I22" s="30">
        <v>1099</v>
      </c>
      <c r="J22" s="37"/>
      <c r="K22" s="773"/>
      <c r="L22" s="49"/>
      <c r="M22" s="32">
        <v>66340</v>
      </c>
      <c r="N22" s="33">
        <v>34579</v>
      </c>
      <c r="O22" s="176" t="s">
        <v>937</v>
      </c>
      <c r="P22" s="39">
        <f t="shared" si="1"/>
        <v>114401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44883</v>
      </c>
      <c r="C23" s="25">
        <v>12769</v>
      </c>
      <c r="D23" s="35" t="s">
        <v>1497</v>
      </c>
      <c r="E23" s="27">
        <v>44883</v>
      </c>
      <c r="F23" s="28">
        <v>118501</v>
      </c>
      <c r="G23" s="572"/>
      <c r="H23" s="29">
        <v>44883</v>
      </c>
      <c r="I23" s="30">
        <v>1900</v>
      </c>
      <c r="J23" s="50"/>
      <c r="K23" s="172"/>
      <c r="L23" s="45"/>
      <c r="M23" s="32">
        <v>100000</v>
      </c>
      <c r="N23" s="33">
        <v>32060</v>
      </c>
      <c r="O23" s="31" t="s">
        <v>1498</v>
      </c>
      <c r="P23" s="39">
        <f t="shared" si="1"/>
        <v>146729</v>
      </c>
      <c r="Q23" s="866">
        <f t="shared" si="0"/>
        <v>28228</v>
      </c>
      <c r="R23" s="319">
        <v>0</v>
      </c>
    </row>
    <row r="24" spans="1:18" ht="18" customHeight="1" thickBot="1" x14ac:dyDescent="0.35">
      <c r="A24" s="23"/>
      <c r="B24" s="24">
        <v>44884</v>
      </c>
      <c r="C24" s="25">
        <v>11863</v>
      </c>
      <c r="D24" s="42" t="s">
        <v>1499</v>
      </c>
      <c r="E24" s="27">
        <v>44884</v>
      </c>
      <c r="F24" s="28">
        <v>165515</v>
      </c>
      <c r="G24" s="572"/>
      <c r="H24" s="29">
        <v>44884</v>
      </c>
      <c r="I24" s="30">
        <v>8036</v>
      </c>
      <c r="J24" s="51">
        <v>44884</v>
      </c>
      <c r="K24" s="172" t="s">
        <v>1500</v>
      </c>
      <c r="L24" s="52">
        <v>18380</v>
      </c>
      <c r="M24" s="32">
        <v>36824</v>
      </c>
      <c r="N24" s="33">
        <v>62184</v>
      </c>
      <c r="O24" s="176" t="s">
        <v>937</v>
      </c>
      <c r="P24" s="39">
        <f>N24+M24+L24+I24+C24</f>
        <v>137287</v>
      </c>
      <c r="Q24" s="418">
        <f t="shared" si="0"/>
        <v>-28228</v>
      </c>
      <c r="R24" s="319">
        <v>0</v>
      </c>
    </row>
    <row r="25" spans="1:18" ht="18" thickBot="1" x14ac:dyDescent="0.35">
      <c r="A25" s="23"/>
      <c r="B25" s="24">
        <v>44885</v>
      </c>
      <c r="C25" s="25">
        <v>650</v>
      </c>
      <c r="D25" s="35" t="s">
        <v>1282</v>
      </c>
      <c r="E25" s="27">
        <v>44885</v>
      </c>
      <c r="F25" s="28">
        <v>122010</v>
      </c>
      <c r="G25" s="572"/>
      <c r="H25" s="29">
        <v>44885</v>
      </c>
      <c r="I25" s="30">
        <v>1592</v>
      </c>
      <c r="J25" s="50"/>
      <c r="K25" s="38"/>
      <c r="L25" s="54"/>
      <c r="M25" s="32">
        <v>82437</v>
      </c>
      <c r="N25" s="33">
        <v>37331</v>
      </c>
      <c r="O25" s="867" t="s">
        <v>1501</v>
      </c>
      <c r="P25" s="283">
        <f t="shared" si="1"/>
        <v>122010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44886</v>
      </c>
      <c r="C26" s="25">
        <v>13119</v>
      </c>
      <c r="D26" s="35" t="s">
        <v>1502</v>
      </c>
      <c r="E26" s="27">
        <v>44886</v>
      </c>
      <c r="F26" s="28">
        <v>100398</v>
      </c>
      <c r="G26" s="572"/>
      <c r="H26" s="29">
        <v>44886</v>
      </c>
      <c r="I26" s="30">
        <v>991</v>
      </c>
      <c r="J26" s="37"/>
      <c r="K26" s="728"/>
      <c r="L26" s="729"/>
      <c r="M26" s="32">
        <f>17563+33430</f>
        <v>50993</v>
      </c>
      <c r="N26" s="33">
        <v>35295</v>
      </c>
      <c r="O26" s="867" t="s">
        <v>1501</v>
      </c>
      <c r="P26" s="283">
        <f t="shared" si="1"/>
        <v>100398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44887</v>
      </c>
      <c r="C27" s="25">
        <v>24001</v>
      </c>
      <c r="D27" s="42" t="s">
        <v>1503</v>
      </c>
      <c r="E27" s="27">
        <v>44887</v>
      </c>
      <c r="F27" s="28">
        <v>129876</v>
      </c>
      <c r="G27" s="572"/>
      <c r="H27" s="29">
        <v>44887</v>
      </c>
      <c r="I27" s="30">
        <v>1957</v>
      </c>
      <c r="J27" s="55"/>
      <c r="K27" s="174"/>
      <c r="L27" s="54"/>
      <c r="M27" s="32">
        <f>44439+8444.8</f>
        <v>52883.8</v>
      </c>
      <c r="N27" s="33">
        <v>51034</v>
      </c>
      <c r="O27" s="867" t="s">
        <v>1501</v>
      </c>
      <c r="P27" s="283">
        <f t="shared" si="1"/>
        <v>129875.8</v>
      </c>
      <c r="Q27" s="325">
        <f t="shared" si="0"/>
        <v>-0.19999999999708962</v>
      </c>
      <c r="R27" s="319">
        <v>0</v>
      </c>
    </row>
    <row r="28" spans="1:18" ht="18" customHeight="1" thickBot="1" x14ac:dyDescent="0.35">
      <c r="A28" s="23"/>
      <c r="B28" s="24">
        <v>44888</v>
      </c>
      <c r="C28" s="25">
        <v>6680</v>
      </c>
      <c r="D28" s="42" t="s">
        <v>1504</v>
      </c>
      <c r="E28" s="27">
        <v>44888</v>
      </c>
      <c r="F28" s="28">
        <v>109545</v>
      </c>
      <c r="G28" s="572"/>
      <c r="H28" s="29">
        <v>44888</v>
      </c>
      <c r="I28" s="30">
        <v>1482</v>
      </c>
      <c r="J28" s="56"/>
      <c r="K28" s="57"/>
      <c r="L28" s="54"/>
      <c r="M28" s="32">
        <f>55288+7477+1143</f>
        <v>63908</v>
      </c>
      <c r="N28" s="33">
        <v>37475</v>
      </c>
      <c r="O28" s="867" t="s">
        <v>1501</v>
      </c>
      <c r="P28" s="283">
        <f t="shared" si="1"/>
        <v>109545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44889</v>
      </c>
      <c r="C29" s="25">
        <v>7169</v>
      </c>
      <c r="D29" s="58" t="s">
        <v>328</v>
      </c>
      <c r="E29" s="27">
        <v>44889</v>
      </c>
      <c r="F29" s="28">
        <v>107327</v>
      </c>
      <c r="G29" s="572"/>
      <c r="H29" s="29">
        <v>44889</v>
      </c>
      <c r="I29" s="30">
        <v>1936.5</v>
      </c>
      <c r="J29" s="59"/>
      <c r="K29" s="175"/>
      <c r="L29" s="54"/>
      <c r="M29" s="32">
        <v>62625.5</v>
      </c>
      <c r="N29" s="33">
        <v>35596</v>
      </c>
      <c r="O29" s="176" t="s">
        <v>937</v>
      </c>
      <c r="P29" s="283">
        <f t="shared" si="1"/>
        <v>107327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44890</v>
      </c>
      <c r="C30" s="25">
        <v>7888</v>
      </c>
      <c r="D30" s="58" t="s">
        <v>1499</v>
      </c>
      <c r="E30" s="27">
        <v>44890</v>
      </c>
      <c r="F30" s="28">
        <v>144750</v>
      </c>
      <c r="G30" s="572"/>
      <c r="H30" s="29">
        <v>44890</v>
      </c>
      <c r="I30" s="30">
        <v>2052</v>
      </c>
      <c r="J30" s="56"/>
      <c r="K30" s="38"/>
      <c r="L30" s="39"/>
      <c r="M30" s="32">
        <v>97853</v>
      </c>
      <c r="N30" s="33">
        <v>36957</v>
      </c>
      <c r="O30" s="176" t="s">
        <v>937</v>
      </c>
      <c r="P30" s="283">
        <f t="shared" si="1"/>
        <v>144750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44891</v>
      </c>
      <c r="C31" s="25">
        <v>18955</v>
      </c>
      <c r="D31" s="67" t="s">
        <v>1505</v>
      </c>
      <c r="E31" s="27">
        <v>44891</v>
      </c>
      <c r="F31" s="28">
        <v>171631</v>
      </c>
      <c r="G31" s="572"/>
      <c r="H31" s="29">
        <v>44891</v>
      </c>
      <c r="I31" s="30">
        <v>3150.5</v>
      </c>
      <c r="J31" s="56">
        <v>44891</v>
      </c>
      <c r="K31" s="821" t="s">
        <v>1506</v>
      </c>
      <c r="L31" s="54">
        <v>20071</v>
      </c>
      <c r="M31" s="32">
        <f>8465.1+63787.5</f>
        <v>72252.600000000006</v>
      </c>
      <c r="N31" s="33">
        <v>57202</v>
      </c>
      <c r="O31" s="176" t="s">
        <v>937</v>
      </c>
      <c r="P31" s="34">
        <f t="shared" si="1"/>
        <v>171631.1</v>
      </c>
      <c r="Q31" s="325">
        <f t="shared" si="0"/>
        <v>0.10000000000582077</v>
      </c>
      <c r="R31" s="319">
        <v>0</v>
      </c>
    </row>
    <row r="32" spans="1:18" ht="18" thickBot="1" x14ac:dyDescent="0.35">
      <c r="A32" s="23"/>
      <c r="B32" s="24">
        <v>44892</v>
      </c>
      <c r="C32" s="25">
        <v>0</v>
      </c>
      <c r="D32" s="64"/>
      <c r="E32" s="27">
        <v>44892</v>
      </c>
      <c r="F32" s="28">
        <v>90630</v>
      </c>
      <c r="G32" s="572"/>
      <c r="H32" s="29">
        <v>44892</v>
      </c>
      <c r="I32" s="30">
        <v>925</v>
      </c>
      <c r="J32" s="56"/>
      <c r="K32" s="38"/>
      <c r="L32" s="39"/>
      <c r="M32" s="32">
        <v>52428</v>
      </c>
      <c r="N32" s="33">
        <v>37277</v>
      </c>
      <c r="O32" s="176" t="s">
        <v>937</v>
      </c>
      <c r="P32" s="34">
        <f t="shared" si="1"/>
        <v>90630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/>
      <c r="C33" s="25"/>
      <c r="D33" s="64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6">
        <v>44870</v>
      </c>
      <c r="K34" s="739" t="s">
        <v>1483</v>
      </c>
      <c r="L34" s="39">
        <v>19514.89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/>
      <c r="C35" s="690"/>
      <c r="D35" s="67"/>
      <c r="E35" s="27"/>
      <c r="F35" s="28"/>
      <c r="G35" s="572"/>
      <c r="H35" s="29"/>
      <c r="I35" s="30"/>
      <c r="J35" s="698">
        <v>44877</v>
      </c>
      <c r="K35" s="740" t="s">
        <v>1491</v>
      </c>
      <c r="L35" s="702">
        <v>20516.759999999998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44862</v>
      </c>
      <c r="C36" s="693">
        <v>10932</v>
      </c>
      <c r="D36" s="786" t="s">
        <v>1567</v>
      </c>
      <c r="E36" s="27"/>
      <c r="F36" s="28"/>
      <c r="G36" s="662"/>
      <c r="H36" s="29"/>
      <c r="I36" s="30"/>
      <c r="J36" s="56">
        <v>44884</v>
      </c>
      <c r="K36" s="751" t="s">
        <v>111</v>
      </c>
      <c r="L36" s="39">
        <v>18158.84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44862</v>
      </c>
      <c r="C37" s="692">
        <v>11075</v>
      </c>
      <c r="D37" s="742" t="s">
        <v>1567</v>
      </c>
      <c r="E37" s="27"/>
      <c r="F37" s="28"/>
      <c r="G37" s="662"/>
      <c r="H37" s="29"/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44862</v>
      </c>
      <c r="C38" s="692">
        <v>6147</v>
      </c>
      <c r="D38" s="742" t="s">
        <v>1567</v>
      </c>
      <c r="E38" s="27"/>
      <c r="F38" s="28"/>
      <c r="G38" s="662"/>
      <c r="H38" s="29"/>
      <c r="I38" s="30"/>
      <c r="J38" s="56">
        <v>44869</v>
      </c>
      <c r="K38" s="663" t="s">
        <v>824</v>
      </c>
      <c r="L38" s="39">
        <v>4006.5</v>
      </c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44862</v>
      </c>
      <c r="C39" s="692">
        <v>200000</v>
      </c>
      <c r="D39" s="695" t="s">
        <v>979</v>
      </c>
      <c r="E39" s="27"/>
      <c r="F39" s="508"/>
      <c r="G39" s="662"/>
      <c r="H39" s="29"/>
      <c r="I39" s="71"/>
      <c r="J39" s="56">
        <v>44869</v>
      </c>
      <c r="K39" s="663" t="s">
        <v>834</v>
      </c>
      <c r="L39" s="39">
        <v>4698</v>
      </c>
      <c r="M39" s="32">
        <v>0</v>
      </c>
      <c r="N39" s="33">
        <v>0</v>
      </c>
      <c r="P39" s="34">
        <v>0</v>
      </c>
      <c r="Q39" s="325">
        <f t="shared" si="0"/>
        <v>0</v>
      </c>
      <c r="R39" s="319">
        <v>0</v>
      </c>
    </row>
    <row r="40" spans="1:18" ht="18" thickBot="1" x14ac:dyDescent="0.35">
      <c r="A40" s="23"/>
      <c r="B40" s="24">
        <v>44865</v>
      </c>
      <c r="C40" s="692">
        <v>6879.33</v>
      </c>
      <c r="D40" s="742" t="s">
        <v>1568</v>
      </c>
      <c r="E40" s="27"/>
      <c r="F40" s="70"/>
      <c r="G40" s="572"/>
      <c r="H40" s="36"/>
      <c r="I40" s="71"/>
      <c r="J40" s="56">
        <v>44869</v>
      </c>
      <c r="K40" s="38" t="s">
        <v>826</v>
      </c>
      <c r="L40" s="39">
        <v>28000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44866</v>
      </c>
      <c r="C41" s="692">
        <v>192259.20000000001</v>
      </c>
      <c r="D41" s="697" t="s">
        <v>979</v>
      </c>
      <c r="E41" s="74"/>
      <c r="F41" s="75"/>
      <c r="G41" s="572"/>
      <c r="H41" s="76"/>
      <c r="I41" s="77"/>
      <c r="J41" s="56">
        <v>44872</v>
      </c>
      <c r="K41" s="751" t="s">
        <v>1569</v>
      </c>
      <c r="L41" s="39">
        <v>29894.35</v>
      </c>
      <c r="M41" s="931">
        <f>SUM(M5:M40)</f>
        <v>1976342.9200000002</v>
      </c>
      <c r="N41" s="931">
        <f>SUM(N5:N40)</f>
        <v>1174373</v>
      </c>
      <c r="P41" s="505">
        <f>SUM(P5:P40)</f>
        <v>3702973.3</v>
      </c>
      <c r="Q41" s="1063">
        <f>SUM(Q5:Q40)</f>
        <v>-100.11999999998079</v>
      </c>
      <c r="R41" s="31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44874</v>
      </c>
      <c r="K42" s="752" t="s">
        <v>825</v>
      </c>
      <c r="L42" s="702">
        <v>2320</v>
      </c>
      <c r="M42" s="932"/>
      <c r="N42" s="932"/>
      <c r="P42" s="34"/>
      <c r="Q42" s="1064"/>
      <c r="R42" s="788">
        <f>SUM(R5:R41)</f>
        <v>39446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>
        <v>44879</v>
      </c>
      <c r="K43" s="751" t="s">
        <v>830</v>
      </c>
      <c r="L43" s="39">
        <v>1856</v>
      </c>
      <c r="M43" s="861"/>
      <c r="N43" s="861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61"/>
      <c r="N44" s="861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98">
        <f>M41+N41</f>
        <v>3150715.92</v>
      </c>
      <c r="N45" s="99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61"/>
      <c r="N46" s="861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61"/>
      <c r="N47" s="861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61"/>
      <c r="N48" s="861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61"/>
      <c r="N49" s="861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61"/>
      <c r="N50" s="861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61"/>
      <c r="N51" s="861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61"/>
      <c r="N52" s="861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61"/>
      <c r="N53" s="861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61"/>
      <c r="N54" s="861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61"/>
      <c r="N55" s="861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61"/>
      <c r="N56" s="861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61"/>
      <c r="N57" s="861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61"/>
      <c r="N58" s="861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61"/>
      <c r="N59" s="861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829422.03</v>
      </c>
      <c r="D67" s="88"/>
      <c r="E67" s="91" t="s">
        <v>8</v>
      </c>
      <c r="F67" s="90">
        <f>SUM(F5:F60)</f>
        <v>3519421</v>
      </c>
      <c r="G67" s="573"/>
      <c r="H67" s="91" t="s">
        <v>9</v>
      </c>
      <c r="I67" s="92">
        <f>SUM(I5:I60)</f>
        <v>73932</v>
      </c>
      <c r="J67" s="93"/>
      <c r="K67" s="94" t="s">
        <v>10</v>
      </c>
      <c r="L67" s="95">
        <f>SUM(L5:L65)-L26</f>
        <v>205161.22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8" t="s">
        <v>11</v>
      </c>
      <c r="I69" s="909"/>
      <c r="J69" s="559"/>
      <c r="K69" s="1033">
        <f>I67+L67</f>
        <v>279093.21999999997</v>
      </c>
      <c r="L69" s="1034"/>
      <c r="M69" s="272"/>
      <c r="N69" s="272"/>
      <c r="P69" s="34"/>
      <c r="Q69" s="13"/>
    </row>
    <row r="70" spans="1:17" x14ac:dyDescent="0.25">
      <c r="D70" s="914" t="s">
        <v>12</v>
      </c>
      <c r="E70" s="914"/>
      <c r="F70" s="312">
        <f>F67-K69-C67</f>
        <v>2410905.75</v>
      </c>
      <c r="I70" s="102"/>
      <c r="J70" s="560"/>
    </row>
    <row r="71" spans="1:17" ht="18.75" x14ac:dyDescent="0.3">
      <c r="D71" s="938" t="s">
        <v>95</v>
      </c>
      <c r="E71" s="938"/>
      <c r="F71" s="111">
        <v>-1884182.28</v>
      </c>
      <c r="I71" s="915" t="s">
        <v>13</v>
      </c>
      <c r="J71" s="916"/>
      <c r="K71" s="917">
        <f>F73+F74+F75</f>
        <v>4251710.88</v>
      </c>
      <c r="L71" s="917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-129244.66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397478.80999999994</v>
      </c>
      <c r="H73" s="555"/>
      <c r="I73" s="108" t="s">
        <v>15</v>
      </c>
      <c r="J73" s="109"/>
      <c r="K73" s="1029">
        <f>-C4</f>
        <v>-3176585.65</v>
      </c>
      <c r="L73" s="917"/>
    </row>
    <row r="74" spans="1:17" ht="16.5" thickBot="1" x14ac:dyDescent="0.3">
      <c r="D74" s="110" t="s">
        <v>16</v>
      </c>
      <c r="E74" s="98" t="s">
        <v>17</v>
      </c>
      <c r="F74" s="111">
        <v>408827</v>
      </c>
    </row>
    <row r="75" spans="1:17" ht="20.25" thickTop="1" thickBot="1" x14ac:dyDescent="0.35">
      <c r="C75" s="112">
        <v>44892</v>
      </c>
      <c r="D75" s="897" t="s">
        <v>18</v>
      </c>
      <c r="E75" s="898"/>
      <c r="F75" s="113">
        <v>3445405.07</v>
      </c>
      <c r="I75" s="1060" t="s">
        <v>198</v>
      </c>
      <c r="J75" s="1061"/>
      <c r="K75" s="1062">
        <f>K71+K73</f>
        <v>1075125.23</v>
      </c>
      <c r="L75" s="106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39" right="0.16" top="0.34" bottom="0.26" header="0.3" footer="0.3"/>
  <pageSetup paperSize="5" orientation="landscape" r:id="rId1"/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B1:N123"/>
  <sheetViews>
    <sheetView workbookViewId="0">
      <selection sqref="A1:XFD1048576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>
        <v>44865</v>
      </c>
      <c r="C3" s="845" t="s">
        <v>1507</v>
      </c>
      <c r="D3" s="307">
        <v>123171.5</v>
      </c>
      <c r="E3" s="732"/>
      <c r="F3" s="307"/>
      <c r="G3" s="410">
        <f>D3-F3</f>
        <v>123171.5</v>
      </c>
      <c r="I3" s="1068" t="s">
        <v>1540</v>
      </c>
      <c r="J3" s="501">
        <v>10737</v>
      </c>
      <c r="K3" s="502">
        <v>9640</v>
      </c>
      <c r="L3" s="732"/>
      <c r="M3" s="349"/>
      <c r="N3" s="183">
        <f>K3-M3</f>
        <v>9640</v>
      </c>
    </row>
    <row r="4" spans="2:14" ht="18.75" x14ac:dyDescent="0.3">
      <c r="B4" s="454">
        <v>44865</v>
      </c>
      <c r="C4" s="246" t="s">
        <v>1508</v>
      </c>
      <c r="D4" s="111">
        <v>7344</v>
      </c>
      <c r="E4" s="412"/>
      <c r="F4" s="111"/>
      <c r="G4" s="544">
        <f t="shared" ref="G4:G65" si="0">D4-F4</f>
        <v>7344</v>
      </c>
      <c r="H4" s="138"/>
      <c r="I4" s="393" t="s">
        <v>1541</v>
      </c>
      <c r="J4" s="391">
        <v>10741</v>
      </c>
      <c r="K4" s="392">
        <v>440</v>
      </c>
      <c r="L4" s="732"/>
      <c r="M4" s="349"/>
      <c r="N4" s="137">
        <f>N3+K4-M4</f>
        <v>10080</v>
      </c>
    </row>
    <row r="5" spans="2:14" ht="15.75" x14ac:dyDescent="0.25">
      <c r="B5" s="454">
        <v>44865</v>
      </c>
      <c r="C5" s="246" t="s">
        <v>1509</v>
      </c>
      <c r="D5" s="111">
        <v>7910.6</v>
      </c>
      <c r="E5" s="412"/>
      <c r="F5" s="111"/>
      <c r="G5" s="544">
        <f t="shared" si="0"/>
        <v>7910.6</v>
      </c>
      <c r="I5" s="500" t="s">
        <v>1542</v>
      </c>
      <c r="J5" s="501">
        <v>10753</v>
      </c>
      <c r="K5" s="502">
        <v>3932.4</v>
      </c>
      <c r="L5" s="732"/>
      <c r="M5" s="349"/>
      <c r="N5" s="137">
        <f t="shared" ref="N5:N65" si="1">N4+K5-M5</f>
        <v>14012.4</v>
      </c>
    </row>
    <row r="6" spans="2:14" ht="15.75" x14ac:dyDescent="0.25">
      <c r="B6" s="454">
        <v>44866</v>
      </c>
      <c r="C6" s="246" t="s">
        <v>1510</v>
      </c>
      <c r="D6" s="111">
        <v>30194.62</v>
      </c>
      <c r="E6" s="412"/>
      <c r="F6" s="111"/>
      <c r="G6" s="544">
        <f t="shared" si="0"/>
        <v>30194.62</v>
      </c>
      <c r="I6" s="497" t="s">
        <v>1543</v>
      </c>
      <c r="J6" s="498">
        <v>10772</v>
      </c>
      <c r="K6" s="499">
        <v>550</v>
      </c>
      <c r="L6" s="732"/>
      <c r="M6" s="349"/>
      <c r="N6" s="137">
        <f t="shared" si="1"/>
        <v>14562.4</v>
      </c>
    </row>
    <row r="7" spans="2:14" ht="15.75" x14ac:dyDescent="0.25">
      <c r="B7" s="454">
        <v>44867</v>
      </c>
      <c r="C7" s="246" t="s">
        <v>1511</v>
      </c>
      <c r="D7" s="111">
        <v>154190.75</v>
      </c>
      <c r="E7" s="412"/>
      <c r="F7" s="111"/>
      <c r="G7" s="544">
        <f t="shared" si="0"/>
        <v>154190.75</v>
      </c>
      <c r="I7" s="500" t="s">
        <v>1544</v>
      </c>
      <c r="J7" s="501">
        <v>10783</v>
      </c>
      <c r="K7" s="502">
        <v>18950</v>
      </c>
      <c r="L7" s="732"/>
      <c r="M7" s="349"/>
      <c r="N7" s="137">
        <f t="shared" si="1"/>
        <v>33512.400000000001</v>
      </c>
    </row>
    <row r="8" spans="2:14" ht="15.75" x14ac:dyDescent="0.25">
      <c r="B8" s="454">
        <v>44868</v>
      </c>
      <c r="C8" s="246" t="s">
        <v>1512</v>
      </c>
      <c r="D8" s="111">
        <v>30140.240000000002</v>
      </c>
      <c r="E8" s="412"/>
      <c r="F8" s="111"/>
      <c r="G8" s="544">
        <f t="shared" si="0"/>
        <v>30140.240000000002</v>
      </c>
      <c r="I8" s="497" t="s">
        <v>1545</v>
      </c>
      <c r="J8" s="498">
        <v>10794</v>
      </c>
      <c r="K8" s="499">
        <v>924</v>
      </c>
      <c r="L8" s="732"/>
      <c r="M8" s="349"/>
      <c r="N8" s="137">
        <f t="shared" si="1"/>
        <v>34436.400000000001</v>
      </c>
    </row>
    <row r="9" spans="2:14" ht="15.75" x14ac:dyDescent="0.25">
      <c r="B9" s="454">
        <v>44869</v>
      </c>
      <c r="C9" s="246" t="s">
        <v>1513</v>
      </c>
      <c r="D9" s="111">
        <v>53530.58</v>
      </c>
      <c r="E9" s="412"/>
      <c r="F9" s="111"/>
      <c r="G9" s="544">
        <f t="shared" si="0"/>
        <v>53530.58</v>
      </c>
      <c r="I9" s="500" t="s">
        <v>1546</v>
      </c>
      <c r="J9" s="501">
        <v>10795</v>
      </c>
      <c r="K9" s="502">
        <v>330</v>
      </c>
      <c r="L9" s="732"/>
      <c r="M9" s="349"/>
      <c r="N9" s="137">
        <f t="shared" si="1"/>
        <v>34766.400000000001</v>
      </c>
    </row>
    <row r="10" spans="2:14" ht="18.75" x14ac:dyDescent="0.3">
      <c r="B10" s="454">
        <v>44870</v>
      </c>
      <c r="C10" s="246" t="s">
        <v>1514</v>
      </c>
      <c r="D10" s="111">
        <v>99250.02</v>
      </c>
      <c r="E10" s="412"/>
      <c r="F10" s="111"/>
      <c r="G10" s="544">
        <f t="shared" si="0"/>
        <v>99250.02</v>
      </c>
      <c r="H10" s="138"/>
      <c r="I10" s="393" t="s">
        <v>1547</v>
      </c>
      <c r="J10" s="391">
        <v>10801</v>
      </c>
      <c r="K10" s="392">
        <v>1134</v>
      </c>
      <c r="L10" s="732"/>
      <c r="M10" s="349"/>
      <c r="N10" s="137">
        <f t="shared" si="1"/>
        <v>35900.400000000001</v>
      </c>
    </row>
    <row r="11" spans="2:14" ht="15.75" x14ac:dyDescent="0.25">
      <c r="B11" s="454">
        <v>44872</v>
      </c>
      <c r="C11" s="246" t="s">
        <v>1515</v>
      </c>
      <c r="D11" s="111">
        <v>24540.97</v>
      </c>
      <c r="E11" s="412"/>
      <c r="F11" s="111"/>
      <c r="G11" s="544">
        <f t="shared" si="0"/>
        <v>24540.97</v>
      </c>
      <c r="I11" s="1069" t="s">
        <v>1548</v>
      </c>
      <c r="J11" s="1070">
        <v>10808</v>
      </c>
      <c r="K11" s="1071">
        <v>440</v>
      </c>
      <c r="L11" s="732"/>
      <c r="M11" s="349"/>
      <c r="N11" s="137">
        <f t="shared" si="1"/>
        <v>36340.400000000001</v>
      </c>
    </row>
    <row r="12" spans="2:14" ht="15.75" x14ac:dyDescent="0.25">
      <c r="B12" s="454">
        <v>44873</v>
      </c>
      <c r="C12" s="246" t="s">
        <v>1516</v>
      </c>
      <c r="D12" s="111">
        <v>73144.320000000007</v>
      </c>
      <c r="E12" s="412"/>
      <c r="F12" s="111"/>
      <c r="G12" s="544">
        <f t="shared" si="0"/>
        <v>73144.320000000007</v>
      </c>
      <c r="I12" s="393" t="s">
        <v>1548</v>
      </c>
      <c r="J12" s="391">
        <v>10809</v>
      </c>
      <c r="K12" s="392">
        <v>110</v>
      </c>
      <c r="L12" s="732"/>
      <c r="M12" s="349"/>
      <c r="N12" s="137">
        <f t="shared" si="1"/>
        <v>36450.400000000001</v>
      </c>
    </row>
    <row r="13" spans="2:14" ht="15.75" x14ac:dyDescent="0.25">
      <c r="B13" s="454">
        <v>44874</v>
      </c>
      <c r="C13" s="246" t="s">
        <v>1517</v>
      </c>
      <c r="D13" s="111">
        <v>12870.6</v>
      </c>
      <c r="E13" s="412"/>
      <c r="F13" s="111"/>
      <c r="G13" s="544">
        <f t="shared" si="0"/>
        <v>12870.6</v>
      </c>
      <c r="I13" s="1069" t="s">
        <v>1549</v>
      </c>
      <c r="J13" s="1070">
        <v>10824</v>
      </c>
      <c r="K13" s="1071">
        <v>360</v>
      </c>
      <c r="L13" s="732"/>
      <c r="M13" s="349"/>
      <c r="N13" s="137">
        <f t="shared" si="1"/>
        <v>36810.400000000001</v>
      </c>
    </row>
    <row r="14" spans="2:14" ht="15.75" x14ac:dyDescent="0.25">
      <c r="B14" s="454">
        <v>44875</v>
      </c>
      <c r="C14" s="246" t="s">
        <v>1518</v>
      </c>
      <c r="D14" s="111">
        <v>65232.92</v>
      </c>
      <c r="E14" s="412"/>
      <c r="F14" s="111"/>
      <c r="G14" s="544">
        <f t="shared" si="0"/>
        <v>65232.92</v>
      </c>
      <c r="I14" s="497" t="s">
        <v>1550</v>
      </c>
      <c r="J14" s="498">
        <v>10832</v>
      </c>
      <c r="K14" s="499">
        <v>15521.6</v>
      </c>
      <c r="L14" s="732"/>
      <c r="M14" s="349"/>
      <c r="N14" s="137">
        <f t="shared" si="1"/>
        <v>52332</v>
      </c>
    </row>
    <row r="15" spans="2:14" ht="15.75" x14ac:dyDescent="0.25">
      <c r="B15" s="454">
        <v>44876</v>
      </c>
      <c r="C15" s="246" t="s">
        <v>1519</v>
      </c>
      <c r="D15" s="111">
        <v>83013.039999999994</v>
      </c>
      <c r="E15" s="412"/>
      <c r="F15" s="111"/>
      <c r="G15" s="544">
        <f t="shared" si="0"/>
        <v>83013.039999999994</v>
      </c>
      <c r="I15" s="500" t="s">
        <v>1551</v>
      </c>
      <c r="J15" s="501">
        <v>10843</v>
      </c>
      <c r="K15" s="502">
        <v>600</v>
      </c>
      <c r="L15" s="732"/>
      <c r="M15" s="349"/>
      <c r="N15" s="137">
        <f t="shared" si="1"/>
        <v>52932</v>
      </c>
    </row>
    <row r="16" spans="2:14" ht="15.75" x14ac:dyDescent="0.25">
      <c r="B16" s="454">
        <v>44877</v>
      </c>
      <c r="C16" s="246" t="s">
        <v>1520</v>
      </c>
      <c r="D16" s="111">
        <v>131948.72</v>
      </c>
      <c r="E16" s="412"/>
      <c r="F16" s="111"/>
      <c r="G16" s="544">
        <f t="shared" si="0"/>
        <v>131948.72</v>
      </c>
      <c r="I16" s="393" t="s">
        <v>1552</v>
      </c>
      <c r="J16" s="391">
        <v>10857</v>
      </c>
      <c r="K16" s="392">
        <v>9200</v>
      </c>
      <c r="L16" s="732"/>
      <c r="M16" s="349"/>
      <c r="N16" s="137">
        <f t="shared" si="1"/>
        <v>62132</v>
      </c>
    </row>
    <row r="17" spans="2:14" ht="15.75" x14ac:dyDescent="0.25">
      <c r="B17" s="454">
        <v>44879</v>
      </c>
      <c r="C17" s="246" t="s">
        <v>1521</v>
      </c>
      <c r="D17" s="111">
        <v>37599.68</v>
      </c>
      <c r="E17" s="412"/>
      <c r="F17" s="111"/>
      <c r="G17" s="544">
        <f t="shared" si="0"/>
        <v>37599.68</v>
      </c>
      <c r="I17" s="1069" t="s">
        <v>1552</v>
      </c>
      <c r="J17" s="1070">
        <v>10862</v>
      </c>
      <c r="K17" s="1071">
        <v>480</v>
      </c>
      <c r="L17" s="732"/>
      <c r="M17" s="349"/>
      <c r="N17" s="137">
        <f t="shared" si="1"/>
        <v>62612</v>
      </c>
    </row>
    <row r="18" spans="2:14" ht="15.75" x14ac:dyDescent="0.25">
      <c r="B18" s="454">
        <v>44880</v>
      </c>
      <c r="C18" s="246" t="s">
        <v>1522</v>
      </c>
      <c r="D18" s="111">
        <v>23481.200000000001</v>
      </c>
      <c r="E18" s="412"/>
      <c r="F18" s="111"/>
      <c r="G18" s="544">
        <f t="shared" si="0"/>
        <v>23481.200000000001</v>
      </c>
      <c r="I18" s="497" t="s">
        <v>1553</v>
      </c>
      <c r="J18" s="498">
        <v>10864</v>
      </c>
      <c r="K18" s="499">
        <v>360</v>
      </c>
      <c r="L18" s="732"/>
      <c r="M18" s="349"/>
      <c r="N18" s="137">
        <f t="shared" si="1"/>
        <v>62972</v>
      </c>
    </row>
    <row r="19" spans="2:14" ht="15.75" x14ac:dyDescent="0.25">
      <c r="B19" s="454">
        <v>44881</v>
      </c>
      <c r="C19" s="246" t="s">
        <v>1523</v>
      </c>
      <c r="D19" s="111">
        <v>89195.38</v>
      </c>
      <c r="E19" s="412"/>
      <c r="F19" s="111"/>
      <c r="G19" s="544">
        <f t="shared" si="0"/>
        <v>89195.38</v>
      </c>
      <c r="I19" s="500" t="s">
        <v>1554</v>
      </c>
      <c r="J19" s="501">
        <v>10871</v>
      </c>
      <c r="K19" s="502">
        <v>360</v>
      </c>
      <c r="L19" s="732"/>
      <c r="M19" s="349"/>
      <c r="N19" s="137">
        <f t="shared" si="1"/>
        <v>63332</v>
      </c>
    </row>
    <row r="20" spans="2:14" ht="17.25" x14ac:dyDescent="0.3">
      <c r="B20" s="454">
        <v>44882</v>
      </c>
      <c r="C20" s="246" t="s">
        <v>1524</v>
      </c>
      <c r="D20" s="111">
        <v>70308.98</v>
      </c>
      <c r="E20" s="412"/>
      <c r="F20" s="111"/>
      <c r="G20" s="544">
        <f t="shared" si="0"/>
        <v>70308.98</v>
      </c>
      <c r="I20" s="497" t="s">
        <v>1555</v>
      </c>
      <c r="J20" s="498">
        <v>10885</v>
      </c>
      <c r="K20" s="499">
        <v>18765</v>
      </c>
      <c r="L20" s="732"/>
      <c r="M20" s="706"/>
      <c r="N20" s="137">
        <f t="shared" si="1"/>
        <v>82097</v>
      </c>
    </row>
    <row r="21" spans="2:14" ht="17.25" x14ac:dyDescent="0.3">
      <c r="B21" s="454">
        <v>44883</v>
      </c>
      <c r="C21" s="246" t="s">
        <v>1525</v>
      </c>
      <c r="D21" s="111">
        <v>139090.9</v>
      </c>
      <c r="E21" s="412"/>
      <c r="F21" s="111"/>
      <c r="G21" s="544">
        <f t="shared" si="0"/>
        <v>139090.9</v>
      </c>
      <c r="I21" s="1069" t="s">
        <v>1556</v>
      </c>
      <c r="J21" s="1070">
        <v>10895</v>
      </c>
      <c r="K21" s="1071">
        <v>4480</v>
      </c>
      <c r="L21" s="732"/>
      <c r="M21" s="706"/>
      <c r="N21" s="137">
        <f t="shared" si="1"/>
        <v>86577</v>
      </c>
    </row>
    <row r="22" spans="2:14" ht="18.75" x14ac:dyDescent="0.3">
      <c r="B22" s="454">
        <v>44884</v>
      </c>
      <c r="C22" s="246" t="s">
        <v>1526</v>
      </c>
      <c r="D22" s="111">
        <v>51462.14</v>
      </c>
      <c r="E22" s="412"/>
      <c r="F22" s="111"/>
      <c r="G22" s="544">
        <f t="shared" si="0"/>
        <v>51462.14</v>
      </c>
      <c r="H22" s="644"/>
      <c r="I22" s="393" t="s">
        <v>1557</v>
      </c>
      <c r="J22" s="391">
        <v>10903</v>
      </c>
      <c r="K22" s="392">
        <v>600</v>
      </c>
      <c r="L22" s="732"/>
      <c r="M22" s="706"/>
      <c r="N22" s="137">
        <f t="shared" si="1"/>
        <v>87177</v>
      </c>
    </row>
    <row r="23" spans="2:14" ht="15.75" x14ac:dyDescent="0.25">
      <c r="B23" s="454">
        <v>44886</v>
      </c>
      <c r="C23" s="246" t="s">
        <v>1527</v>
      </c>
      <c r="D23" s="111">
        <v>78579.7</v>
      </c>
      <c r="E23" s="412"/>
      <c r="F23" s="111"/>
      <c r="G23" s="544">
        <f t="shared" si="0"/>
        <v>78579.7</v>
      </c>
      <c r="H23" s="2"/>
      <c r="I23" s="1069" t="s">
        <v>1558</v>
      </c>
      <c r="J23" s="1070">
        <v>10914</v>
      </c>
      <c r="K23" s="1071">
        <v>10403</v>
      </c>
      <c r="L23" s="412"/>
      <c r="M23" s="111"/>
      <c r="N23" s="137">
        <f t="shared" si="1"/>
        <v>97580</v>
      </c>
    </row>
    <row r="24" spans="2:14" ht="21" customHeight="1" x14ac:dyDescent="0.25">
      <c r="B24" s="454">
        <v>44886</v>
      </c>
      <c r="C24" s="246" t="s">
        <v>1528</v>
      </c>
      <c r="D24" s="111">
        <v>140884.20000000001</v>
      </c>
      <c r="E24" s="412"/>
      <c r="F24" s="111"/>
      <c r="G24" s="544">
        <f t="shared" si="0"/>
        <v>140884.20000000001</v>
      </c>
      <c r="H24" s="2"/>
      <c r="I24" s="497" t="s">
        <v>1559</v>
      </c>
      <c r="J24" s="498">
        <v>10922</v>
      </c>
      <c r="K24" s="499">
        <v>360</v>
      </c>
      <c r="L24" s="412"/>
      <c r="M24" s="111"/>
      <c r="N24" s="137">
        <f t="shared" si="1"/>
        <v>97940</v>
      </c>
    </row>
    <row r="25" spans="2:14" ht="15.75" x14ac:dyDescent="0.25">
      <c r="B25" s="454">
        <v>44887</v>
      </c>
      <c r="C25" s="246" t="s">
        <v>1529</v>
      </c>
      <c r="D25" s="111">
        <v>36300.57</v>
      </c>
      <c r="E25" s="412"/>
      <c r="F25" s="111"/>
      <c r="G25" s="544">
        <f t="shared" si="0"/>
        <v>36300.57</v>
      </c>
      <c r="H25" s="645"/>
      <c r="I25" s="1069" t="s">
        <v>1560</v>
      </c>
      <c r="J25" s="1070">
        <v>10937</v>
      </c>
      <c r="K25" s="1071">
        <v>480</v>
      </c>
      <c r="L25" s="412"/>
      <c r="M25" s="111"/>
      <c r="N25" s="137">
        <f t="shared" si="1"/>
        <v>98420</v>
      </c>
    </row>
    <row r="26" spans="2:14" ht="15.75" x14ac:dyDescent="0.25">
      <c r="B26" s="454">
        <v>44888</v>
      </c>
      <c r="C26" s="246" t="s">
        <v>1530</v>
      </c>
      <c r="D26" s="111">
        <v>88444.52</v>
      </c>
      <c r="E26" s="412"/>
      <c r="F26" s="111"/>
      <c r="G26" s="544">
        <f t="shared" si="0"/>
        <v>88444.52</v>
      </c>
      <c r="H26" s="645"/>
      <c r="I26" s="497" t="s">
        <v>1561</v>
      </c>
      <c r="J26" s="498">
        <v>10945</v>
      </c>
      <c r="K26" s="499">
        <v>29384.66</v>
      </c>
      <c r="L26" s="412"/>
      <c r="M26" s="111"/>
      <c r="N26" s="137">
        <f t="shared" si="1"/>
        <v>127804.66</v>
      </c>
    </row>
    <row r="27" spans="2:14" ht="15.75" x14ac:dyDescent="0.25">
      <c r="B27" s="454">
        <v>44889</v>
      </c>
      <c r="C27" s="246" t="s">
        <v>1531</v>
      </c>
      <c r="D27" s="111">
        <v>14951.9</v>
      </c>
      <c r="E27" s="412"/>
      <c r="F27" s="111"/>
      <c r="G27" s="544">
        <f t="shared" si="0"/>
        <v>14951.9</v>
      </c>
      <c r="H27" s="645"/>
      <c r="I27" s="500" t="s">
        <v>1562</v>
      </c>
      <c r="J27" s="501">
        <v>10953</v>
      </c>
      <c r="K27" s="502">
        <v>1080</v>
      </c>
      <c r="L27" s="412"/>
      <c r="M27" s="111"/>
      <c r="N27" s="137">
        <f t="shared" si="1"/>
        <v>128884.66</v>
      </c>
    </row>
    <row r="28" spans="2:14" ht="15.75" x14ac:dyDescent="0.25">
      <c r="B28" s="454">
        <v>44890</v>
      </c>
      <c r="C28" s="246" t="s">
        <v>1532</v>
      </c>
      <c r="D28" s="111">
        <v>141455.91</v>
      </c>
      <c r="E28" s="412"/>
      <c r="F28" s="111"/>
      <c r="G28" s="544">
        <f t="shared" si="0"/>
        <v>141455.91</v>
      </c>
      <c r="H28" s="645"/>
      <c r="I28" s="497" t="s">
        <v>1563</v>
      </c>
      <c r="J28" s="498">
        <v>10966</v>
      </c>
      <c r="K28" s="499">
        <v>360</v>
      </c>
      <c r="L28" s="412"/>
      <c r="M28" s="111"/>
      <c r="N28" s="137">
        <f t="shared" si="1"/>
        <v>129244.66</v>
      </c>
    </row>
    <row r="29" spans="2:14" ht="15.75" x14ac:dyDescent="0.25">
      <c r="B29" s="454">
        <v>44891</v>
      </c>
      <c r="C29" s="246" t="s">
        <v>1533</v>
      </c>
      <c r="D29" s="111">
        <v>75944.320000000007</v>
      </c>
      <c r="E29" s="412"/>
      <c r="F29" s="111"/>
      <c r="G29" s="544">
        <f t="shared" si="0"/>
        <v>75944.320000000007</v>
      </c>
      <c r="H29" s="645"/>
      <c r="I29" s="862"/>
      <c r="J29" s="347"/>
      <c r="K29" s="349"/>
      <c r="L29" s="412"/>
      <c r="M29" s="111"/>
      <c r="N29" s="137">
        <f t="shared" si="1"/>
        <v>129244.66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129244.66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129244.66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129244.66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129244.66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129244.66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129244.66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65"/>
      <c r="J36" s="1066"/>
      <c r="K36" s="1066"/>
      <c r="L36" s="1067"/>
      <c r="M36" s="111"/>
      <c r="N36" s="137">
        <f t="shared" si="1"/>
        <v>129244.66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65"/>
      <c r="J37" s="1066"/>
      <c r="K37" s="1066"/>
      <c r="L37" s="1067"/>
      <c r="M37" s="111"/>
      <c r="N37" s="137">
        <f t="shared" si="1"/>
        <v>129244.66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129244.66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129244.66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0" t="s">
        <v>594</v>
      </c>
      <c r="J40" s="991"/>
      <c r="K40" s="69"/>
      <c r="L40" s="253"/>
      <c r="M40" s="69"/>
      <c r="N40" s="137">
        <f t="shared" si="1"/>
        <v>129244.66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2"/>
      <c r="J41" s="993"/>
      <c r="K41" s="69"/>
      <c r="L41" s="253"/>
      <c r="M41" s="69"/>
      <c r="N41" s="137">
        <f t="shared" si="1"/>
        <v>129244.66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4"/>
      <c r="J42" s="995"/>
      <c r="K42" s="69"/>
      <c r="L42" s="253"/>
      <c r="M42" s="69"/>
      <c r="N42" s="137">
        <f t="shared" si="1"/>
        <v>129244.66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129244.66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129244.66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129244.66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129244.66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129244.66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129244.66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129244.66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129244.66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129244.66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129244.66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129244.66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129244.66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129244.66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129244.66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129244.66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129244.66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129244.66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129244.66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129244.66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129244.66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129244.66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129244.66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129244.66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1884182.2799999998</v>
      </c>
      <c r="E67" s="407"/>
      <c r="F67" s="395">
        <f>SUM(F3:F66)</f>
        <v>0</v>
      </c>
      <c r="G67" s="153">
        <f>SUM(G3:G66)</f>
        <v>1884182.2799999998</v>
      </c>
      <c r="I67" s="986" t="s">
        <v>594</v>
      </c>
      <c r="J67" s="987"/>
      <c r="K67" s="642">
        <f>SUM(K3:K66)</f>
        <v>129244.66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48" t="s">
        <v>207</v>
      </c>
      <c r="I68" s="988"/>
      <c r="J68" s="989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49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886"/>
      <c r="C1" s="888" t="s">
        <v>208</v>
      </c>
      <c r="D1" s="889"/>
      <c r="E1" s="889"/>
      <c r="F1" s="889"/>
      <c r="G1" s="889"/>
      <c r="H1" s="889"/>
      <c r="I1" s="889"/>
      <c r="J1" s="889"/>
      <c r="K1" s="889"/>
      <c r="L1" s="889"/>
      <c r="M1" s="889"/>
    </row>
    <row r="2" spans="1:25" ht="16.5" thickBot="1" x14ac:dyDescent="0.3">
      <c r="B2" s="8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0" t="s">
        <v>0</v>
      </c>
      <c r="C3" s="891"/>
      <c r="D3" s="10"/>
      <c r="E3" s="11"/>
      <c r="F3" s="11"/>
      <c r="H3" s="892" t="s">
        <v>26</v>
      </c>
      <c r="I3" s="892"/>
      <c r="K3" s="165"/>
      <c r="L3" s="13"/>
      <c r="M3" s="14"/>
      <c r="P3" s="929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893" t="s">
        <v>2</v>
      </c>
      <c r="F4" s="894"/>
      <c r="H4" s="895" t="s">
        <v>3</v>
      </c>
      <c r="I4" s="896"/>
      <c r="J4" s="19"/>
      <c r="K4" s="166"/>
      <c r="L4" s="20"/>
      <c r="M4" s="21" t="s">
        <v>4</v>
      </c>
      <c r="N4" s="22" t="s">
        <v>5</v>
      </c>
      <c r="P4" s="930"/>
      <c r="Q4" s="286" t="s">
        <v>209</v>
      </c>
      <c r="W4" s="939" t="s">
        <v>124</v>
      </c>
      <c r="X4" s="939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939"/>
      <c r="X5" s="939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943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944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945"/>
      <c r="X21" s="945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946"/>
      <c r="X23" s="946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946"/>
      <c r="X24" s="946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947"/>
      <c r="X25" s="947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947"/>
      <c r="X26" s="947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940"/>
      <c r="X27" s="941"/>
      <c r="Y27" s="942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941"/>
      <c r="X28" s="941"/>
      <c r="Y28" s="942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931">
        <f>SUM(M5:M35)</f>
        <v>321168.83</v>
      </c>
      <c r="N36" s="933">
        <f>SUM(N5:N35)</f>
        <v>467016</v>
      </c>
      <c r="O36" s="276"/>
      <c r="P36" s="277">
        <v>0</v>
      </c>
      <c r="Q36" s="935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932"/>
      <c r="N37" s="934"/>
      <c r="O37" s="276"/>
      <c r="P37" s="277">
        <v>0</v>
      </c>
      <c r="Q37" s="936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8" t="s">
        <v>11</v>
      </c>
      <c r="I52" s="909"/>
      <c r="J52" s="100"/>
      <c r="K52" s="910">
        <f>I50+L50</f>
        <v>71911.59</v>
      </c>
      <c r="L52" s="937"/>
      <c r="M52" s="272"/>
      <c r="N52" s="272"/>
      <c r="P52" s="34"/>
      <c r="Q52" s="13"/>
    </row>
    <row r="53" spans="1:17" ht="16.5" thickBot="1" x14ac:dyDescent="0.3">
      <c r="D53" s="914" t="s">
        <v>12</v>
      </c>
      <c r="E53" s="914"/>
      <c r="F53" s="312">
        <f>F50-K52-C50</f>
        <v>-25952.549999999814</v>
      </c>
      <c r="I53" s="102"/>
      <c r="J53" s="103"/>
    </row>
    <row r="54" spans="1:17" ht="18.75" x14ac:dyDescent="0.3">
      <c r="D54" s="938" t="s">
        <v>95</v>
      </c>
      <c r="E54" s="938"/>
      <c r="F54" s="111">
        <v>-706888.38</v>
      </c>
      <c r="I54" s="915" t="s">
        <v>13</v>
      </c>
      <c r="J54" s="916"/>
      <c r="K54" s="917">
        <f>F56+F57+F58</f>
        <v>1308778.3500000003</v>
      </c>
      <c r="L54" s="917"/>
      <c r="M54" s="923" t="s">
        <v>211</v>
      </c>
      <c r="N54" s="924"/>
      <c r="O54" s="924"/>
      <c r="P54" s="924"/>
      <c r="Q54" s="925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926"/>
      <c r="N55" s="927"/>
      <c r="O55" s="927"/>
      <c r="P55" s="927"/>
      <c r="Q55" s="928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919">
        <f>-C4</f>
        <v>-567389.35</v>
      </c>
      <c r="L56" s="920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897" t="s">
        <v>18</v>
      </c>
      <c r="E58" s="898"/>
      <c r="F58" s="113">
        <v>2142307.62</v>
      </c>
      <c r="I58" s="899" t="s">
        <v>198</v>
      </c>
      <c r="J58" s="900"/>
      <c r="K58" s="901">
        <f>K54+K56</f>
        <v>741389.00000000035</v>
      </c>
      <c r="L58" s="90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4:X5"/>
    <mergeCell ref="W27:X28"/>
    <mergeCell ref="Y27:Y28"/>
    <mergeCell ref="W19:W20"/>
    <mergeCell ref="W21:X21"/>
    <mergeCell ref="W23:X24"/>
    <mergeCell ref="W25:X25"/>
    <mergeCell ref="W26:X26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B1:B2"/>
    <mergeCell ref="C1:M1"/>
    <mergeCell ref="B3:C3"/>
    <mergeCell ref="H3:I3"/>
    <mergeCell ref="E4:F4"/>
    <mergeCell ref="H4:I4"/>
    <mergeCell ref="M54:Q55"/>
    <mergeCell ref="P3:P4"/>
    <mergeCell ref="M36:M37"/>
    <mergeCell ref="N36:N37"/>
    <mergeCell ref="Q36:Q37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R97"/>
  <sheetViews>
    <sheetView tabSelected="1" workbookViewId="0">
      <pane ySplit="4" topLeftCell="A5" activePane="bottomLeft" state="frozen"/>
      <selection pane="bottomLeft" activeCell="I33" sqref="I33"/>
    </sheetView>
  </sheetViews>
  <sheetFormatPr baseColWidth="10" defaultRowHeight="15.75" x14ac:dyDescent="0.25"/>
  <cols>
    <col min="1" max="1" width="11" customWidth="1"/>
    <col min="2" max="2" width="12.42578125" style="551" customWidth="1"/>
    <col min="3" max="3" width="16.8554687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176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886"/>
      <c r="C1" s="952" t="s">
        <v>1570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18" ht="16.5" thickBot="1" x14ac:dyDescent="0.3">
      <c r="B2" s="887"/>
      <c r="C2" s="3"/>
      <c r="H2" s="5"/>
      <c r="I2" s="6"/>
      <c r="J2" s="7"/>
      <c r="L2" s="8"/>
      <c r="M2" s="6"/>
      <c r="N2" s="9"/>
    </row>
    <row r="3" spans="1:18" ht="21.75" thickBot="1" x14ac:dyDescent="0.35">
      <c r="B3" s="890" t="s">
        <v>0</v>
      </c>
      <c r="C3" s="891"/>
      <c r="D3" s="10"/>
      <c r="E3" s="553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18" ht="32.25" thickTop="1" thickBot="1" x14ac:dyDescent="0.35">
      <c r="A4" s="15" t="s">
        <v>1</v>
      </c>
      <c r="B4" s="16"/>
      <c r="C4" s="17">
        <v>3445405.07</v>
      </c>
      <c r="D4" s="18">
        <v>44892</v>
      </c>
      <c r="E4" s="893" t="s">
        <v>2</v>
      </c>
      <c r="F4" s="894"/>
      <c r="H4" s="895" t="s">
        <v>3</v>
      </c>
      <c r="I4" s="896"/>
      <c r="J4" s="556"/>
      <c r="K4" s="562"/>
      <c r="L4" s="563"/>
      <c r="M4" s="21" t="s">
        <v>4</v>
      </c>
      <c r="N4" s="22" t="s">
        <v>5</v>
      </c>
      <c r="P4" s="930"/>
      <c r="Q4" s="322" t="s">
        <v>217</v>
      </c>
      <c r="R4" s="951"/>
    </row>
    <row r="5" spans="1:18" ht="18" thickBot="1" x14ac:dyDescent="0.35">
      <c r="A5" s="23" t="s">
        <v>7</v>
      </c>
      <c r="B5" s="24">
        <v>44893</v>
      </c>
      <c r="C5" s="25"/>
      <c r="D5" s="26"/>
      <c r="E5" s="27">
        <v>44893</v>
      </c>
      <c r="F5" s="28"/>
      <c r="G5" s="572"/>
      <c r="H5" s="29">
        <v>44893</v>
      </c>
      <c r="I5" s="30"/>
      <c r="J5" s="37"/>
      <c r="K5" s="31"/>
      <c r="L5" s="9"/>
      <c r="M5" s="32">
        <v>0</v>
      </c>
      <c r="N5" s="33">
        <v>0</v>
      </c>
      <c r="P5" s="34">
        <f>N5+M5+L5+I5+C5</f>
        <v>0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44894</v>
      </c>
      <c r="C6" s="25"/>
      <c r="D6" s="35"/>
      <c r="E6" s="27">
        <v>44894</v>
      </c>
      <c r="F6" s="28"/>
      <c r="G6" s="572"/>
      <c r="H6" s="29">
        <v>44894</v>
      </c>
      <c r="I6" s="30"/>
      <c r="J6" s="37"/>
      <c r="K6" s="38"/>
      <c r="L6" s="39"/>
      <c r="M6" s="32">
        <v>0</v>
      </c>
      <c r="N6" s="33">
        <v>0</v>
      </c>
      <c r="P6" s="39">
        <f>N6+M6+L6+I6+C6</f>
        <v>0</v>
      </c>
      <c r="Q6" s="325">
        <v>0</v>
      </c>
      <c r="R6" s="379">
        <v>0</v>
      </c>
    </row>
    <row r="7" spans="1:18" ht="18" thickBot="1" x14ac:dyDescent="0.35">
      <c r="A7" s="23"/>
      <c r="B7" s="24">
        <v>44895</v>
      </c>
      <c r="C7" s="25"/>
      <c r="D7" s="40"/>
      <c r="E7" s="27">
        <v>44895</v>
      </c>
      <c r="F7" s="28"/>
      <c r="G7" s="572"/>
      <c r="H7" s="29">
        <v>44895</v>
      </c>
      <c r="I7" s="30"/>
      <c r="J7" s="37"/>
      <c r="K7" s="38"/>
      <c r="L7" s="39"/>
      <c r="M7" s="32">
        <v>0</v>
      </c>
      <c r="N7" s="33">
        <v>0</v>
      </c>
      <c r="P7" s="39">
        <f>N7+M7+L7+I7+C7</f>
        <v>0</v>
      </c>
      <c r="Q7" s="325">
        <f t="shared" ref="Q7:Q40" si="0">P7-F7</f>
        <v>0</v>
      </c>
      <c r="R7" s="379">
        <v>0</v>
      </c>
    </row>
    <row r="8" spans="1:18" ht="18" thickBot="1" x14ac:dyDescent="0.35">
      <c r="A8" s="23"/>
      <c r="B8" s="24">
        <v>44896</v>
      </c>
      <c r="C8" s="25"/>
      <c r="D8" s="42"/>
      <c r="E8" s="27">
        <v>44896</v>
      </c>
      <c r="F8" s="28"/>
      <c r="G8" s="572"/>
      <c r="H8" s="29">
        <v>44896</v>
      </c>
      <c r="I8" s="30"/>
      <c r="J8" s="43"/>
      <c r="K8" s="38"/>
      <c r="L8" s="39"/>
      <c r="M8" s="32">
        <v>0</v>
      </c>
      <c r="N8" s="33">
        <v>0</v>
      </c>
      <c r="P8" s="39">
        <f t="shared" ref="P8:P33" si="1">N8+M8+L8+I8+C8</f>
        <v>0</v>
      </c>
      <c r="Q8" s="325">
        <v>0</v>
      </c>
      <c r="R8" s="379">
        <v>0</v>
      </c>
    </row>
    <row r="9" spans="1:18" ht="18" thickBot="1" x14ac:dyDescent="0.35">
      <c r="A9" s="23"/>
      <c r="B9" s="24">
        <v>44897</v>
      </c>
      <c r="C9" s="25"/>
      <c r="D9" s="42"/>
      <c r="E9" s="27">
        <v>44897</v>
      </c>
      <c r="F9" s="28"/>
      <c r="G9" s="572"/>
      <c r="H9" s="29">
        <v>44897</v>
      </c>
      <c r="I9" s="30"/>
      <c r="J9" s="37"/>
      <c r="K9" s="223"/>
      <c r="L9" s="39"/>
      <c r="M9" s="32">
        <v>0</v>
      </c>
      <c r="N9" s="33">
        <v>0</v>
      </c>
      <c r="P9" s="39">
        <f t="shared" si="1"/>
        <v>0</v>
      </c>
      <c r="Q9" s="325">
        <f t="shared" si="0"/>
        <v>0</v>
      </c>
      <c r="R9" s="379">
        <v>0</v>
      </c>
    </row>
    <row r="10" spans="1:18" ht="18" thickBot="1" x14ac:dyDescent="0.35">
      <c r="A10" s="23"/>
      <c r="B10" s="24">
        <v>44898</v>
      </c>
      <c r="C10" s="25"/>
      <c r="D10" s="40"/>
      <c r="E10" s="27">
        <v>44898</v>
      </c>
      <c r="F10" s="28"/>
      <c r="G10" s="572"/>
      <c r="H10" s="29">
        <v>44898</v>
      </c>
      <c r="I10" s="30"/>
      <c r="J10" s="37"/>
      <c r="K10" s="167"/>
      <c r="L10" s="45"/>
      <c r="M10" s="32">
        <v>0</v>
      </c>
      <c r="N10" s="33">
        <v>0</v>
      </c>
      <c r="P10" s="39">
        <f>N10+M10+L10+I10+C10</f>
        <v>0</v>
      </c>
      <c r="Q10" s="325">
        <f>P10-F10</f>
        <v>0</v>
      </c>
      <c r="R10" s="379">
        <v>0</v>
      </c>
    </row>
    <row r="11" spans="1:18" ht="18" thickBot="1" x14ac:dyDescent="0.35">
      <c r="A11" s="23"/>
      <c r="B11" s="24">
        <v>44899</v>
      </c>
      <c r="C11" s="25"/>
      <c r="D11" s="35"/>
      <c r="E11" s="27">
        <v>44899</v>
      </c>
      <c r="F11" s="28"/>
      <c r="G11" s="572"/>
      <c r="H11" s="29">
        <v>44899</v>
      </c>
      <c r="I11" s="30"/>
      <c r="J11" s="43"/>
      <c r="K11" s="168"/>
      <c r="L11" s="39"/>
      <c r="M11" s="32">
        <v>0</v>
      </c>
      <c r="N11" s="33">
        <v>0</v>
      </c>
      <c r="P11" s="39">
        <f t="shared" si="1"/>
        <v>0</v>
      </c>
      <c r="Q11" s="325">
        <f t="shared" si="0"/>
        <v>0</v>
      </c>
      <c r="R11" s="379">
        <v>0</v>
      </c>
    </row>
    <row r="12" spans="1:18" ht="18" thickBot="1" x14ac:dyDescent="0.35">
      <c r="A12" s="23"/>
      <c r="B12" s="24">
        <v>44900</v>
      </c>
      <c r="C12" s="25"/>
      <c r="D12" s="35"/>
      <c r="E12" s="27">
        <v>44900</v>
      </c>
      <c r="F12" s="28"/>
      <c r="G12" s="572"/>
      <c r="H12" s="29">
        <v>44900</v>
      </c>
      <c r="I12" s="30"/>
      <c r="J12" s="37"/>
      <c r="K12" s="169"/>
      <c r="L12" s="39"/>
      <c r="M12" s="32">
        <v>0</v>
      </c>
      <c r="N12" s="33">
        <v>0</v>
      </c>
      <c r="P12" s="39">
        <f t="shared" si="1"/>
        <v>0</v>
      </c>
      <c r="Q12" s="325">
        <f t="shared" si="0"/>
        <v>0</v>
      </c>
      <c r="R12" s="379">
        <v>0</v>
      </c>
    </row>
    <row r="13" spans="1:18" ht="18" thickBot="1" x14ac:dyDescent="0.35">
      <c r="A13" s="23"/>
      <c r="B13" s="24">
        <v>44901</v>
      </c>
      <c r="C13" s="25"/>
      <c r="D13" s="42"/>
      <c r="E13" s="27">
        <v>44901</v>
      </c>
      <c r="F13" s="28"/>
      <c r="G13" s="572"/>
      <c r="H13" s="29">
        <v>44901</v>
      </c>
      <c r="I13" s="30"/>
      <c r="J13" s="37"/>
      <c r="K13" s="38"/>
      <c r="L13" s="39"/>
      <c r="M13" s="32">
        <v>0</v>
      </c>
      <c r="N13" s="33">
        <v>0</v>
      </c>
      <c r="P13" s="39">
        <f>N13+M13+L13+I13+C13</f>
        <v>0</v>
      </c>
      <c r="Q13" s="325">
        <f t="shared" si="0"/>
        <v>0</v>
      </c>
      <c r="R13" s="379">
        <v>0</v>
      </c>
    </row>
    <row r="14" spans="1:18" ht="18" thickBot="1" x14ac:dyDescent="0.35">
      <c r="A14" s="23"/>
      <c r="B14" s="24">
        <v>44902</v>
      </c>
      <c r="C14" s="25"/>
      <c r="D14" s="40"/>
      <c r="E14" s="27">
        <v>44902</v>
      </c>
      <c r="F14" s="28"/>
      <c r="G14" s="572"/>
      <c r="H14" s="29">
        <v>44902</v>
      </c>
      <c r="I14" s="30"/>
      <c r="J14" s="37"/>
      <c r="K14" s="38"/>
      <c r="L14" s="39"/>
      <c r="M14" s="32">
        <v>0</v>
      </c>
      <c r="N14" s="33">
        <v>0</v>
      </c>
      <c r="P14" s="39">
        <f t="shared" si="1"/>
        <v>0</v>
      </c>
      <c r="Q14" s="325">
        <v>0</v>
      </c>
      <c r="R14" s="379">
        <v>0</v>
      </c>
    </row>
    <row r="15" spans="1:18" ht="18" thickBot="1" x14ac:dyDescent="0.35">
      <c r="A15" s="23"/>
      <c r="B15" s="24">
        <v>44903</v>
      </c>
      <c r="C15" s="25"/>
      <c r="D15" s="40"/>
      <c r="E15" s="27">
        <v>44903</v>
      </c>
      <c r="F15" s="28"/>
      <c r="G15" s="572"/>
      <c r="H15" s="29">
        <v>44903</v>
      </c>
      <c r="I15" s="30"/>
      <c r="J15" s="37"/>
      <c r="K15" s="38"/>
      <c r="L15" s="39"/>
      <c r="M15" s="32">
        <v>0</v>
      </c>
      <c r="N15" s="33">
        <v>0</v>
      </c>
      <c r="P15" s="39">
        <f t="shared" si="1"/>
        <v>0</v>
      </c>
      <c r="Q15" s="325">
        <f t="shared" si="0"/>
        <v>0</v>
      </c>
      <c r="R15" s="379">
        <v>0</v>
      </c>
    </row>
    <row r="16" spans="1:18" ht="18" thickBot="1" x14ac:dyDescent="0.35">
      <c r="A16" s="23"/>
      <c r="B16" s="24">
        <v>44904</v>
      </c>
      <c r="C16" s="25"/>
      <c r="D16" s="35"/>
      <c r="E16" s="27">
        <v>44904</v>
      </c>
      <c r="F16" s="28"/>
      <c r="G16" s="572"/>
      <c r="H16" s="29">
        <v>44904</v>
      </c>
      <c r="I16" s="30"/>
      <c r="J16" s="37"/>
      <c r="K16" s="169"/>
      <c r="L16" s="9"/>
      <c r="M16" s="32">
        <v>0</v>
      </c>
      <c r="N16" s="33">
        <v>0</v>
      </c>
      <c r="P16" s="39">
        <f t="shared" si="1"/>
        <v>0</v>
      </c>
      <c r="Q16" s="325">
        <f t="shared" si="0"/>
        <v>0</v>
      </c>
      <c r="R16" s="379">
        <v>0</v>
      </c>
    </row>
    <row r="17" spans="1:18" ht="18" thickBot="1" x14ac:dyDescent="0.35">
      <c r="A17" s="23"/>
      <c r="B17" s="24">
        <v>44905</v>
      </c>
      <c r="C17" s="25"/>
      <c r="D17" s="42"/>
      <c r="E17" s="27">
        <v>44905</v>
      </c>
      <c r="F17" s="28"/>
      <c r="G17" s="572"/>
      <c r="H17" s="29">
        <v>44905</v>
      </c>
      <c r="I17" s="30"/>
      <c r="J17" s="37"/>
      <c r="K17" s="38"/>
      <c r="L17" s="45"/>
      <c r="M17" s="32">
        <v>0</v>
      </c>
      <c r="N17" s="33">
        <v>0</v>
      </c>
      <c r="P17" s="39">
        <f t="shared" si="1"/>
        <v>0</v>
      </c>
      <c r="Q17" s="325">
        <f t="shared" si="0"/>
        <v>0</v>
      </c>
      <c r="R17" s="379">
        <v>0</v>
      </c>
    </row>
    <row r="18" spans="1:18" ht="18" thickBot="1" x14ac:dyDescent="0.35">
      <c r="A18" s="23"/>
      <c r="B18" s="24">
        <v>44906</v>
      </c>
      <c r="C18" s="25"/>
      <c r="D18" s="35"/>
      <c r="E18" s="27">
        <v>44906</v>
      </c>
      <c r="F18" s="28"/>
      <c r="G18" s="572"/>
      <c r="H18" s="29">
        <v>44906</v>
      </c>
      <c r="I18" s="30"/>
      <c r="J18" s="37"/>
      <c r="K18" s="564"/>
      <c r="L18" s="39"/>
      <c r="M18" s="32">
        <v>0</v>
      </c>
      <c r="N18" s="33">
        <v>0</v>
      </c>
      <c r="P18" s="39">
        <f t="shared" si="1"/>
        <v>0</v>
      </c>
      <c r="Q18" s="325">
        <f t="shared" si="0"/>
        <v>0</v>
      </c>
      <c r="R18" s="379">
        <v>0</v>
      </c>
    </row>
    <row r="19" spans="1:18" ht="18" customHeight="1" thickBot="1" x14ac:dyDescent="0.35">
      <c r="A19" s="23"/>
      <c r="B19" s="24">
        <v>44907</v>
      </c>
      <c r="C19" s="25"/>
      <c r="D19" s="35"/>
      <c r="E19" s="27">
        <v>44907</v>
      </c>
      <c r="F19" s="28"/>
      <c r="G19" s="572"/>
      <c r="H19" s="29">
        <v>44907</v>
      </c>
      <c r="I19" s="30"/>
      <c r="J19" s="37"/>
      <c r="K19" s="863"/>
      <c r="L19" s="47"/>
      <c r="M19" s="32">
        <v>0</v>
      </c>
      <c r="N19" s="33">
        <v>0</v>
      </c>
      <c r="P19" s="39">
        <f t="shared" si="1"/>
        <v>0</v>
      </c>
      <c r="Q19" s="325">
        <v>0</v>
      </c>
      <c r="R19" s="379">
        <v>0</v>
      </c>
    </row>
    <row r="20" spans="1:18" ht="18" customHeight="1" thickBot="1" x14ac:dyDescent="0.35">
      <c r="A20" s="23"/>
      <c r="B20" s="24">
        <v>44908</v>
      </c>
      <c r="C20" s="25"/>
      <c r="D20" s="35"/>
      <c r="E20" s="27">
        <v>44908</v>
      </c>
      <c r="F20" s="28"/>
      <c r="G20" s="572"/>
      <c r="H20" s="29">
        <v>44908</v>
      </c>
      <c r="I20" s="30"/>
      <c r="J20" s="37"/>
      <c r="K20" s="171"/>
      <c r="L20" s="45"/>
      <c r="M20" s="32">
        <v>0</v>
      </c>
      <c r="N20" s="33">
        <v>0</v>
      </c>
      <c r="P20" s="39">
        <f t="shared" si="1"/>
        <v>0</v>
      </c>
      <c r="Q20" s="325">
        <v>0</v>
      </c>
      <c r="R20" s="379">
        <v>0</v>
      </c>
    </row>
    <row r="21" spans="1:18" ht="18" thickBot="1" x14ac:dyDescent="0.35">
      <c r="A21" s="23"/>
      <c r="B21" s="24">
        <v>44909</v>
      </c>
      <c r="C21" s="25"/>
      <c r="D21" s="35"/>
      <c r="E21" s="27">
        <v>44909</v>
      </c>
      <c r="F21" s="28"/>
      <c r="G21" s="572"/>
      <c r="H21" s="29">
        <v>44909</v>
      </c>
      <c r="I21" s="30"/>
      <c r="J21" s="37"/>
      <c r="K21" s="565"/>
      <c r="L21" s="45"/>
      <c r="M21" s="32">
        <v>0</v>
      </c>
      <c r="N21" s="33">
        <v>0</v>
      </c>
      <c r="O21" s="867"/>
      <c r="P21" s="39">
        <f t="shared" si="1"/>
        <v>0</v>
      </c>
      <c r="Q21" s="325">
        <f t="shared" si="0"/>
        <v>0</v>
      </c>
      <c r="R21" s="379">
        <v>0</v>
      </c>
    </row>
    <row r="22" spans="1:18" ht="18" thickBot="1" x14ac:dyDescent="0.35">
      <c r="A22" s="23"/>
      <c r="B22" s="24">
        <v>44910</v>
      </c>
      <c r="C22" s="25"/>
      <c r="D22" s="35"/>
      <c r="E22" s="27">
        <v>44910</v>
      </c>
      <c r="F22" s="28"/>
      <c r="G22" s="572"/>
      <c r="H22" s="29">
        <v>44910</v>
      </c>
      <c r="I22" s="30"/>
      <c r="J22" s="37"/>
      <c r="K22" s="773"/>
      <c r="L22" s="49"/>
      <c r="M22" s="32">
        <v>0</v>
      </c>
      <c r="N22" s="33">
        <v>0</v>
      </c>
      <c r="P22" s="39">
        <f t="shared" si="1"/>
        <v>0</v>
      </c>
      <c r="Q22" s="325">
        <f t="shared" si="0"/>
        <v>0</v>
      </c>
      <c r="R22" s="379">
        <v>0</v>
      </c>
    </row>
    <row r="23" spans="1:18" ht="18" customHeight="1" thickBot="1" x14ac:dyDescent="0.35">
      <c r="A23" s="23"/>
      <c r="B23" s="24">
        <v>44911</v>
      </c>
      <c r="C23" s="25"/>
      <c r="D23" s="35"/>
      <c r="E23" s="27">
        <v>44911</v>
      </c>
      <c r="F23" s="28"/>
      <c r="G23" s="572"/>
      <c r="H23" s="29">
        <v>44911</v>
      </c>
      <c r="I23" s="30"/>
      <c r="J23" s="50"/>
      <c r="K23" s="172"/>
      <c r="L23" s="45"/>
      <c r="M23" s="32">
        <v>0</v>
      </c>
      <c r="N23" s="33">
        <v>0</v>
      </c>
      <c r="O23" s="31"/>
      <c r="P23" s="39">
        <f t="shared" si="1"/>
        <v>0</v>
      </c>
      <c r="Q23" s="325">
        <f t="shared" si="0"/>
        <v>0</v>
      </c>
      <c r="R23" s="379">
        <v>0</v>
      </c>
    </row>
    <row r="24" spans="1:18" ht="18" customHeight="1" thickBot="1" x14ac:dyDescent="0.35">
      <c r="A24" s="23"/>
      <c r="B24" s="24">
        <v>44912</v>
      </c>
      <c r="C24" s="25"/>
      <c r="D24" s="42"/>
      <c r="E24" s="27">
        <v>44912</v>
      </c>
      <c r="F24" s="28"/>
      <c r="G24" s="572"/>
      <c r="H24" s="29">
        <v>44912</v>
      </c>
      <c r="I24" s="30"/>
      <c r="J24" s="51"/>
      <c r="K24" s="172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79">
        <v>0</v>
      </c>
    </row>
    <row r="25" spans="1:18" ht="18" thickBot="1" x14ac:dyDescent="0.35">
      <c r="A25" s="23"/>
      <c r="B25" s="24">
        <v>44913</v>
      </c>
      <c r="C25" s="25"/>
      <c r="D25" s="35"/>
      <c r="E25" s="27">
        <v>44913</v>
      </c>
      <c r="F25" s="28"/>
      <c r="G25" s="572"/>
      <c r="H25" s="29">
        <v>44913</v>
      </c>
      <c r="I25" s="30"/>
      <c r="J25" s="50"/>
      <c r="K25" s="38"/>
      <c r="L25" s="54"/>
      <c r="M25" s="32">
        <v>0</v>
      </c>
      <c r="N25" s="33">
        <v>0</v>
      </c>
      <c r="O25" s="867"/>
      <c r="P25" s="283">
        <f t="shared" si="1"/>
        <v>0</v>
      </c>
      <c r="Q25" s="325">
        <f t="shared" si="0"/>
        <v>0</v>
      </c>
      <c r="R25" s="379">
        <v>0</v>
      </c>
    </row>
    <row r="26" spans="1:18" ht="18" thickBot="1" x14ac:dyDescent="0.35">
      <c r="A26" s="23"/>
      <c r="B26" s="24">
        <v>44914</v>
      </c>
      <c r="C26" s="25"/>
      <c r="D26" s="35"/>
      <c r="E26" s="27">
        <v>44914</v>
      </c>
      <c r="F26" s="28"/>
      <c r="G26" s="572"/>
      <c r="H26" s="29">
        <v>44914</v>
      </c>
      <c r="I26" s="30"/>
      <c r="J26" s="37"/>
      <c r="K26" s="728"/>
      <c r="L26" s="729"/>
      <c r="M26" s="32">
        <v>0</v>
      </c>
      <c r="N26" s="33">
        <v>0</v>
      </c>
      <c r="O26" s="867"/>
      <c r="P26" s="283">
        <f t="shared" si="1"/>
        <v>0</v>
      </c>
      <c r="Q26" s="325">
        <f t="shared" si="0"/>
        <v>0</v>
      </c>
      <c r="R26" s="379">
        <v>0</v>
      </c>
    </row>
    <row r="27" spans="1:18" ht="18" customHeight="1" thickBot="1" x14ac:dyDescent="0.35">
      <c r="A27" s="23"/>
      <c r="B27" s="24">
        <v>44915</v>
      </c>
      <c r="C27" s="25"/>
      <c r="D27" s="42"/>
      <c r="E27" s="27">
        <v>44915</v>
      </c>
      <c r="F27" s="28"/>
      <c r="G27" s="572"/>
      <c r="H27" s="29">
        <v>44915</v>
      </c>
      <c r="I27" s="30"/>
      <c r="J27" s="55"/>
      <c r="K27" s="174"/>
      <c r="L27" s="54"/>
      <c r="M27" s="32">
        <v>0</v>
      </c>
      <c r="N27" s="33">
        <v>0</v>
      </c>
      <c r="O27" s="867"/>
      <c r="P27" s="283">
        <f t="shared" si="1"/>
        <v>0</v>
      </c>
      <c r="Q27" s="325">
        <f t="shared" si="0"/>
        <v>0</v>
      </c>
      <c r="R27" s="379">
        <v>0</v>
      </c>
    </row>
    <row r="28" spans="1:18" ht="18" customHeight="1" thickBot="1" x14ac:dyDescent="0.35">
      <c r="A28" s="23"/>
      <c r="B28" s="24">
        <v>44916</v>
      </c>
      <c r="C28" s="25"/>
      <c r="D28" s="42"/>
      <c r="E28" s="27">
        <v>44916</v>
      </c>
      <c r="F28" s="28"/>
      <c r="G28" s="572"/>
      <c r="H28" s="29">
        <v>44916</v>
      </c>
      <c r="I28" s="30"/>
      <c r="J28" s="56"/>
      <c r="K28" s="57"/>
      <c r="L28" s="54"/>
      <c r="M28" s="32">
        <v>0</v>
      </c>
      <c r="N28" s="33">
        <v>0</v>
      </c>
      <c r="O28" s="867"/>
      <c r="P28" s="283">
        <f t="shared" si="1"/>
        <v>0</v>
      </c>
      <c r="Q28" s="325">
        <f t="shared" si="0"/>
        <v>0</v>
      </c>
      <c r="R28" s="379">
        <v>0</v>
      </c>
    </row>
    <row r="29" spans="1:18" ht="18" thickBot="1" x14ac:dyDescent="0.35">
      <c r="A29" s="23"/>
      <c r="B29" s="24">
        <v>44917</v>
      </c>
      <c r="C29" s="25"/>
      <c r="D29" s="58"/>
      <c r="E29" s="27">
        <v>44917</v>
      </c>
      <c r="F29" s="28"/>
      <c r="G29" s="572"/>
      <c r="H29" s="29">
        <v>44917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79">
        <v>0</v>
      </c>
    </row>
    <row r="30" spans="1:18" ht="18" thickBot="1" x14ac:dyDescent="0.35">
      <c r="A30" s="23"/>
      <c r="B30" s="24">
        <v>44918</v>
      </c>
      <c r="C30" s="25"/>
      <c r="D30" s="58"/>
      <c r="E30" s="27">
        <v>44918</v>
      </c>
      <c r="F30" s="28"/>
      <c r="G30" s="572"/>
      <c r="H30" s="29">
        <v>44918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>
        <f t="shared" si="0"/>
        <v>0</v>
      </c>
      <c r="R30" s="379">
        <v>0</v>
      </c>
    </row>
    <row r="31" spans="1:18" ht="18" thickBot="1" x14ac:dyDescent="0.35">
      <c r="A31" s="23"/>
      <c r="B31" s="24">
        <v>44919</v>
      </c>
      <c r="C31" s="25"/>
      <c r="D31" s="67"/>
      <c r="E31" s="27">
        <v>44919</v>
      </c>
      <c r="F31" s="28"/>
      <c r="G31" s="572"/>
      <c r="H31" s="29">
        <v>44919</v>
      </c>
      <c r="I31" s="30"/>
      <c r="J31" s="56"/>
      <c r="K31" s="821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79">
        <v>0</v>
      </c>
    </row>
    <row r="32" spans="1:18" ht="18" thickBot="1" x14ac:dyDescent="0.35">
      <c r="A32" s="23"/>
      <c r="B32" s="24">
        <v>44920</v>
      </c>
      <c r="C32" s="25"/>
      <c r="D32" s="64"/>
      <c r="E32" s="27">
        <v>44920</v>
      </c>
      <c r="F32" s="28"/>
      <c r="G32" s="572"/>
      <c r="H32" s="29">
        <v>44920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79">
        <v>0</v>
      </c>
    </row>
    <row r="33" spans="1:18" ht="18" thickBot="1" x14ac:dyDescent="0.35">
      <c r="A33" s="23"/>
      <c r="B33" s="24">
        <v>44921</v>
      </c>
      <c r="C33" s="25"/>
      <c r="D33" s="64"/>
      <c r="E33" s="27">
        <v>44921</v>
      </c>
      <c r="F33" s="28"/>
      <c r="G33" s="572"/>
      <c r="H33" s="29">
        <v>44921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79">
        <v>0</v>
      </c>
    </row>
    <row r="34" spans="1:18" ht="18" thickBot="1" x14ac:dyDescent="0.35">
      <c r="A34" s="23"/>
      <c r="B34" s="24">
        <v>44922</v>
      </c>
      <c r="C34" s="25"/>
      <c r="D34" s="64"/>
      <c r="E34" s="27">
        <v>44922</v>
      </c>
      <c r="F34" s="28"/>
      <c r="G34" s="572"/>
      <c r="H34" s="29">
        <v>44922</v>
      </c>
      <c r="I34" s="30"/>
      <c r="J34" s="56"/>
      <c r="K34" s="751"/>
      <c r="L34" s="39"/>
      <c r="M34" s="32">
        <v>0</v>
      </c>
      <c r="N34" s="33">
        <v>0</v>
      </c>
      <c r="P34" s="34">
        <v>0</v>
      </c>
      <c r="Q34" s="325">
        <f t="shared" si="0"/>
        <v>0</v>
      </c>
      <c r="R34" s="379">
        <v>0</v>
      </c>
    </row>
    <row r="35" spans="1:18" ht="18" thickBot="1" x14ac:dyDescent="0.35">
      <c r="A35" s="23"/>
      <c r="B35" s="24">
        <v>44923</v>
      </c>
      <c r="C35" s="690"/>
      <c r="D35" s="67"/>
      <c r="E35" s="27">
        <v>44923</v>
      </c>
      <c r="F35" s="28"/>
      <c r="G35" s="572"/>
      <c r="H35" s="29">
        <v>44923</v>
      </c>
      <c r="I35" s="30"/>
      <c r="J35" s="698"/>
      <c r="K35" s="752"/>
      <c r="L35" s="702"/>
      <c r="M35" s="32">
        <v>0</v>
      </c>
      <c r="N35" s="33">
        <v>0</v>
      </c>
      <c r="P35" s="34">
        <v>0</v>
      </c>
      <c r="Q35" s="325">
        <f t="shared" si="0"/>
        <v>0</v>
      </c>
      <c r="R35" s="379">
        <v>0</v>
      </c>
    </row>
    <row r="36" spans="1:18" ht="18" customHeight="1" thickTop="1" thickBot="1" x14ac:dyDescent="0.35">
      <c r="A36" s="23"/>
      <c r="B36" s="24">
        <v>44924</v>
      </c>
      <c r="C36" s="693"/>
      <c r="D36" s="786"/>
      <c r="E36" s="27">
        <v>44924</v>
      </c>
      <c r="F36" s="28"/>
      <c r="G36" s="662"/>
      <c r="H36" s="29">
        <v>44924</v>
      </c>
      <c r="I36" s="30"/>
      <c r="J36" s="56"/>
      <c r="K36" s="751"/>
      <c r="L36" s="39"/>
      <c r="M36" s="32">
        <v>0</v>
      </c>
      <c r="N36" s="33">
        <v>0</v>
      </c>
      <c r="P36" s="34">
        <v>0</v>
      </c>
      <c r="Q36" s="325">
        <f t="shared" si="0"/>
        <v>0</v>
      </c>
      <c r="R36" s="379">
        <v>0</v>
      </c>
    </row>
    <row r="37" spans="1:18" ht="18" customHeight="1" thickBot="1" x14ac:dyDescent="0.35">
      <c r="A37" s="23"/>
      <c r="B37" s="24">
        <v>44925</v>
      </c>
      <c r="C37" s="692"/>
      <c r="D37" s="742"/>
      <c r="E37" s="27">
        <v>44925</v>
      </c>
      <c r="F37" s="28"/>
      <c r="G37" s="662"/>
      <c r="H37" s="29">
        <v>44925</v>
      </c>
      <c r="I37" s="30"/>
      <c r="J37" s="56"/>
      <c r="K37" s="751"/>
      <c r="L37" s="39"/>
      <c r="M37" s="32">
        <v>0</v>
      </c>
      <c r="N37" s="33">
        <v>0</v>
      </c>
      <c r="P37" s="34">
        <v>0</v>
      </c>
      <c r="Q37" s="325">
        <f t="shared" si="0"/>
        <v>0</v>
      </c>
      <c r="R37" s="379">
        <v>0</v>
      </c>
    </row>
    <row r="38" spans="1:18" ht="18" thickBot="1" x14ac:dyDescent="0.35">
      <c r="A38" s="23"/>
      <c r="B38" s="24">
        <v>44926</v>
      </c>
      <c r="C38" s="692"/>
      <c r="D38" s="742"/>
      <c r="E38" s="27">
        <v>44926</v>
      </c>
      <c r="F38" s="28"/>
      <c r="G38" s="662"/>
      <c r="H38" s="29">
        <v>44926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79">
        <v>0</v>
      </c>
    </row>
    <row r="39" spans="1:18" ht="18" thickBot="1" x14ac:dyDescent="0.35">
      <c r="A39" s="23"/>
      <c r="B39" s="24">
        <v>44927</v>
      </c>
      <c r="C39" s="692"/>
      <c r="D39" s="695"/>
      <c r="E39" s="27">
        <v>44927</v>
      </c>
      <c r="F39" s="508"/>
      <c r="G39" s="662"/>
      <c r="H39" s="29">
        <v>44927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325">
        <f t="shared" si="0"/>
        <v>0</v>
      </c>
      <c r="R39" s="379">
        <v>0</v>
      </c>
    </row>
    <row r="40" spans="1:18" ht="18" thickBot="1" x14ac:dyDescent="0.35">
      <c r="A40" s="23"/>
      <c r="B40" s="24">
        <v>44928</v>
      </c>
      <c r="C40" s="692"/>
      <c r="D40" s="742"/>
      <c r="E40" s="27">
        <v>44928</v>
      </c>
      <c r="F40" s="70"/>
      <c r="G40" s="572"/>
      <c r="H40" s="29">
        <v>44928</v>
      </c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7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/>
      <c r="K41" s="751"/>
      <c r="L41" s="39"/>
      <c r="M41" s="931">
        <f>SUM(M5:M40)</f>
        <v>0</v>
      </c>
      <c r="N41" s="931">
        <f>SUM(N5:N40)</f>
        <v>0</v>
      </c>
      <c r="P41" s="505">
        <f>SUM(P5:P40)</f>
        <v>0</v>
      </c>
      <c r="Q41" s="1063">
        <f>SUM(Q5:Q40)</f>
        <v>0</v>
      </c>
      <c r="R41" s="379">
        <v>0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/>
      <c r="K42" s="752"/>
      <c r="L42" s="702"/>
      <c r="M42" s="932"/>
      <c r="N42" s="932"/>
      <c r="P42" s="34"/>
      <c r="Q42" s="1064"/>
      <c r="R42" s="788">
        <f>SUM(R5:R41)</f>
        <v>0</v>
      </c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751"/>
      <c r="L43" s="39"/>
      <c r="M43" s="885"/>
      <c r="N43" s="885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885"/>
      <c r="N44" s="885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998">
        <f>M41+N41</f>
        <v>0</v>
      </c>
      <c r="N45" s="999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885"/>
      <c r="N46" s="885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622"/>
      <c r="K47" s="804"/>
      <c r="L47" s="624"/>
      <c r="M47" s="885"/>
      <c r="N47" s="885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466"/>
      <c r="K48" s="805"/>
      <c r="L48" s="54"/>
      <c r="M48" s="885"/>
      <c r="N48" s="885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803"/>
      <c r="L49" s="69"/>
      <c r="M49" s="885"/>
      <c r="N49" s="885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803"/>
      <c r="L50" s="69"/>
      <c r="M50" s="885"/>
      <c r="N50" s="885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803"/>
      <c r="L51" s="69"/>
      <c r="M51" s="885"/>
      <c r="N51" s="885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803"/>
      <c r="L52" s="69"/>
      <c r="M52" s="885"/>
      <c r="N52" s="885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803"/>
      <c r="L53" s="69"/>
      <c r="M53" s="885"/>
      <c r="N53" s="885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802"/>
      <c r="L54" s="69"/>
      <c r="M54" s="885"/>
      <c r="N54" s="885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803"/>
      <c r="L55" s="69"/>
      <c r="M55" s="885"/>
      <c r="N55" s="885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802"/>
      <c r="L56" s="69"/>
      <c r="M56" s="885"/>
      <c r="N56" s="885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803"/>
      <c r="L57" s="69"/>
      <c r="M57" s="885"/>
      <c r="N57" s="885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01"/>
      <c r="K58" s="803"/>
      <c r="L58" s="69"/>
      <c r="M58" s="885"/>
      <c r="N58" s="885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601"/>
      <c r="K59" s="671"/>
      <c r="L59" s="69"/>
      <c r="M59" s="885"/>
      <c r="N59" s="885"/>
      <c r="P59" s="34"/>
      <c r="Q59" s="13"/>
    </row>
    <row r="60" spans="1:17" ht="16.5" thickBot="1" x14ac:dyDescent="0.3">
      <c r="A60" s="23"/>
      <c r="B60" s="24"/>
      <c r="C60" s="25"/>
      <c r="D60" s="822"/>
      <c r="E60" s="74"/>
      <c r="F60" s="72"/>
      <c r="G60" s="572"/>
      <c r="H60" s="823"/>
      <c r="I60" s="77"/>
      <c r="J60" s="801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824"/>
      <c r="C61" s="596"/>
      <c r="D61" s="822"/>
      <c r="E61" s="825"/>
      <c r="F61" s="34"/>
      <c r="G61" s="572"/>
      <c r="H61" s="76"/>
      <c r="I61" s="34"/>
      <c r="J61" s="557"/>
      <c r="K61" s="671"/>
      <c r="L61" s="69"/>
      <c r="M61" s="34"/>
      <c r="N61" s="34"/>
      <c r="P61" s="34"/>
      <c r="Q61" s="13"/>
    </row>
    <row r="62" spans="1:17" ht="16.5" hidden="1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hidden="1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hidden="1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hidden="1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0</v>
      </c>
      <c r="D67" s="88"/>
      <c r="E67" s="91" t="s">
        <v>8</v>
      </c>
      <c r="F67" s="90">
        <f>SUM(F5:F60)</f>
        <v>0</v>
      </c>
      <c r="G67" s="573"/>
      <c r="H67" s="91" t="s">
        <v>9</v>
      </c>
      <c r="I67" s="92">
        <f>SUM(I5:I60)</f>
        <v>0</v>
      </c>
      <c r="J67" s="93"/>
      <c r="K67" s="94" t="s">
        <v>10</v>
      </c>
      <c r="L67" s="95">
        <f>SUM(L5:L65)-L26</f>
        <v>0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908" t="s">
        <v>11</v>
      </c>
      <c r="I69" s="909"/>
      <c r="J69" s="559"/>
      <c r="K69" s="1033">
        <f>I67+L67</f>
        <v>0</v>
      </c>
      <c r="L69" s="1034"/>
      <c r="M69" s="272"/>
      <c r="N69" s="272"/>
      <c r="P69" s="34"/>
      <c r="Q69" s="13"/>
    </row>
    <row r="70" spans="1:17" x14ac:dyDescent="0.25">
      <c r="D70" s="914" t="s">
        <v>12</v>
      </c>
      <c r="E70" s="914"/>
      <c r="F70" s="312">
        <f>F67-K69-C67</f>
        <v>0</v>
      </c>
      <c r="I70" s="102"/>
      <c r="J70" s="560"/>
    </row>
    <row r="71" spans="1:17" ht="18.75" x14ac:dyDescent="0.3">
      <c r="D71" s="938" t="s">
        <v>95</v>
      </c>
      <c r="E71" s="938"/>
      <c r="F71" s="111">
        <v>0</v>
      </c>
      <c r="I71" s="915" t="s">
        <v>13</v>
      </c>
      <c r="J71" s="916"/>
      <c r="K71" s="917">
        <f>F73+F74+F75</f>
        <v>0</v>
      </c>
      <c r="L71" s="917"/>
      <c r="M71" s="404"/>
      <c r="N71" s="404"/>
      <c r="O71" s="826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826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0</v>
      </c>
      <c r="H73" s="555"/>
      <c r="I73" s="108" t="s">
        <v>15</v>
      </c>
      <c r="J73" s="109"/>
      <c r="K73" s="1029">
        <f>-C4</f>
        <v>-3445405.07</v>
      </c>
      <c r="L73" s="917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897" t="s">
        <v>18</v>
      </c>
      <c r="E75" s="898"/>
      <c r="F75" s="113">
        <v>0</v>
      </c>
      <c r="I75" s="1060" t="s">
        <v>198</v>
      </c>
      <c r="J75" s="1061"/>
      <c r="K75" s="1062">
        <f>K71+K73</f>
        <v>-3445405.07</v>
      </c>
      <c r="L75" s="1062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D70:E70"/>
    <mergeCell ref="D71:E71"/>
    <mergeCell ref="I71:J71"/>
    <mergeCell ref="K71:L71"/>
    <mergeCell ref="K73:L73"/>
    <mergeCell ref="D75:E75"/>
    <mergeCell ref="I75:J75"/>
    <mergeCell ref="K75:L75"/>
    <mergeCell ref="M41:M42"/>
    <mergeCell ref="N41:N42"/>
    <mergeCell ref="Q41:Q42"/>
    <mergeCell ref="M45:N45"/>
    <mergeCell ref="H69:I69"/>
    <mergeCell ref="K69:L69"/>
    <mergeCell ref="B1:B2"/>
    <mergeCell ref="C1:M1"/>
    <mergeCell ref="B3:C3"/>
    <mergeCell ref="H3:I3"/>
    <mergeCell ref="P3:P4"/>
    <mergeCell ref="R3:R4"/>
    <mergeCell ref="E4:F4"/>
    <mergeCell ref="H4:I4"/>
  </mergeCells>
  <pageMargins left="0.23622047244094491" right="0.23622047244094491" top="0.31496062992125984" bottom="0.27559055118110237" header="0.31496062992125984" footer="0.31496062992125984"/>
  <pageSetup paperSize="5" scale="80" orientation="landscape" horizontalDpi="0" verticalDpi="0" r:id="rId1"/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B1:N123"/>
  <sheetViews>
    <sheetView workbookViewId="0">
      <selection activeCell="J22" sqref="J22"/>
    </sheetView>
  </sheetViews>
  <sheetFormatPr baseColWidth="10" defaultRowHeight="15" x14ac:dyDescent="0.25"/>
  <cols>
    <col min="1" max="1" width="3.85546875" customWidth="1"/>
    <col min="2" max="2" width="13.42578125" style="455" bestFit="1" customWidth="1"/>
    <col min="3" max="3" width="14.7109375" style="162" customWidth="1"/>
    <col min="4" max="4" width="17.5703125" style="4" bestFit="1" customWidth="1"/>
    <col min="5" max="5" width="12.42578125" style="257" bestFit="1" customWidth="1"/>
    <col min="6" max="6" width="15.5703125" style="4" bestFit="1" customWidth="1"/>
    <col min="7" max="7" width="19.5703125" style="3" bestFit="1" customWidth="1"/>
    <col min="8" max="8" width="8.42578125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2:14" ht="43.5" thickTop="1" thickBot="1" x14ac:dyDescent="0.3">
      <c r="B1" s="450" t="s">
        <v>317</v>
      </c>
      <c r="C1" s="436"/>
      <c r="D1" s="292"/>
      <c r="E1" s="371"/>
      <c r="F1" s="292"/>
      <c r="G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2:14" ht="21.75" customHeight="1" thickTop="1" thickBot="1" x14ac:dyDescent="0.35">
      <c r="B2" s="846" t="s">
        <v>19</v>
      </c>
      <c r="C2" s="847" t="s">
        <v>20</v>
      </c>
      <c r="D2" s="848" t="s">
        <v>21</v>
      </c>
      <c r="E2" s="849" t="s">
        <v>22</v>
      </c>
      <c r="F2" s="850" t="s">
        <v>23</v>
      </c>
      <c r="G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2:14" ht="24" customHeight="1" thickTop="1" x14ac:dyDescent="0.25">
      <c r="B3" s="844"/>
      <c r="C3" s="845"/>
      <c r="D3" s="307"/>
      <c r="E3" s="732"/>
      <c r="F3" s="307"/>
      <c r="G3" s="410">
        <f>D3-F3</f>
        <v>0</v>
      </c>
      <c r="I3" s="1072"/>
      <c r="J3" s="391"/>
      <c r="K3" s="392"/>
      <c r="L3" s="732"/>
      <c r="M3" s="349"/>
      <c r="N3" s="183">
        <f>K3-M3</f>
        <v>0</v>
      </c>
    </row>
    <row r="4" spans="2:14" ht="18.75" x14ac:dyDescent="0.3">
      <c r="B4" s="454"/>
      <c r="C4" s="246"/>
      <c r="D4" s="111"/>
      <c r="E4" s="412"/>
      <c r="F4" s="111"/>
      <c r="G4" s="544">
        <f t="shared" ref="G4:G65" si="0">D4-F4</f>
        <v>0</v>
      </c>
      <c r="H4" s="138"/>
      <c r="I4" s="393"/>
      <c r="J4" s="391"/>
      <c r="K4" s="392"/>
      <c r="L4" s="732"/>
      <c r="M4" s="349"/>
      <c r="N4" s="137">
        <f>N3+K4-M4</f>
        <v>0</v>
      </c>
    </row>
    <row r="5" spans="2:14" ht="15.75" x14ac:dyDescent="0.25">
      <c r="B5" s="454"/>
      <c r="C5" s="246"/>
      <c r="D5" s="111"/>
      <c r="E5" s="412"/>
      <c r="F5" s="111"/>
      <c r="G5" s="544">
        <f t="shared" si="0"/>
        <v>0</v>
      </c>
      <c r="I5" s="393"/>
      <c r="J5" s="391"/>
      <c r="K5" s="392"/>
      <c r="L5" s="732"/>
      <c r="M5" s="349"/>
      <c r="N5" s="137">
        <f t="shared" ref="N5:N65" si="1">N4+K5-M5</f>
        <v>0</v>
      </c>
    </row>
    <row r="6" spans="2:14" ht="15.75" x14ac:dyDescent="0.25">
      <c r="B6" s="454"/>
      <c r="C6" s="246"/>
      <c r="D6" s="111"/>
      <c r="E6" s="412"/>
      <c r="F6" s="111"/>
      <c r="G6" s="544">
        <f t="shared" si="0"/>
        <v>0</v>
      </c>
      <c r="I6" s="393"/>
      <c r="J6" s="391"/>
      <c r="K6" s="392"/>
      <c r="L6" s="732"/>
      <c r="M6" s="349"/>
      <c r="N6" s="137">
        <f t="shared" si="1"/>
        <v>0</v>
      </c>
    </row>
    <row r="7" spans="2:14" ht="15.75" x14ac:dyDescent="0.25">
      <c r="B7" s="454"/>
      <c r="C7" s="246"/>
      <c r="D7" s="111"/>
      <c r="E7" s="412"/>
      <c r="F7" s="111"/>
      <c r="G7" s="544">
        <f t="shared" si="0"/>
        <v>0</v>
      </c>
      <c r="I7" s="393"/>
      <c r="J7" s="391"/>
      <c r="K7" s="392"/>
      <c r="L7" s="732"/>
      <c r="M7" s="349"/>
      <c r="N7" s="137">
        <f t="shared" si="1"/>
        <v>0</v>
      </c>
    </row>
    <row r="8" spans="2:14" ht="15.75" x14ac:dyDescent="0.25">
      <c r="B8" s="454"/>
      <c r="C8" s="246"/>
      <c r="D8" s="111"/>
      <c r="E8" s="412"/>
      <c r="F8" s="111"/>
      <c r="G8" s="544">
        <f t="shared" si="0"/>
        <v>0</v>
      </c>
      <c r="I8" s="393"/>
      <c r="J8" s="391"/>
      <c r="K8" s="392"/>
      <c r="L8" s="732"/>
      <c r="M8" s="349"/>
      <c r="N8" s="137">
        <f t="shared" si="1"/>
        <v>0</v>
      </c>
    </row>
    <row r="9" spans="2:14" ht="15.75" x14ac:dyDescent="0.25">
      <c r="B9" s="454"/>
      <c r="C9" s="246"/>
      <c r="D9" s="111"/>
      <c r="E9" s="412"/>
      <c r="F9" s="111"/>
      <c r="G9" s="544">
        <f t="shared" si="0"/>
        <v>0</v>
      </c>
      <c r="I9" s="393"/>
      <c r="J9" s="391"/>
      <c r="K9" s="392"/>
      <c r="L9" s="732"/>
      <c r="M9" s="349"/>
      <c r="N9" s="137">
        <f t="shared" si="1"/>
        <v>0</v>
      </c>
    </row>
    <row r="10" spans="2:14" ht="18.75" x14ac:dyDescent="0.3">
      <c r="B10" s="454"/>
      <c r="C10" s="246"/>
      <c r="D10" s="111"/>
      <c r="E10" s="412"/>
      <c r="F10" s="111"/>
      <c r="G10" s="544">
        <f t="shared" si="0"/>
        <v>0</v>
      </c>
      <c r="H10" s="138"/>
      <c r="I10" s="393"/>
      <c r="J10" s="391"/>
      <c r="K10" s="392"/>
      <c r="L10" s="732"/>
      <c r="M10" s="349"/>
      <c r="N10" s="137">
        <f t="shared" si="1"/>
        <v>0</v>
      </c>
    </row>
    <row r="11" spans="2:14" ht="15.75" x14ac:dyDescent="0.25">
      <c r="B11" s="454"/>
      <c r="C11" s="246"/>
      <c r="D11" s="111"/>
      <c r="E11" s="412"/>
      <c r="F11" s="111"/>
      <c r="G11" s="544">
        <f t="shared" si="0"/>
        <v>0</v>
      </c>
      <c r="I11" s="393"/>
      <c r="J11" s="391"/>
      <c r="K11" s="392"/>
      <c r="L11" s="732"/>
      <c r="M11" s="349"/>
      <c r="N11" s="137">
        <f t="shared" si="1"/>
        <v>0</v>
      </c>
    </row>
    <row r="12" spans="2:14" ht="15.75" x14ac:dyDescent="0.25">
      <c r="B12" s="454"/>
      <c r="C12" s="246"/>
      <c r="D12" s="111"/>
      <c r="E12" s="412"/>
      <c r="F12" s="111"/>
      <c r="G12" s="544">
        <f t="shared" si="0"/>
        <v>0</v>
      </c>
      <c r="I12" s="393"/>
      <c r="J12" s="391"/>
      <c r="K12" s="392"/>
      <c r="L12" s="732"/>
      <c r="M12" s="349"/>
      <c r="N12" s="137">
        <f t="shared" si="1"/>
        <v>0</v>
      </c>
    </row>
    <row r="13" spans="2:14" ht="15.75" x14ac:dyDescent="0.25">
      <c r="B13" s="454"/>
      <c r="C13" s="246"/>
      <c r="D13" s="111"/>
      <c r="E13" s="412"/>
      <c r="F13" s="111"/>
      <c r="G13" s="544">
        <f t="shared" si="0"/>
        <v>0</v>
      </c>
      <c r="I13" s="393"/>
      <c r="J13" s="391"/>
      <c r="K13" s="392"/>
      <c r="L13" s="732"/>
      <c r="M13" s="349"/>
      <c r="N13" s="137">
        <f t="shared" si="1"/>
        <v>0</v>
      </c>
    </row>
    <row r="14" spans="2:14" ht="15.75" x14ac:dyDescent="0.25">
      <c r="B14" s="454"/>
      <c r="C14" s="246"/>
      <c r="D14" s="111"/>
      <c r="E14" s="412"/>
      <c r="F14" s="111"/>
      <c r="G14" s="544">
        <f t="shared" si="0"/>
        <v>0</v>
      </c>
      <c r="I14" s="393"/>
      <c r="J14" s="391"/>
      <c r="K14" s="392"/>
      <c r="L14" s="732"/>
      <c r="M14" s="349"/>
      <c r="N14" s="137">
        <f t="shared" si="1"/>
        <v>0</v>
      </c>
    </row>
    <row r="15" spans="2:14" ht="15.75" x14ac:dyDescent="0.25">
      <c r="B15" s="454"/>
      <c r="C15" s="246"/>
      <c r="D15" s="111"/>
      <c r="E15" s="412"/>
      <c r="F15" s="111"/>
      <c r="G15" s="544">
        <f t="shared" si="0"/>
        <v>0</v>
      </c>
      <c r="I15" s="393"/>
      <c r="J15" s="391"/>
      <c r="K15" s="392"/>
      <c r="L15" s="732"/>
      <c r="M15" s="349"/>
      <c r="N15" s="137">
        <f t="shared" si="1"/>
        <v>0</v>
      </c>
    </row>
    <row r="16" spans="2:14" ht="15.75" x14ac:dyDescent="0.25">
      <c r="B16" s="454"/>
      <c r="C16" s="246"/>
      <c r="D16" s="111"/>
      <c r="E16" s="412"/>
      <c r="F16" s="111"/>
      <c r="G16" s="544">
        <f t="shared" si="0"/>
        <v>0</v>
      </c>
      <c r="I16" s="393"/>
      <c r="J16" s="391"/>
      <c r="K16" s="392"/>
      <c r="L16" s="732"/>
      <c r="M16" s="349"/>
      <c r="N16" s="137">
        <f t="shared" si="1"/>
        <v>0</v>
      </c>
    </row>
    <row r="17" spans="2:14" ht="15.75" x14ac:dyDescent="0.25">
      <c r="B17" s="454"/>
      <c r="C17" s="246"/>
      <c r="D17" s="111"/>
      <c r="E17" s="412"/>
      <c r="F17" s="111"/>
      <c r="G17" s="544">
        <f t="shared" si="0"/>
        <v>0</v>
      </c>
      <c r="I17" s="393"/>
      <c r="J17" s="391"/>
      <c r="K17" s="392"/>
      <c r="L17" s="732"/>
      <c r="M17" s="349"/>
      <c r="N17" s="137">
        <f t="shared" si="1"/>
        <v>0</v>
      </c>
    </row>
    <row r="18" spans="2:14" ht="15.75" x14ac:dyDescent="0.25">
      <c r="B18" s="454"/>
      <c r="C18" s="246"/>
      <c r="D18" s="111"/>
      <c r="E18" s="412"/>
      <c r="F18" s="111"/>
      <c r="G18" s="544">
        <f t="shared" si="0"/>
        <v>0</v>
      </c>
      <c r="I18" s="393"/>
      <c r="J18" s="391"/>
      <c r="K18" s="392"/>
      <c r="L18" s="732"/>
      <c r="M18" s="349"/>
      <c r="N18" s="137">
        <f t="shared" si="1"/>
        <v>0</v>
      </c>
    </row>
    <row r="19" spans="2:14" ht="15.75" x14ac:dyDescent="0.25">
      <c r="B19" s="454"/>
      <c r="C19" s="246"/>
      <c r="D19" s="111"/>
      <c r="E19" s="412"/>
      <c r="F19" s="111"/>
      <c r="G19" s="544">
        <f t="shared" si="0"/>
        <v>0</v>
      </c>
      <c r="I19" s="393"/>
      <c r="J19" s="391"/>
      <c r="K19" s="392"/>
      <c r="L19" s="732"/>
      <c r="M19" s="349"/>
      <c r="N19" s="137">
        <f t="shared" si="1"/>
        <v>0</v>
      </c>
    </row>
    <row r="20" spans="2:14" ht="17.25" x14ac:dyDescent="0.3">
      <c r="B20" s="454"/>
      <c r="C20" s="246"/>
      <c r="D20" s="111"/>
      <c r="E20" s="412"/>
      <c r="F20" s="111"/>
      <c r="G20" s="544">
        <f t="shared" si="0"/>
        <v>0</v>
      </c>
      <c r="I20" s="393"/>
      <c r="J20" s="391"/>
      <c r="K20" s="392"/>
      <c r="L20" s="732"/>
      <c r="M20" s="706"/>
      <c r="N20" s="137">
        <f t="shared" si="1"/>
        <v>0</v>
      </c>
    </row>
    <row r="21" spans="2:14" ht="17.25" x14ac:dyDescent="0.3">
      <c r="B21" s="454"/>
      <c r="C21" s="246"/>
      <c r="D21" s="111"/>
      <c r="E21" s="412"/>
      <c r="F21" s="111"/>
      <c r="G21" s="544">
        <f t="shared" si="0"/>
        <v>0</v>
      </c>
      <c r="I21" s="393"/>
      <c r="J21" s="391"/>
      <c r="K21" s="392"/>
      <c r="L21" s="732"/>
      <c r="M21" s="706"/>
      <c r="N21" s="137">
        <f t="shared" si="1"/>
        <v>0</v>
      </c>
    </row>
    <row r="22" spans="2:14" ht="18.75" x14ac:dyDescent="0.3">
      <c r="B22" s="454"/>
      <c r="C22" s="246"/>
      <c r="D22" s="111"/>
      <c r="E22" s="412"/>
      <c r="F22" s="111"/>
      <c r="G22" s="544">
        <f t="shared" si="0"/>
        <v>0</v>
      </c>
      <c r="H22" s="644"/>
      <c r="I22" s="393"/>
      <c r="J22" s="391"/>
      <c r="K22" s="392"/>
      <c r="L22" s="732"/>
      <c r="M22" s="706"/>
      <c r="N22" s="137">
        <f t="shared" si="1"/>
        <v>0</v>
      </c>
    </row>
    <row r="23" spans="2:14" ht="15.75" x14ac:dyDescent="0.25">
      <c r="B23" s="454"/>
      <c r="C23" s="246"/>
      <c r="D23" s="111"/>
      <c r="E23" s="412"/>
      <c r="F23" s="111"/>
      <c r="G23" s="544">
        <f t="shared" si="0"/>
        <v>0</v>
      </c>
      <c r="H23" s="2"/>
      <c r="I23" s="393"/>
      <c r="J23" s="391"/>
      <c r="K23" s="392"/>
      <c r="L23" s="412"/>
      <c r="M23" s="111"/>
      <c r="N23" s="137">
        <f t="shared" si="1"/>
        <v>0</v>
      </c>
    </row>
    <row r="24" spans="2:14" ht="21" customHeight="1" x14ac:dyDescent="0.25">
      <c r="B24" s="454"/>
      <c r="C24" s="246"/>
      <c r="D24" s="111"/>
      <c r="E24" s="412"/>
      <c r="F24" s="111"/>
      <c r="G24" s="544">
        <f t="shared" si="0"/>
        <v>0</v>
      </c>
      <c r="H24" s="2"/>
      <c r="I24" s="393"/>
      <c r="J24" s="391"/>
      <c r="K24" s="392"/>
      <c r="L24" s="412"/>
      <c r="M24" s="111"/>
      <c r="N24" s="137">
        <f t="shared" si="1"/>
        <v>0</v>
      </c>
    </row>
    <row r="25" spans="2:14" ht="15.75" x14ac:dyDescent="0.25">
      <c r="B25" s="454"/>
      <c r="C25" s="246"/>
      <c r="D25" s="111"/>
      <c r="E25" s="412"/>
      <c r="F25" s="111"/>
      <c r="G25" s="544">
        <f t="shared" si="0"/>
        <v>0</v>
      </c>
      <c r="H25" s="645"/>
      <c r="I25" s="393"/>
      <c r="J25" s="391"/>
      <c r="K25" s="392"/>
      <c r="L25" s="412"/>
      <c r="M25" s="111"/>
      <c r="N25" s="137">
        <f t="shared" si="1"/>
        <v>0</v>
      </c>
    </row>
    <row r="26" spans="2:14" ht="15.75" x14ac:dyDescent="0.25">
      <c r="B26" s="454"/>
      <c r="C26" s="246"/>
      <c r="D26" s="111"/>
      <c r="E26" s="412"/>
      <c r="F26" s="111"/>
      <c r="G26" s="544">
        <f t="shared" si="0"/>
        <v>0</v>
      </c>
      <c r="H26" s="645"/>
      <c r="I26" s="393"/>
      <c r="J26" s="391"/>
      <c r="K26" s="392"/>
      <c r="L26" s="412"/>
      <c r="M26" s="111"/>
      <c r="N26" s="137">
        <f t="shared" si="1"/>
        <v>0</v>
      </c>
    </row>
    <row r="27" spans="2:14" ht="15.75" x14ac:dyDescent="0.25">
      <c r="B27" s="454"/>
      <c r="C27" s="246"/>
      <c r="D27" s="111"/>
      <c r="E27" s="412"/>
      <c r="F27" s="111"/>
      <c r="G27" s="544">
        <f t="shared" si="0"/>
        <v>0</v>
      </c>
      <c r="H27" s="645"/>
      <c r="I27" s="393"/>
      <c r="J27" s="391"/>
      <c r="K27" s="392"/>
      <c r="L27" s="412"/>
      <c r="M27" s="111"/>
      <c r="N27" s="137">
        <f t="shared" si="1"/>
        <v>0</v>
      </c>
    </row>
    <row r="28" spans="2:14" ht="15.75" x14ac:dyDescent="0.25">
      <c r="B28" s="454"/>
      <c r="C28" s="246"/>
      <c r="D28" s="111"/>
      <c r="E28" s="412"/>
      <c r="F28" s="111"/>
      <c r="G28" s="544">
        <f t="shared" si="0"/>
        <v>0</v>
      </c>
      <c r="H28" s="645"/>
      <c r="I28" s="393"/>
      <c r="J28" s="391"/>
      <c r="K28" s="392"/>
      <c r="L28" s="412"/>
      <c r="M28" s="111"/>
      <c r="N28" s="137">
        <f t="shared" si="1"/>
        <v>0</v>
      </c>
    </row>
    <row r="29" spans="2:14" ht="15.75" x14ac:dyDescent="0.25">
      <c r="B29" s="454"/>
      <c r="C29" s="246"/>
      <c r="D29" s="111"/>
      <c r="E29" s="412"/>
      <c r="F29" s="111"/>
      <c r="G29" s="544">
        <f t="shared" si="0"/>
        <v>0</v>
      </c>
      <c r="H29" s="645"/>
      <c r="I29" s="862"/>
      <c r="J29" s="347"/>
      <c r="K29" s="349"/>
      <c r="L29" s="412"/>
      <c r="M29" s="111"/>
      <c r="N29" s="137">
        <f t="shared" si="1"/>
        <v>0</v>
      </c>
    </row>
    <row r="30" spans="2:14" ht="15.75" x14ac:dyDescent="0.25">
      <c r="B30" s="454"/>
      <c r="C30" s="246"/>
      <c r="D30" s="111"/>
      <c r="E30" s="412"/>
      <c r="F30" s="111"/>
      <c r="G30" s="544">
        <f t="shared" si="0"/>
        <v>0</v>
      </c>
      <c r="H30" s="645"/>
      <c r="I30" s="862"/>
      <c r="J30" s="347"/>
      <c r="K30" s="349"/>
      <c r="L30" s="412"/>
      <c r="M30" s="111"/>
      <c r="N30" s="137">
        <f t="shared" si="1"/>
        <v>0</v>
      </c>
    </row>
    <row r="31" spans="2:14" ht="15.75" x14ac:dyDescent="0.25">
      <c r="B31" s="454"/>
      <c r="C31" s="246"/>
      <c r="D31" s="111"/>
      <c r="E31" s="412"/>
      <c r="F31" s="111"/>
      <c r="G31" s="544">
        <f t="shared" si="0"/>
        <v>0</v>
      </c>
      <c r="H31" s="2"/>
      <c r="I31" s="862"/>
      <c r="J31" s="347"/>
      <c r="K31" s="349"/>
      <c r="L31" s="412"/>
      <c r="M31" s="111"/>
      <c r="N31" s="137">
        <f t="shared" si="1"/>
        <v>0</v>
      </c>
    </row>
    <row r="32" spans="2:14" ht="15.75" x14ac:dyDescent="0.25">
      <c r="B32" s="454"/>
      <c r="C32" s="246"/>
      <c r="D32" s="111"/>
      <c r="E32" s="412"/>
      <c r="F32" s="111"/>
      <c r="G32" s="544">
        <f t="shared" si="0"/>
        <v>0</v>
      </c>
      <c r="H32" s="2"/>
      <c r="I32" s="862"/>
      <c r="J32" s="347"/>
      <c r="K32" s="349"/>
      <c r="L32" s="412"/>
      <c r="M32" s="111"/>
      <c r="N32" s="137">
        <f t="shared" si="1"/>
        <v>0</v>
      </c>
    </row>
    <row r="33" spans="2:14" ht="15.75" x14ac:dyDescent="0.25">
      <c r="B33" s="454"/>
      <c r="C33" s="246"/>
      <c r="D33" s="111"/>
      <c r="E33" s="412"/>
      <c r="F33" s="111"/>
      <c r="G33" s="544">
        <f t="shared" si="0"/>
        <v>0</v>
      </c>
      <c r="I33" s="393"/>
      <c r="J33" s="391"/>
      <c r="K33" s="392"/>
      <c r="L33" s="412"/>
      <c r="M33" s="111"/>
      <c r="N33" s="137">
        <f t="shared" si="1"/>
        <v>0</v>
      </c>
    </row>
    <row r="34" spans="2:14" ht="15.75" x14ac:dyDescent="0.25">
      <c r="B34" s="454"/>
      <c r="C34" s="246"/>
      <c r="D34" s="111"/>
      <c r="E34" s="412"/>
      <c r="F34" s="111"/>
      <c r="G34" s="544">
        <f t="shared" si="0"/>
        <v>0</v>
      </c>
      <c r="I34" s="393"/>
      <c r="J34" s="391"/>
      <c r="K34" s="392"/>
      <c r="L34" s="412"/>
      <c r="M34" s="111"/>
      <c r="N34" s="137">
        <f t="shared" si="1"/>
        <v>0</v>
      </c>
    </row>
    <row r="35" spans="2:14" ht="15.75" x14ac:dyDescent="0.25">
      <c r="B35" s="454"/>
      <c r="C35" s="246"/>
      <c r="D35" s="111"/>
      <c r="E35" s="412"/>
      <c r="F35" s="111"/>
      <c r="G35" s="544">
        <f t="shared" si="0"/>
        <v>0</v>
      </c>
      <c r="I35" s="393"/>
      <c r="J35" s="391"/>
      <c r="K35" s="392"/>
      <c r="L35" s="412"/>
      <c r="M35" s="111"/>
      <c r="N35" s="137">
        <f t="shared" si="1"/>
        <v>0</v>
      </c>
    </row>
    <row r="36" spans="2:14" ht="15.75" x14ac:dyDescent="0.25">
      <c r="B36" s="454"/>
      <c r="C36" s="246"/>
      <c r="D36" s="111"/>
      <c r="E36" s="412"/>
      <c r="F36" s="111"/>
      <c r="G36" s="544">
        <f t="shared" si="0"/>
        <v>0</v>
      </c>
      <c r="I36" s="1065"/>
      <c r="J36" s="1066"/>
      <c r="K36" s="1066"/>
      <c r="L36" s="1067"/>
      <c r="M36" s="111"/>
      <c r="N36" s="137">
        <f t="shared" si="1"/>
        <v>0</v>
      </c>
    </row>
    <row r="37" spans="2:14" ht="15.75" x14ac:dyDescent="0.25">
      <c r="B37" s="454"/>
      <c r="C37" s="246"/>
      <c r="D37" s="111"/>
      <c r="E37" s="412"/>
      <c r="F37" s="111"/>
      <c r="G37" s="544">
        <f t="shared" si="0"/>
        <v>0</v>
      </c>
      <c r="I37" s="1065"/>
      <c r="J37" s="1066"/>
      <c r="K37" s="1066"/>
      <c r="L37" s="1067"/>
      <c r="M37" s="111"/>
      <c r="N37" s="137">
        <f t="shared" si="1"/>
        <v>0</v>
      </c>
    </row>
    <row r="38" spans="2:14" ht="15.75" x14ac:dyDescent="0.25">
      <c r="B38" s="454"/>
      <c r="C38" s="246"/>
      <c r="D38" s="111"/>
      <c r="E38" s="412"/>
      <c r="F38" s="111"/>
      <c r="G38" s="544">
        <f t="shared" si="0"/>
        <v>0</v>
      </c>
      <c r="I38" s="500"/>
      <c r="J38" s="501"/>
      <c r="K38" s="502"/>
      <c r="L38" s="412"/>
      <c r="M38" s="111"/>
      <c r="N38" s="137">
        <f t="shared" si="1"/>
        <v>0</v>
      </c>
    </row>
    <row r="39" spans="2:14" ht="15.75" x14ac:dyDescent="0.25">
      <c r="B39" s="454"/>
      <c r="C39" s="246"/>
      <c r="D39" s="111"/>
      <c r="E39" s="253"/>
      <c r="F39" s="69"/>
      <c r="G39" s="111">
        <f t="shared" si="0"/>
        <v>0</v>
      </c>
      <c r="I39" s="134"/>
      <c r="J39" s="139"/>
      <c r="K39" s="69"/>
      <c r="L39" s="253"/>
      <c r="M39" s="69"/>
      <c r="N39" s="137">
        <f t="shared" si="1"/>
        <v>0</v>
      </c>
    </row>
    <row r="40" spans="2:14" ht="15.75" x14ac:dyDescent="0.25">
      <c r="B40" s="454"/>
      <c r="C40" s="246"/>
      <c r="D40" s="111"/>
      <c r="E40" s="253"/>
      <c r="F40" s="69"/>
      <c r="G40" s="111">
        <f t="shared" si="0"/>
        <v>0</v>
      </c>
      <c r="I40" s="990" t="s">
        <v>594</v>
      </c>
      <c r="J40" s="991"/>
      <c r="K40" s="69"/>
      <c r="L40" s="253"/>
      <c r="M40" s="69"/>
      <c r="N40" s="137">
        <f t="shared" si="1"/>
        <v>0</v>
      </c>
    </row>
    <row r="41" spans="2:14" ht="15.75" x14ac:dyDescent="0.25">
      <c r="B41" s="830"/>
      <c r="C41" s="831"/>
      <c r="D41" s="832"/>
      <c r="E41" s="253"/>
      <c r="F41" s="69"/>
      <c r="G41" s="111">
        <f t="shared" si="0"/>
        <v>0</v>
      </c>
      <c r="I41" s="992"/>
      <c r="J41" s="993"/>
      <c r="K41" s="69"/>
      <c r="L41" s="253"/>
      <c r="M41" s="69"/>
      <c r="N41" s="137">
        <f t="shared" si="1"/>
        <v>0</v>
      </c>
    </row>
    <row r="42" spans="2:14" ht="15.75" x14ac:dyDescent="0.25">
      <c r="B42" s="830"/>
      <c r="C42" s="831"/>
      <c r="D42" s="832"/>
      <c r="E42" s="253"/>
      <c r="F42" s="69"/>
      <c r="G42" s="111">
        <f t="shared" si="0"/>
        <v>0</v>
      </c>
      <c r="I42" s="994"/>
      <c r="J42" s="995"/>
      <c r="K42" s="69"/>
      <c r="L42" s="253"/>
      <c r="M42" s="69"/>
      <c r="N42" s="137">
        <f t="shared" si="1"/>
        <v>0</v>
      </c>
    </row>
    <row r="43" spans="2:14" ht="15.75" x14ac:dyDescent="0.25">
      <c r="B43" s="667"/>
      <c r="C43" s="668"/>
      <c r="D43" s="111"/>
      <c r="E43" s="253"/>
      <c r="F43" s="69"/>
      <c r="G43" s="111">
        <f t="shared" si="0"/>
        <v>0</v>
      </c>
      <c r="I43" s="134"/>
      <c r="J43" s="139"/>
      <c r="K43" s="69"/>
      <c r="L43" s="253"/>
      <c r="M43" s="69"/>
      <c r="N43" s="137">
        <f t="shared" si="1"/>
        <v>0</v>
      </c>
    </row>
    <row r="44" spans="2:14" ht="15.75" x14ac:dyDescent="0.25">
      <c r="B44" s="669"/>
      <c r="C44" s="668"/>
      <c r="D44" s="111"/>
      <c r="E44" s="253"/>
      <c r="F44" s="69"/>
      <c r="G44" s="111">
        <f t="shared" si="0"/>
        <v>0</v>
      </c>
      <c r="I44" s="134"/>
      <c r="J44" s="139"/>
      <c r="K44" s="69"/>
      <c r="L44" s="253"/>
      <c r="M44" s="69"/>
      <c r="N44" s="137">
        <f t="shared" si="1"/>
        <v>0</v>
      </c>
    </row>
    <row r="45" spans="2:14" ht="15.75" x14ac:dyDescent="0.25">
      <c r="B45" s="669"/>
      <c r="C45" s="668"/>
      <c r="D45" s="111"/>
      <c r="E45" s="253"/>
      <c r="F45" s="69"/>
      <c r="G45" s="111">
        <f t="shared" si="0"/>
        <v>0</v>
      </c>
      <c r="I45" s="134"/>
      <c r="J45" s="139"/>
      <c r="K45" s="69"/>
      <c r="L45" s="253"/>
      <c r="M45" s="69"/>
      <c r="N45" s="137">
        <f t="shared" si="1"/>
        <v>0</v>
      </c>
    </row>
    <row r="46" spans="2:14" ht="15.75" x14ac:dyDescent="0.25">
      <c r="B46" s="666"/>
      <c r="C46" s="664"/>
      <c r="D46" s="69"/>
      <c r="E46" s="253"/>
      <c r="F46" s="69"/>
      <c r="G46" s="111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2:14" ht="15.75" x14ac:dyDescent="0.25">
      <c r="B47" s="134"/>
      <c r="C47" s="664"/>
      <c r="D47" s="69"/>
      <c r="E47" s="253"/>
      <c r="F47" s="69"/>
      <c r="G47" s="111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2:14" ht="15.75" x14ac:dyDescent="0.25">
      <c r="B48" s="134"/>
      <c r="C48" s="664"/>
      <c r="D48" s="69"/>
      <c r="E48" s="253"/>
      <c r="F48" s="69"/>
      <c r="G48" s="111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2:14" ht="15.75" hidden="1" x14ac:dyDescent="0.25">
      <c r="B49" s="134"/>
      <c r="C49" s="665"/>
      <c r="D49" s="69"/>
      <c r="E49" s="253"/>
      <c r="F49" s="69"/>
      <c r="G49" s="111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2:14" ht="15.75" hidden="1" x14ac:dyDescent="0.25">
      <c r="B50" s="134"/>
      <c r="C50" s="139"/>
      <c r="D50" s="69"/>
      <c r="E50" s="254"/>
      <c r="F50" s="69"/>
      <c r="G50" s="111">
        <f t="shared" si="0"/>
        <v>0</v>
      </c>
      <c r="I50" s="356"/>
      <c r="J50" s="357"/>
      <c r="K50" s="34"/>
      <c r="L50" s="118"/>
      <c r="M50" s="34"/>
      <c r="N50" s="137">
        <f t="shared" si="1"/>
        <v>0</v>
      </c>
    </row>
    <row r="51" spans="2:14" ht="15.75" hidden="1" x14ac:dyDescent="0.25">
      <c r="B51" s="134"/>
      <c r="C51" s="139"/>
      <c r="D51" s="69"/>
      <c r="E51" s="254"/>
      <c r="F51" s="69"/>
      <c r="G51" s="111">
        <f t="shared" si="0"/>
        <v>0</v>
      </c>
      <c r="I51" s="356"/>
      <c r="J51" s="357"/>
      <c r="K51" s="34"/>
      <c r="L51" s="118"/>
      <c r="M51" s="34"/>
      <c r="N51" s="137">
        <f t="shared" si="1"/>
        <v>0</v>
      </c>
    </row>
    <row r="52" spans="2:14" ht="15.75" hidden="1" x14ac:dyDescent="0.25">
      <c r="B52" s="134"/>
      <c r="C52" s="139"/>
      <c r="D52" s="69"/>
      <c r="E52" s="254"/>
      <c r="F52" s="69"/>
      <c r="G52" s="111">
        <f t="shared" si="0"/>
        <v>0</v>
      </c>
      <c r="I52" s="356"/>
      <c r="J52" s="357"/>
      <c r="K52" s="34"/>
      <c r="L52" s="118"/>
      <c r="M52" s="34"/>
      <c r="N52" s="137">
        <f t="shared" si="1"/>
        <v>0</v>
      </c>
    </row>
    <row r="53" spans="2:14" ht="15.75" hidden="1" x14ac:dyDescent="0.25">
      <c r="B53" s="134"/>
      <c r="C53" s="139"/>
      <c r="D53" s="69"/>
      <c r="E53" s="254"/>
      <c r="F53" s="69"/>
      <c r="G53" s="111">
        <f t="shared" si="0"/>
        <v>0</v>
      </c>
      <c r="I53" s="356"/>
      <c r="J53" s="357"/>
      <c r="K53" s="34"/>
      <c r="L53" s="118"/>
      <c r="M53" s="34"/>
      <c r="N53" s="137">
        <f t="shared" si="1"/>
        <v>0</v>
      </c>
    </row>
    <row r="54" spans="2:14" ht="15.75" hidden="1" x14ac:dyDescent="0.25">
      <c r="B54" s="134"/>
      <c r="C54" s="139"/>
      <c r="D54" s="69"/>
      <c r="E54" s="254"/>
      <c r="F54" s="69"/>
      <c r="G54" s="111">
        <f t="shared" si="0"/>
        <v>0</v>
      </c>
      <c r="I54" s="356"/>
      <c r="J54" s="357"/>
      <c r="K54" s="34"/>
      <c r="L54" s="118"/>
      <c r="M54" s="34"/>
      <c r="N54" s="137">
        <f t="shared" si="1"/>
        <v>0</v>
      </c>
    </row>
    <row r="55" spans="2:14" ht="15.75" hidden="1" x14ac:dyDescent="0.25">
      <c r="B55" s="356"/>
      <c r="C55" s="357"/>
      <c r="D55" s="34"/>
      <c r="E55" s="118"/>
      <c r="F55" s="34"/>
      <c r="G55" s="111">
        <f t="shared" si="0"/>
        <v>0</v>
      </c>
      <c r="I55" s="356"/>
      <c r="J55" s="357"/>
      <c r="K55" s="34"/>
      <c r="L55" s="118"/>
      <c r="M55" s="34"/>
      <c r="N55" s="137">
        <f t="shared" si="1"/>
        <v>0</v>
      </c>
    </row>
    <row r="56" spans="2:14" ht="15.75" hidden="1" x14ac:dyDescent="0.25">
      <c r="B56" s="134"/>
      <c r="C56" s="139"/>
      <c r="D56" s="69"/>
      <c r="E56" s="254"/>
      <c r="F56" s="69"/>
      <c r="G56" s="111">
        <f t="shared" si="0"/>
        <v>0</v>
      </c>
      <c r="I56" s="134"/>
      <c r="J56" s="139"/>
      <c r="K56" s="69"/>
      <c r="L56" s="254"/>
      <c r="M56" s="69"/>
      <c r="N56" s="137">
        <f t="shared" si="1"/>
        <v>0</v>
      </c>
    </row>
    <row r="57" spans="2:14" ht="15.75" hidden="1" x14ac:dyDescent="0.25">
      <c r="B57" s="134"/>
      <c r="C57" s="139"/>
      <c r="D57" s="69"/>
      <c r="E57" s="254"/>
      <c r="F57" s="69"/>
      <c r="G57" s="111">
        <f t="shared" si="0"/>
        <v>0</v>
      </c>
      <c r="I57" s="134"/>
      <c r="J57" s="139"/>
      <c r="K57" s="69"/>
      <c r="L57" s="254"/>
      <c r="M57" s="69"/>
      <c r="N57" s="137">
        <f t="shared" si="1"/>
        <v>0</v>
      </c>
    </row>
    <row r="58" spans="2:14" ht="15.75" hidden="1" x14ac:dyDescent="0.25">
      <c r="B58" s="134"/>
      <c r="C58" s="139"/>
      <c r="D58" s="69"/>
      <c r="E58" s="254"/>
      <c r="F58" s="69"/>
      <c r="G58" s="111">
        <f t="shared" si="0"/>
        <v>0</v>
      </c>
      <c r="I58" s="134"/>
      <c r="J58" s="139"/>
      <c r="K58" s="69"/>
      <c r="L58" s="254"/>
      <c r="M58" s="69"/>
      <c r="N58" s="137">
        <f t="shared" si="1"/>
        <v>0</v>
      </c>
    </row>
    <row r="59" spans="2:14" ht="15.75" hidden="1" x14ac:dyDescent="0.25">
      <c r="B59" s="134"/>
      <c r="C59" s="139"/>
      <c r="D59" s="69"/>
      <c r="E59" s="254"/>
      <c r="F59" s="69"/>
      <c r="G59" s="111">
        <f t="shared" si="0"/>
        <v>0</v>
      </c>
      <c r="I59" s="134"/>
      <c r="J59" s="139"/>
      <c r="K59" s="69"/>
      <c r="L59" s="254"/>
      <c r="M59" s="69"/>
      <c r="N59" s="137">
        <f t="shared" si="1"/>
        <v>0</v>
      </c>
    </row>
    <row r="60" spans="2:14" ht="15.75" hidden="1" x14ac:dyDescent="0.25">
      <c r="B60" s="134"/>
      <c r="C60" s="139"/>
      <c r="D60" s="69"/>
      <c r="E60" s="254"/>
      <c r="F60" s="69"/>
      <c r="G60" s="111">
        <f t="shared" si="0"/>
        <v>0</v>
      </c>
      <c r="I60" s="134"/>
      <c r="J60" s="139"/>
      <c r="K60" s="69"/>
      <c r="L60" s="254"/>
      <c r="M60" s="69"/>
      <c r="N60" s="137">
        <f t="shared" si="1"/>
        <v>0</v>
      </c>
    </row>
    <row r="61" spans="2:14" ht="15.75" hidden="1" x14ac:dyDescent="0.25">
      <c r="B61" s="134"/>
      <c r="C61" s="139"/>
      <c r="D61" s="69"/>
      <c r="E61" s="254"/>
      <c r="F61" s="69"/>
      <c r="G61" s="111">
        <f t="shared" si="0"/>
        <v>0</v>
      </c>
      <c r="I61" s="134"/>
      <c r="J61" s="139"/>
      <c r="K61" s="69"/>
      <c r="L61" s="254"/>
      <c r="M61" s="69"/>
      <c r="N61" s="137">
        <f t="shared" si="1"/>
        <v>0</v>
      </c>
    </row>
    <row r="62" spans="2:14" ht="15.75" hidden="1" x14ac:dyDescent="0.25">
      <c r="B62" s="134"/>
      <c r="C62" s="139"/>
      <c r="D62" s="69"/>
      <c r="E62" s="254"/>
      <c r="F62" s="69"/>
      <c r="G62" s="111">
        <f t="shared" si="0"/>
        <v>0</v>
      </c>
      <c r="I62" s="134"/>
      <c r="J62" s="139"/>
      <c r="K62" s="69"/>
      <c r="L62" s="254"/>
      <c r="M62" s="69"/>
      <c r="N62" s="137">
        <f t="shared" si="1"/>
        <v>0</v>
      </c>
    </row>
    <row r="63" spans="2:14" ht="15.75" hidden="1" x14ac:dyDescent="0.25">
      <c r="B63" s="134"/>
      <c r="C63" s="139"/>
      <c r="D63" s="69"/>
      <c r="E63" s="254"/>
      <c r="F63" s="69"/>
      <c r="G63" s="111">
        <f t="shared" si="0"/>
        <v>0</v>
      </c>
      <c r="I63" s="134"/>
      <c r="J63" s="139"/>
      <c r="K63" s="69"/>
      <c r="L63" s="254"/>
      <c r="M63" s="69"/>
      <c r="N63" s="137">
        <f t="shared" si="1"/>
        <v>0</v>
      </c>
    </row>
    <row r="64" spans="2:14" ht="15.75" hidden="1" x14ac:dyDescent="0.25">
      <c r="B64" s="134"/>
      <c r="C64" s="139"/>
      <c r="D64" s="69"/>
      <c r="E64" s="254"/>
      <c r="F64" s="69"/>
      <c r="G64" s="111">
        <f t="shared" si="0"/>
        <v>0</v>
      </c>
      <c r="I64" s="134"/>
      <c r="J64" s="139"/>
      <c r="K64" s="69"/>
      <c r="L64" s="254"/>
      <c r="M64" s="69"/>
      <c r="N64" s="137">
        <f t="shared" si="1"/>
        <v>0</v>
      </c>
    </row>
    <row r="65" spans="2:14" ht="15.75" hidden="1" x14ac:dyDescent="0.25">
      <c r="B65" s="134"/>
      <c r="C65" s="139"/>
      <c r="D65" s="69"/>
      <c r="E65" s="254"/>
      <c r="F65" s="69"/>
      <c r="G65" s="111">
        <f t="shared" si="0"/>
        <v>0</v>
      </c>
      <c r="I65" s="134"/>
      <c r="J65" s="139"/>
      <c r="K65" s="69"/>
      <c r="L65" s="254"/>
      <c r="M65" s="69"/>
      <c r="N65" s="137">
        <f t="shared" si="1"/>
        <v>0</v>
      </c>
    </row>
    <row r="66" spans="2:14" ht="16.5" thickBot="1" x14ac:dyDescent="0.3">
      <c r="B66" s="149"/>
      <c r="C66" s="210"/>
      <c r="D66" s="34">
        <v>0</v>
      </c>
      <c r="E66" s="255"/>
      <c r="F66" s="151"/>
      <c r="G66" s="137">
        <v>0</v>
      </c>
      <c r="I66" s="149"/>
      <c r="J66" s="150"/>
      <c r="K66" s="151">
        <v>0</v>
      </c>
      <c r="L66" s="255"/>
      <c r="M66" s="151"/>
      <c r="N66" s="137"/>
    </row>
    <row r="67" spans="2:14" ht="21.75" thickTop="1" x14ac:dyDescent="0.35">
      <c r="C67" s="440"/>
      <c r="D67" s="212">
        <f>SUM(D3:D66)</f>
        <v>0</v>
      </c>
      <c r="E67" s="407"/>
      <c r="F67" s="395">
        <f>SUM(F3:F66)</f>
        <v>0</v>
      </c>
      <c r="G67" s="153">
        <f>SUM(G3:G66)</f>
        <v>0</v>
      </c>
      <c r="I67" s="986" t="s">
        <v>594</v>
      </c>
      <c r="J67" s="987"/>
      <c r="K67" s="642">
        <f>SUM(K3:K66)</f>
        <v>0</v>
      </c>
      <c r="L67" s="713"/>
      <c r="M67" s="209">
        <f>SUM(M3:M66)</f>
        <v>0</v>
      </c>
      <c r="N67" s="153">
        <f>N66</f>
        <v>0</v>
      </c>
    </row>
    <row r="68" spans="2:14" ht="15.75" thickBot="1" x14ac:dyDescent="0.3">
      <c r="C68" s="441"/>
      <c r="D68" s="214"/>
      <c r="E68" s="256"/>
      <c r="F68" s="3"/>
      <c r="G68" s="948" t="s">
        <v>207</v>
      </c>
      <c r="I68" s="988"/>
      <c r="J68" s="989"/>
      <c r="K68" s="1"/>
      <c r="L68" s="256"/>
      <c r="M68" s="3"/>
      <c r="N68" s="1"/>
    </row>
    <row r="69" spans="2:14" x14ac:dyDescent="0.25">
      <c r="C69" s="163"/>
      <c r="D69" s="1"/>
      <c r="E69" s="256"/>
      <c r="F69" s="3"/>
      <c r="G69" s="949"/>
      <c r="K69" s="1"/>
      <c r="L69" s="256"/>
      <c r="M69" s="3"/>
      <c r="N69" s="1"/>
    </row>
    <row r="70" spans="2:14" ht="15.75" x14ac:dyDescent="0.25">
      <c r="B70" s="511"/>
      <c r="C70" s="512"/>
      <c r="D70" s="233"/>
      <c r="F70"/>
      <c r="J70" s="194"/>
      <c r="M70"/>
    </row>
    <row r="71" spans="2:14" ht="15.75" x14ac:dyDescent="0.25">
      <c r="B71" s="511"/>
      <c r="C71" s="512"/>
      <c r="D71" s="233"/>
      <c r="F71"/>
      <c r="H71" s="2"/>
      <c r="I71" s="426"/>
      <c r="J71" s="503"/>
      <c r="K71" s="6"/>
      <c r="L71" s="714"/>
      <c r="M71"/>
    </row>
    <row r="72" spans="2:14" ht="15" customHeight="1" x14ac:dyDescent="0.25">
      <c r="C72" s="194"/>
      <c r="E72" s="456"/>
      <c r="F72"/>
      <c r="H72" s="2"/>
      <c r="I72" s="792"/>
      <c r="J72" s="793"/>
      <c r="K72" s="794"/>
      <c r="L72" s="794"/>
      <c r="M72"/>
      <c r="N72"/>
    </row>
    <row r="73" spans="2:14" ht="15.75" customHeight="1" x14ac:dyDescent="0.25">
      <c r="C73" s="194"/>
      <c r="E73" s="456"/>
      <c r="F73"/>
      <c r="H73" s="2"/>
      <c r="I73" s="792"/>
      <c r="J73" s="793"/>
      <c r="K73" s="794"/>
      <c r="L73" s="794"/>
      <c r="M73"/>
      <c r="N73"/>
    </row>
    <row r="74" spans="2:14" x14ac:dyDescent="0.25">
      <c r="C74" s="194"/>
      <c r="D74" s="129"/>
      <c r="E74" s="456"/>
      <c r="F74"/>
      <c r="H74" s="2"/>
      <c r="I74" s="792"/>
      <c r="J74" s="793"/>
      <c r="K74" s="794"/>
      <c r="L74" s="794"/>
      <c r="M74"/>
      <c r="N74"/>
    </row>
    <row r="75" spans="2:14" ht="15.75" x14ac:dyDescent="0.25">
      <c r="C75" s="194"/>
      <c r="D75" s="233"/>
      <c r="E75" s="456"/>
      <c r="H75" s="2"/>
      <c r="I75" s="2"/>
      <c r="J75" s="2"/>
      <c r="K75" s="2"/>
      <c r="L75" s="714"/>
      <c r="M75"/>
      <c r="N75"/>
    </row>
    <row r="76" spans="2:14" ht="15.75" x14ac:dyDescent="0.25">
      <c r="C76" s="194"/>
      <c r="D76" s="233"/>
      <c r="E76" s="456"/>
      <c r="H76" s="2"/>
      <c r="I76" s="2"/>
      <c r="J76" s="2"/>
      <c r="K76" s="2"/>
      <c r="L76" s="714"/>
      <c r="M76"/>
      <c r="N76"/>
    </row>
    <row r="77" spans="2:14" ht="15.75" x14ac:dyDescent="0.25">
      <c r="C77" s="194"/>
      <c r="D77" s="233"/>
      <c r="E77" s="456"/>
      <c r="I77"/>
      <c r="J77"/>
      <c r="K77"/>
      <c r="M77"/>
      <c r="N77"/>
    </row>
    <row r="78" spans="2:14" ht="15.75" x14ac:dyDescent="0.25">
      <c r="C78" s="194"/>
      <c r="D78" s="233"/>
      <c r="E78" s="456"/>
      <c r="I78"/>
      <c r="J78"/>
      <c r="K78"/>
      <c r="M78"/>
      <c r="N78"/>
    </row>
    <row r="79" spans="2:14" ht="15.75" x14ac:dyDescent="0.25">
      <c r="C79" s="194"/>
      <c r="D79" s="233"/>
      <c r="E79" s="456"/>
      <c r="I79"/>
      <c r="J79"/>
      <c r="K79"/>
      <c r="M79"/>
      <c r="N79"/>
    </row>
    <row r="80" spans="2:14" ht="15.75" x14ac:dyDescent="0.25">
      <c r="C80" s="194"/>
      <c r="D80" s="233"/>
      <c r="E80" s="456"/>
      <c r="I80"/>
      <c r="J80"/>
      <c r="K80"/>
      <c r="M80"/>
      <c r="N80"/>
    </row>
    <row r="81" spans="3:14" ht="15.75" x14ac:dyDescent="0.25">
      <c r="C81" s="116"/>
      <c r="D81" s="233"/>
      <c r="E81" s="456"/>
      <c r="I81"/>
      <c r="J81"/>
      <c r="K81"/>
      <c r="M81"/>
      <c r="N81"/>
    </row>
    <row r="82" spans="3:14" ht="15.75" x14ac:dyDescent="0.25">
      <c r="C82" s="116"/>
      <c r="D82" s="233"/>
      <c r="E82" s="456"/>
      <c r="I82"/>
      <c r="J82"/>
      <c r="K82"/>
      <c r="M82"/>
      <c r="N82"/>
    </row>
    <row r="83" spans="3:14" ht="15.75" x14ac:dyDescent="0.25">
      <c r="C83" s="116"/>
      <c r="D83" s="233"/>
      <c r="E83" s="456"/>
      <c r="I83"/>
      <c r="J83"/>
      <c r="K83"/>
      <c r="M83"/>
      <c r="N83"/>
    </row>
    <row r="84" spans="3:14" ht="15.75" x14ac:dyDescent="0.25">
      <c r="C84" s="116"/>
      <c r="D84" s="233"/>
      <c r="E84" s="456"/>
      <c r="I84"/>
      <c r="J84"/>
      <c r="K84"/>
      <c r="M84"/>
      <c r="N84"/>
    </row>
    <row r="85" spans="3:14" ht="15.75" x14ac:dyDescent="0.25">
      <c r="C85" s="116"/>
      <c r="D85" s="233"/>
      <c r="E85" s="456"/>
      <c r="I85"/>
      <c r="J85"/>
      <c r="K85"/>
      <c r="M85"/>
      <c r="N85"/>
    </row>
    <row r="86" spans="3:14" ht="15.75" x14ac:dyDescent="0.25">
      <c r="C86" s="116"/>
      <c r="D86" s="233"/>
      <c r="E86" s="456"/>
      <c r="I86"/>
      <c r="J86"/>
      <c r="K86"/>
      <c r="M86"/>
      <c r="N86"/>
    </row>
    <row r="87" spans="3:14" ht="15.75" x14ac:dyDescent="0.25">
      <c r="C87" s="116"/>
      <c r="D87" s="233"/>
      <c r="E87" s="456"/>
      <c r="I87"/>
      <c r="J87"/>
      <c r="K87"/>
      <c r="M87"/>
      <c r="N87"/>
    </row>
    <row r="88" spans="3:14" ht="15.75" x14ac:dyDescent="0.25">
      <c r="C88" s="116"/>
      <c r="D88" s="233"/>
      <c r="E88" s="456"/>
      <c r="I88"/>
      <c r="J88"/>
      <c r="K88"/>
      <c r="M88"/>
      <c r="N88"/>
    </row>
    <row r="89" spans="3:14" ht="15.75" x14ac:dyDescent="0.25">
      <c r="C89" s="116"/>
      <c r="D89" s="233"/>
      <c r="E89" s="456"/>
      <c r="I89"/>
      <c r="J89"/>
      <c r="K89"/>
      <c r="M89"/>
      <c r="N89"/>
    </row>
    <row r="90" spans="3:14" ht="15.75" x14ac:dyDescent="0.25">
      <c r="C90" s="116"/>
      <c r="D90" s="233"/>
      <c r="E90" s="456"/>
      <c r="I90"/>
      <c r="J90"/>
      <c r="K90"/>
      <c r="M90"/>
      <c r="N90"/>
    </row>
    <row r="91" spans="3:14" ht="15.75" x14ac:dyDescent="0.25">
      <c r="C91" s="116"/>
      <c r="D91" s="233"/>
      <c r="E91" s="456"/>
      <c r="I91"/>
      <c r="J91"/>
      <c r="K91"/>
      <c r="M91"/>
      <c r="N91"/>
    </row>
    <row r="92" spans="3:14" ht="15.75" x14ac:dyDescent="0.25">
      <c r="C92" s="116"/>
      <c r="D92" s="233"/>
      <c r="E92" s="456"/>
      <c r="I92"/>
      <c r="J92"/>
      <c r="K92"/>
      <c r="M92"/>
      <c r="N92"/>
    </row>
    <row r="93" spans="3:14" ht="15.75" x14ac:dyDescent="0.25">
      <c r="C93" s="116"/>
      <c r="D93" s="233"/>
      <c r="E93" s="456"/>
      <c r="I93"/>
      <c r="J93"/>
      <c r="K93"/>
      <c r="M93"/>
      <c r="N93"/>
    </row>
    <row r="94" spans="3:14" ht="15.75" x14ac:dyDescent="0.25">
      <c r="C94" s="116"/>
      <c r="D94" s="233"/>
      <c r="E94" s="456"/>
      <c r="I94"/>
      <c r="J94"/>
      <c r="K94"/>
      <c r="M94"/>
      <c r="N94"/>
    </row>
    <row r="95" spans="3:14" ht="15.75" x14ac:dyDescent="0.25">
      <c r="C95" s="116"/>
      <c r="D95" s="233"/>
      <c r="E95" s="456"/>
      <c r="I95"/>
      <c r="J95"/>
      <c r="K95"/>
      <c r="M95"/>
      <c r="N95"/>
    </row>
    <row r="96" spans="3:14" ht="15.75" x14ac:dyDescent="0.25">
      <c r="C96" s="116"/>
      <c r="D96" s="233"/>
      <c r="E96" s="456"/>
      <c r="I96"/>
      <c r="J96"/>
      <c r="K96"/>
      <c r="M96"/>
      <c r="N96"/>
    </row>
    <row r="97" spans="3:14" x14ac:dyDescent="0.25">
      <c r="C97" s="116"/>
      <c r="D97" s="129"/>
      <c r="E97" s="456"/>
      <c r="I97"/>
      <c r="J97"/>
      <c r="K97"/>
      <c r="M97"/>
      <c r="N97"/>
    </row>
    <row r="98" spans="3:14" x14ac:dyDescent="0.25">
      <c r="C98" s="116"/>
      <c r="D98" s="129"/>
      <c r="E98" s="456"/>
      <c r="I98"/>
      <c r="J98"/>
      <c r="K98"/>
      <c r="M98"/>
      <c r="N98"/>
    </row>
    <row r="99" spans="3:14" x14ac:dyDescent="0.25">
      <c r="C99" s="116"/>
      <c r="D99" s="129"/>
      <c r="E99" s="456"/>
      <c r="I99"/>
      <c r="J99"/>
      <c r="K99"/>
      <c r="M99"/>
      <c r="N99"/>
    </row>
    <row r="100" spans="3:14" x14ac:dyDescent="0.25">
      <c r="C100" s="116"/>
      <c r="D100" s="129"/>
      <c r="E100" s="456"/>
      <c r="I100"/>
      <c r="J100"/>
      <c r="K100"/>
      <c r="M100"/>
      <c r="N100"/>
    </row>
    <row r="101" spans="3:14" x14ac:dyDescent="0.25">
      <c r="C101" s="116"/>
      <c r="D101" s="129"/>
      <c r="E101" s="456"/>
      <c r="I101"/>
      <c r="J101"/>
      <c r="K101"/>
      <c r="M101"/>
      <c r="N101"/>
    </row>
    <row r="102" spans="3:14" x14ac:dyDescent="0.25">
      <c r="C102" s="116"/>
      <c r="E102" s="456"/>
      <c r="I102"/>
      <c r="J102"/>
      <c r="K102"/>
      <c r="M102"/>
      <c r="N102"/>
    </row>
    <row r="103" spans="3:14" x14ac:dyDescent="0.25">
      <c r="C103" s="116"/>
      <c r="E103" s="456"/>
      <c r="I103"/>
      <c r="J103"/>
      <c r="K103"/>
      <c r="M103"/>
      <c r="N103"/>
    </row>
    <row r="104" spans="3:14" x14ac:dyDescent="0.25">
      <c r="C104" s="116"/>
      <c r="E104" s="456"/>
      <c r="I104"/>
      <c r="J104"/>
      <c r="K104"/>
      <c r="M104"/>
      <c r="N104"/>
    </row>
    <row r="105" spans="3:14" x14ac:dyDescent="0.25">
      <c r="C105" s="116"/>
      <c r="E105" s="456"/>
      <c r="I105"/>
      <c r="J105"/>
      <c r="K105"/>
      <c r="M105"/>
      <c r="N105"/>
    </row>
    <row r="106" spans="3:14" x14ac:dyDescent="0.25">
      <c r="C106" s="116"/>
      <c r="E106" s="456"/>
      <c r="I106"/>
      <c r="J106"/>
      <c r="K106"/>
      <c r="M106"/>
      <c r="N106"/>
    </row>
    <row r="107" spans="3:14" x14ac:dyDescent="0.25">
      <c r="C107" s="116"/>
      <c r="E107" s="456"/>
      <c r="I107"/>
      <c r="J107"/>
      <c r="K107"/>
      <c r="M107"/>
      <c r="N107"/>
    </row>
    <row r="108" spans="3:14" x14ac:dyDescent="0.25">
      <c r="C108" s="116"/>
      <c r="E108" s="456"/>
      <c r="I108"/>
      <c r="J108"/>
      <c r="K108"/>
      <c r="M108"/>
      <c r="N108"/>
    </row>
    <row r="109" spans="3:14" x14ac:dyDescent="0.25">
      <c r="C109" s="116"/>
      <c r="E109" s="456"/>
      <c r="I109"/>
      <c r="J109"/>
      <c r="K109"/>
      <c r="M109"/>
      <c r="N109"/>
    </row>
    <row r="110" spans="3:14" x14ac:dyDescent="0.25">
      <c r="C110" s="116"/>
      <c r="E110" s="456"/>
      <c r="I110"/>
      <c r="J110"/>
      <c r="K110"/>
      <c r="M110"/>
      <c r="N110"/>
    </row>
    <row r="111" spans="3:14" x14ac:dyDescent="0.25">
      <c r="C111" s="116"/>
      <c r="E111" s="456"/>
      <c r="I111"/>
      <c r="J111"/>
      <c r="K111"/>
      <c r="M111"/>
      <c r="N111"/>
    </row>
    <row r="112" spans="3:14" x14ac:dyDescent="0.25">
      <c r="C112" s="116"/>
      <c r="E112" s="456"/>
      <c r="I112"/>
      <c r="J112"/>
      <c r="K112"/>
      <c r="M112"/>
      <c r="N112"/>
    </row>
    <row r="113" spans="3:14" x14ac:dyDescent="0.25">
      <c r="C113" s="116"/>
      <c r="E113" s="456"/>
      <c r="I113"/>
      <c r="J113"/>
      <c r="K113"/>
      <c r="M113"/>
      <c r="N113"/>
    </row>
    <row r="114" spans="3:14" x14ac:dyDescent="0.25">
      <c r="C114" s="116"/>
      <c r="E114" s="456"/>
      <c r="I114"/>
      <c r="J114"/>
      <c r="K114"/>
      <c r="M114"/>
      <c r="N114"/>
    </row>
    <row r="115" spans="3:14" x14ac:dyDescent="0.25">
      <c r="C115" s="116"/>
      <c r="E115" s="456"/>
      <c r="I115"/>
      <c r="J115"/>
      <c r="K115"/>
      <c r="M115"/>
      <c r="N115"/>
    </row>
    <row r="116" spans="3:14" x14ac:dyDescent="0.25">
      <c r="C116" s="116"/>
      <c r="E116" s="456"/>
      <c r="I116"/>
      <c r="J116"/>
      <c r="K116"/>
      <c r="M116"/>
      <c r="N116"/>
    </row>
    <row r="117" spans="3:14" x14ac:dyDescent="0.25">
      <c r="C117" s="116"/>
      <c r="E117" s="456"/>
      <c r="I117"/>
      <c r="J117"/>
      <c r="K117"/>
      <c r="M117"/>
      <c r="N117"/>
    </row>
    <row r="118" spans="3:14" x14ac:dyDescent="0.25">
      <c r="C118" s="116"/>
      <c r="E118" s="456"/>
      <c r="I118"/>
      <c r="J118"/>
      <c r="K118"/>
      <c r="M118"/>
      <c r="N118"/>
    </row>
    <row r="119" spans="3:14" x14ac:dyDescent="0.25">
      <c r="C119" s="116"/>
      <c r="E119" s="456"/>
      <c r="I119"/>
      <c r="J119"/>
      <c r="K119"/>
      <c r="M119"/>
      <c r="N119"/>
    </row>
    <row r="120" spans="3:14" x14ac:dyDescent="0.25">
      <c r="C120" s="116"/>
      <c r="E120" s="456"/>
      <c r="I120"/>
      <c r="J120"/>
      <c r="K120"/>
      <c r="M120"/>
      <c r="N120"/>
    </row>
    <row r="121" spans="3:14" x14ac:dyDescent="0.25">
      <c r="C121" s="116"/>
      <c r="E121" s="456"/>
      <c r="I121"/>
      <c r="J121"/>
      <c r="K121"/>
      <c r="M121"/>
      <c r="N121"/>
    </row>
    <row r="122" spans="3:14" x14ac:dyDescent="0.25">
      <c r="C122" s="116"/>
      <c r="E122" s="456"/>
      <c r="I122"/>
      <c r="J122"/>
      <c r="K122"/>
      <c r="M122"/>
      <c r="N122"/>
    </row>
    <row r="123" spans="3:14" x14ac:dyDescent="0.25">
      <c r="C123" s="116"/>
      <c r="E123" s="456"/>
      <c r="I123"/>
      <c r="J123"/>
      <c r="K123"/>
      <c r="M123"/>
      <c r="N123"/>
    </row>
  </sheetData>
  <mergeCells count="4">
    <mergeCell ref="I36:L37"/>
    <mergeCell ref="I40:J42"/>
    <mergeCell ref="I67:J68"/>
    <mergeCell ref="G68:G69"/>
  </mergeCells>
  <pageMargins left="0.7" right="0.7" top="0.75" bottom="0.75" header="0.3" footer="0.3"/>
  <pageSetup orientation="portrait" horizontalDpi="0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948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949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6"/>
      <c r="C1" s="888" t="s">
        <v>208</v>
      </c>
      <c r="D1" s="889"/>
      <c r="E1" s="889"/>
      <c r="F1" s="889"/>
      <c r="G1" s="889"/>
      <c r="H1" s="889"/>
      <c r="I1" s="889"/>
      <c r="J1" s="889"/>
      <c r="K1" s="889"/>
      <c r="L1" s="889"/>
      <c r="M1" s="889"/>
    </row>
    <row r="2" spans="1:25" ht="16.5" thickBot="1" x14ac:dyDescent="0.3">
      <c r="B2" s="8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0" t="s">
        <v>0</v>
      </c>
      <c r="C3" s="891"/>
      <c r="D3" s="10"/>
      <c r="E3" s="11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893" t="s">
        <v>2</v>
      </c>
      <c r="F4" s="894"/>
      <c r="H4" s="895" t="s">
        <v>3</v>
      </c>
      <c r="I4" s="896"/>
      <c r="J4" s="19"/>
      <c r="K4" s="166"/>
      <c r="L4" s="20"/>
      <c r="M4" s="21" t="s">
        <v>4</v>
      </c>
      <c r="N4" s="22" t="s">
        <v>5</v>
      </c>
      <c r="P4" s="930"/>
      <c r="Q4" s="322" t="s">
        <v>217</v>
      </c>
      <c r="R4" s="951"/>
      <c r="W4" s="939" t="s">
        <v>124</v>
      </c>
      <c r="X4" s="939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939"/>
      <c r="X5" s="939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943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944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945"/>
      <c r="X21" s="945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946"/>
      <c r="X23" s="946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946"/>
      <c r="X24" s="946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947"/>
      <c r="X25" s="947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947"/>
      <c r="X26" s="947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940"/>
      <c r="X27" s="941"/>
      <c r="Y27" s="942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941"/>
      <c r="X28" s="941"/>
      <c r="Y28" s="942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931">
        <f>SUM(M5:M35)</f>
        <v>1077791.3</v>
      </c>
      <c r="N36" s="933">
        <f>SUM(N5:N35)</f>
        <v>936398</v>
      </c>
      <c r="O36" s="276"/>
      <c r="P36" s="277">
        <v>0</v>
      </c>
      <c r="Q36" s="935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932"/>
      <c r="N37" s="934"/>
      <c r="O37" s="276"/>
      <c r="P37" s="277">
        <v>0</v>
      </c>
      <c r="Q37" s="936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8" t="s">
        <v>11</v>
      </c>
      <c r="I52" s="909"/>
      <c r="J52" s="100"/>
      <c r="K52" s="910">
        <f>I50+L50</f>
        <v>90750.75</v>
      </c>
      <c r="L52" s="937"/>
      <c r="M52" s="272"/>
      <c r="N52" s="272"/>
      <c r="P52" s="34"/>
      <c r="Q52" s="13"/>
    </row>
    <row r="53" spans="1:17" ht="16.5" thickBot="1" x14ac:dyDescent="0.3">
      <c r="D53" s="914" t="s">
        <v>12</v>
      </c>
      <c r="E53" s="914"/>
      <c r="F53" s="312">
        <f>F50-K52-C50</f>
        <v>1739855.03</v>
      </c>
      <c r="I53" s="102"/>
      <c r="J53" s="103"/>
    </row>
    <row r="54" spans="1:17" ht="18.75" x14ac:dyDescent="0.3">
      <c r="D54" s="938" t="s">
        <v>95</v>
      </c>
      <c r="E54" s="938"/>
      <c r="F54" s="111">
        <v>-1567070.66</v>
      </c>
      <c r="I54" s="915" t="s">
        <v>13</v>
      </c>
      <c r="J54" s="916"/>
      <c r="K54" s="917">
        <f>F56+F57+F58</f>
        <v>703192.8600000001</v>
      </c>
      <c r="L54" s="917"/>
      <c r="M54" s="923" t="s">
        <v>211</v>
      </c>
      <c r="N54" s="924"/>
      <c r="O54" s="924"/>
      <c r="P54" s="924"/>
      <c r="Q54" s="925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926"/>
      <c r="N55" s="927"/>
      <c r="O55" s="927"/>
      <c r="P55" s="927"/>
      <c r="Q55" s="928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919">
        <f>-C4</f>
        <v>-567389.35</v>
      </c>
      <c r="L56" s="920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897" t="s">
        <v>18</v>
      </c>
      <c r="E58" s="898"/>
      <c r="F58" s="113">
        <v>754143.23</v>
      </c>
      <c r="I58" s="899" t="s">
        <v>198</v>
      </c>
      <c r="J58" s="900"/>
      <c r="K58" s="901">
        <f>K54+K56</f>
        <v>135803.51000000013</v>
      </c>
      <c r="L58" s="90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D53:E53"/>
    <mergeCell ref="D54:E54"/>
    <mergeCell ref="I54:J54"/>
    <mergeCell ref="K54:L54"/>
    <mergeCell ref="M54:Q55"/>
    <mergeCell ref="K56:L56"/>
    <mergeCell ref="W27:X28"/>
    <mergeCell ref="Y27:Y28"/>
    <mergeCell ref="M36:M37"/>
    <mergeCell ref="N36:N37"/>
    <mergeCell ref="Q36:Q37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B1:B2"/>
    <mergeCell ref="C1:M1"/>
    <mergeCell ref="B3:C3"/>
    <mergeCell ref="H3:I3"/>
    <mergeCell ref="P3:P4"/>
    <mergeCell ref="E4:F4"/>
    <mergeCell ref="H4:I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948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949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6"/>
      <c r="C1" s="952" t="s">
        <v>316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25" ht="16.5" thickBot="1" x14ac:dyDescent="0.3">
      <c r="B2" s="8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0" t="s">
        <v>0</v>
      </c>
      <c r="C3" s="891"/>
      <c r="D3" s="10"/>
      <c r="E3" s="11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893" t="s">
        <v>2</v>
      </c>
      <c r="F4" s="894"/>
      <c r="H4" s="895" t="s">
        <v>3</v>
      </c>
      <c r="I4" s="896"/>
      <c r="J4" s="19"/>
      <c r="K4" s="166"/>
      <c r="L4" s="20"/>
      <c r="M4" s="21" t="s">
        <v>4</v>
      </c>
      <c r="N4" s="22" t="s">
        <v>5</v>
      </c>
      <c r="P4" s="930"/>
      <c r="Q4" s="322" t="s">
        <v>217</v>
      </c>
      <c r="R4" s="951"/>
      <c r="W4" s="939" t="s">
        <v>124</v>
      </c>
      <c r="X4" s="939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939"/>
      <c r="X5" s="939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943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944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945"/>
      <c r="X21" s="945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946"/>
      <c r="X23" s="946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946"/>
      <c r="X24" s="946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947"/>
      <c r="X25" s="947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947"/>
      <c r="X26" s="947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940"/>
      <c r="X27" s="941"/>
      <c r="Y27" s="942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941"/>
      <c r="X28" s="941"/>
      <c r="Y28" s="942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931">
        <f>SUM(M5:M35)</f>
        <v>1818445.73</v>
      </c>
      <c r="N36" s="933">
        <f>SUM(N5:N35)</f>
        <v>739014</v>
      </c>
      <c r="O36" s="276"/>
      <c r="P36" s="277">
        <v>0</v>
      </c>
      <c r="Q36" s="935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932"/>
      <c r="N37" s="934"/>
      <c r="O37" s="276"/>
      <c r="P37" s="277">
        <v>0</v>
      </c>
      <c r="Q37" s="936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8" t="s">
        <v>11</v>
      </c>
      <c r="I52" s="909"/>
      <c r="J52" s="100"/>
      <c r="K52" s="910">
        <f>I50+L50</f>
        <v>158798.12</v>
      </c>
      <c r="L52" s="937"/>
      <c r="M52" s="272"/>
      <c r="N52" s="272"/>
      <c r="P52" s="34"/>
      <c r="Q52" s="13"/>
    </row>
    <row r="53" spans="1:17" x14ac:dyDescent="0.25">
      <c r="D53" s="914" t="s">
        <v>12</v>
      </c>
      <c r="E53" s="914"/>
      <c r="F53" s="312">
        <f>F50-K52-C50</f>
        <v>2078470.75</v>
      </c>
      <c r="I53" s="102"/>
      <c r="J53" s="103"/>
    </row>
    <row r="54" spans="1:17" ht="18.75" x14ac:dyDescent="0.3">
      <c r="D54" s="938" t="s">
        <v>95</v>
      </c>
      <c r="E54" s="938"/>
      <c r="F54" s="111">
        <v>-1448401.2</v>
      </c>
      <c r="I54" s="915" t="s">
        <v>13</v>
      </c>
      <c r="J54" s="916"/>
      <c r="K54" s="917">
        <f>F56+F57+F58</f>
        <v>1025960.7</v>
      </c>
      <c r="L54" s="91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919">
        <f>-C4</f>
        <v>-754143.23</v>
      </c>
      <c r="L56" s="920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897" t="s">
        <v>18</v>
      </c>
      <c r="E58" s="898"/>
      <c r="F58" s="113">
        <v>1149740.4099999999</v>
      </c>
      <c r="I58" s="899" t="s">
        <v>198</v>
      </c>
      <c r="J58" s="900"/>
      <c r="K58" s="901">
        <f>K54+K56</f>
        <v>271817.46999999997</v>
      </c>
      <c r="L58" s="90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954" t="s">
        <v>413</v>
      </c>
      <c r="C43" s="955"/>
      <c r="D43" s="955"/>
      <c r="E43" s="956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957"/>
      <c r="C44" s="958"/>
      <c r="D44" s="958"/>
      <c r="E44" s="959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960"/>
      <c r="C45" s="961"/>
      <c r="D45" s="961"/>
      <c r="E45" s="962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969" t="s">
        <v>593</v>
      </c>
      <c r="C47" s="970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971"/>
      <c r="C48" s="972"/>
      <c r="D48" s="253"/>
      <c r="E48" s="69"/>
      <c r="F48" s="137">
        <f t="shared" si="2"/>
        <v>0</v>
      </c>
      <c r="I48" s="348"/>
      <c r="J48" s="963" t="s">
        <v>414</v>
      </c>
      <c r="K48" s="964"/>
      <c r="L48" s="965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966"/>
      <c r="K49" s="967"/>
      <c r="L49" s="968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973" t="s">
        <v>594</v>
      </c>
      <c r="J50" s="974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973"/>
      <c r="J51" s="974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973"/>
      <c r="J52" s="974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973"/>
      <c r="J53" s="974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973"/>
      <c r="J54" s="974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973"/>
      <c r="J55" s="974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973"/>
      <c r="J56" s="974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973"/>
      <c r="J57" s="974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973"/>
      <c r="J58" s="974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973"/>
      <c r="J59" s="974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973"/>
      <c r="J60" s="974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973"/>
      <c r="J61" s="974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973"/>
      <c r="J62" s="974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973"/>
      <c r="J63" s="974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973"/>
      <c r="J64" s="974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973"/>
      <c r="J65" s="974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973"/>
      <c r="J66" s="974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973"/>
      <c r="J67" s="974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973"/>
      <c r="J68" s="974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973"/>
      <c r="J69" s="974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973"/>
      <c r="J70" s="974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973"/>
      <c r="J71" s="974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973"/>
      <c r="J72" s="974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973"/>
      <c r="J73" s="974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973"/>
      <c r="J74" s="974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973"/>
      <c r="J75" s="974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973"/>
      <c r="J76" s="974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973"/>
      <c r="J77" s="974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975"/>
      <c r="J78" s="976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948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949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886"/>
      <c r="C1" s="952" t="s">
        <v>646</v>
      </c>
      <c r="D1" s="953"/>
      <c r="E1" s="953"/>
      <c r="F1" s="953"/>
      <c r="G1" s="953"/>
      <c r="H1" s="953"/>
      <c r="I1" s="953"/>
      <c r="J1" s="953"/>
      <c r="K1" s="953"/>
      <c r="L1" s="953"/>
      <c r="M1" s="953"/>
    </row>
    <row r="2" spans="1:25" ht="16.5" thickBot="1" x14ac:dyDescent="0.3">
      <c r="B2" s="887"/>
      <c r="C2" s="3"/>
      <c r="H2" s="5"/>
      <c r="I2" s="6"/>
      <c r="J2" s="7"/>
      <c r="L2" s="8"/>
      <c r="M2" s="6"/>
      <c r="N2" s="9"/>
    </row>
    <row r="3" spans="1:25" ht="21.75" thickBot="1" x14ac:dyDescent="0.35">
      <c r="B3" s="890" t="s">
        <v>0</v>
      </c>
      <c r="C3" s="891"/>
      <c r="D3" s="10"/>
      <c r="E3" s="11"/>
      <c r="F3" s="11"/>
      <c r="H3" s="892" t="s">
        <v>26</v>
      </c>
      <c r="I3" s="892"/>
      <c r="K3" s="165"/>
      <c r="L3" s="13"/>
      <c r="M3" s="14"/>
      <c r="P3" s="929" t="s">
        <v>6</v>
      </c>
      <c r="R3" s="950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893" t="s">
        <v>2</v>
      </c>
      <c r="F4" s="894"/>
      <c r="H4" s="895" t="s">
        <v>3</v>
      </c>
      <c r="I4" s="896"/>
      <c r="J4" s="19"/>
      <c r="K4" s="166"/>
      <c r="L4" s="20"/>
      <c r="M4" s="21" t="s">
        <v>4</v>
      </c>
      <c r="N4" s="22" t="s">
        <v>5</v>
      </c>
      <c r="P4" s="930"/>
      <c r="Q4" s="322" t="s">
        <v>217</v>
      </c>
      <c r="R4" s="951"/>
      <c r="W4" s="939" t="s">
        <v>124</v>
      </c>
      <c r="X4" s="939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939"/>
      <c r="X5" s="939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943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944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945"/>
      <c r="X21" s="945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946"/>
      <c r="X23" s="946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946"/>
      <c r="X24" s="946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947"/>
      <c r="X25" s="947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947"/>
      <c r="X26" s="947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940"/>
      <c r="X27" s="941"/>
      <c r="Y27" s="942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941"/>
      <c r="X28" s="941"/>
      <c r="Y28" s="942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931">
        <f>SUM(M5:M35)</f>
        <v>2143864.4900000002</v>
      </c>
      <c r="N36" s="933">
        <f>SUM(N5:N35)</f>
        <v>791108</v>
      </c>
      <c r="O36" s="276"/>
      <c r="P36" s="277">
        <v>0</v>
      </c>
      <c r="Q36" s="977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932"/>
      <c r="N37" s="934"/>
      <c r="O37" s="276"/>
      <c r="P37" s="277">
        <v>0</v>
      </c>
      <c r="Q37" s="978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979">
        <f>M36+N36</f>
        <v>2934972.49</v>
      </c>
      <c r="N39" s="980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908" t="s">
        <v>11</v>
      </c>
      <c r="I52" s="909"/>
      <c r="J52" s="100"/>
      <c r="K52" s="910">
        <f>I50+L50</f>
        <v>197471.8</v>
      </c>
      <c r="L52" s="937"/>
      <c r="M52" s="272"/>
      <c r="N52" s="272"/>
      <c r="P52" s="34"/>
      <c r="Q52" s="13"/>
    </row>
    <row r="53" spans="1:17" x14ac:dyDescent="0.25">
      <c r="D53" s="914" t="s">
        <v>12</v>
      </c>
      <c r="E53" s="914"/>
      <c r="F53" s="312">
        <f>F50-K52-C50</f>
        <v>2057786.11</v>
      </c>
      <c r="I53" s="102"/>
      <c r="J53" s="103"/>
    </row>
    <row r="54" spans="1:17" ht="18.75" x14ac:dyDescent="0.3">
      <c r="D54" s="938" t="s">
        <v>95</v>
      </c>
      <c r="E54" s="938"/>
      <c r="F54" s="111">
        <v>-1702928.14</v>
      </c>
      <c r="I54" s="915" t="s">
        <v>13</v>
      </c>
      <c r="J54" s="916"/>
      <c r="K54" s="917">
        <f>F56+F57+F58</f>
        <v>1147965.3400000003</v>
      </c>
      <c r="L54" s="917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919">
        <f>-C4</f>
        <v>-1149740.4099999999</v>
      </c>
      <c r="L56" s="920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897" t="s">
        <v>18</v>
      </c>
      <c r="E58" s="898"/>
      <c r="F58" s="113">
        <v>1266568.45</v>
      </c>
      <c r="I58" s="899" t="s">
        <v>97</v>
      </c>
      <c r="J58" s="900"/>
      <c r="K58" s="901">
        <f>K54+K56</f>
        <v>-1775.0699999995995</v>
      </c>
      <c r="L58" s="901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 S E P T I E M B R E     2022  </vt:lpstr>
      <vt:lpstr>COMPRAS  SEPTIEMBRE  2022    </vt:lpstr>
      <vt:lpstr>   O C T U B R E     2 0 2 2   </vt:lpstr>
      <vt:lpstr> COMPRAS  OCTUBRE   2022    </vt:lpstr>
      <vt:lpstr>   N O V I E M B R E   2 0 2 2 </vt:lpstr>
      <vt:lpstr>COMPRAS  NOVIEMBRE 2022</vt:lpstr>
      <vt:lpstr>  D I C I E M B R E    2  0 2 2</vt:lpstr>
      <vt:lpstr>COMPRAS DICIEMBRE  2022  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2022-12-17T21:21:48Z</cp:lastPrinted>
  <dcterms:created xsi:type="dcterms:W3CDTF">2021-11-04T19:08:42Z</dcterms:created>
  <dcterms:modified xsi:type="dcterms:W3CDTF">2022-12-17T21:21:59Z</dcterms:modified>
</cp:coreProperties>
</file>