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2"/>
  </bookViews>
  <sheets>
    <sheet name="Hoja5" sheetId="7" r:id="rId1"/>
    <sheet name="Hoja2" sheetId="12" r:id="rId2"/>
    <sheet name="GASTOS COMEDOR  DIC-2023" sheetId="15" r:id="rId3"/>
    <sheet name="GASTOS COMERDOR  NOV-2023      " sheetId="13" r:id="rId4"/>
    <sheet name="GASTOS COMEDOR OCT-2023 " sheetId="14" r:id="rId5"/>
    <sheet name="GASTOS POR SEMANA  SEPT-23 " sheetId="1" r:id="rId6"/>
    <sheet name="CONSENTRADO X SEMANAS   " sheetId="5" r:id="rId7"/>
    <sheet name="GASTO X  MES " sheetId="6" r:id="rId8"/>
    <sheet name="Hoja7" sheetId="10" r:id="rId9"/>
    <sheet name="   GASTOS  POR MES        02   " sheetId="11" r:id="rId10"/>
    <sheet name="GASTOS POR MES          01     " sheetId="2" r:id="rId11"/>
    <sheet name="Hoja3" sheetId="3" r:id="rId12"/>
    <sheet name="Hoja1" sheetId="8" r:id="rId13"/>
    <sheet name="Hoja6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2" i="15" l="1"/>
  <c r="H73" i="15"/>
  <c r="H74" i="15"/>
  <c r="H13" i="15" l="1"/>
  <c r="J10" i="15"/>
  <c r="V13" i="15"/>
  <c r="V12" i="15"/>
  <c r="W11" i="15"/>
  <c r="S6" i="15"/>
  <c r="R10" i="15"/>
  <c r="T8" i="15"/>
  <c r="S7" i="15"/>
  <c r="X5" i="15"/>
  <c r="H12" i="15"/>
  <c r="J19" i="15" l="1"/>
  <c r="D8" i="15"/>
  <c r="E11" i="15"/>
  <c r="E19" i="15"/>
  <c r="I9" i="15"/>
  <c r="D19" i="15"/>
  <c r="G7" i="15"/>
  <c r="F6" i="15"/>
  <c r="F19" i="15"/>
  <c r="K5" i="15"/>
  <c r="W19" i="15"/>
  <c r="U19" i="15"/>
  <c r="T19" i="15"/>
  <c r="S19" i="15"/>
  <c r="L19" i="15"/>
  <c r="K19" i="15"/>
  <c r="I19" i="15"/>
  <c r="G19" i="15"/>
  <c r="V19" i="15"/>
  <c r="H19" i="15"/>
  <c r="R19" i="15"/>
  <c r="Q19" i="15"/>
  <c r="X19" i="15"/>
  <c r="V3" i="15"/>
  <c r="X2" i="15"/>
  <c r="F21" i="15" l="1"/>
  <c r="S21" i="15"/>
  <c r="W40" i="15"/>
  <c r="V43" i="15"/>
  <c r="V42" i="15"/>
  <c r="R41" i="15"/>
  <c r="Q37" i="15"/>
  <c r="S36" i="15"/>
  <c r="X35" i="15"/>
  <c r="F36" i="15"/>
  <c r="H43" i="15" l="1"/>
  <c r="H42" i="15"/>
  <c r="E41" i="15"/>
  <c r="J40" i="15" l="1"/>
  <c r="D38" i="15"/>
  <c r="G37" i="15"/>
  <c r="K35" i="15" l="1"/>
  <c r="V80" i="15" l="1"/>
  <c r="U80" i="15"/>
  <c r="R80" i="15"/>
  <c r="L80" i="15"/>
  <c r="I80" i="15"/>
  <c r="G80" i="15"/>
  <c r="F80" i="15"/>
  <c r="E80" i="15"/>
  <c r="V74" i="15"/>
  <c r="V73" i="15"/>
  <c r="H80" i="15"/>
  <c r="W71" i="15"/>
  <c r="W80" i="15" s="1"/>
  <c r="J80" i="15"/>
  <c r="T69" i="15"/>
  <c r="T80" i="15" s="1"/>
  <c r="D80" i="15"/>
  <c r="Q68" i="15"/>
  <c r="Q80" i="15" s="1"/>
  <c r="S67" i="15"/>
  <c r="S80" i="15" s="1"/>
  <c r="X66" i="15"/>
  <c r="X80" i="15" s="1"/>
  <c r="K80" i="15"/>
  <c r="V64" i="15"/>
  <c r="X63" i="15"/>
  <c r="X49" i="15"/>
  <c r="W49" i="15"/>
  <c r="U49" i="15"/>
  <c r="S49" i="15"/>
  <c r="R49" i="15"/>
  <c r="L49" i="15"/>
  <c r="K49" i="15"/>
  <c r="I49" i="15"/>
  <c r="G49" i="15"/>
  <c r="D49" i="15"/>
  <c r="V49" i="15"/>
  <c r="H49" i="15"/>
  <c r="E49" i="15"/>
  <c r="J49" i="15"/>
  <c r="T49" i="15"/>
  <c r="Q49" i="15"/>
  <c r="F49" i="15"/>
  <c r="V33" i="15"/>
  <c r="X32" i="15"/>
  <c r="F51" i="15" l="1"/>
  <c r="F82" i="15"/>
  <c r="S82" i="15"/>
  <c r="S5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AW31" i="6"/>
  <c r="AF31" i="6"/>
  <c r="N31" i="6"/>
  <c r="BL29" i="6"/>
  <c r="AW29" i="6"/>
  <c r="AF29" i="6"/>
  <c r="N29" i="6"/>
  <c r="AW28" i="6"/>
  <c r="AT28" i="6"/>
  <c r="AS28" i="6"/>
  <c r="AR28" i="6"/>
  <c r="AQ28" i="6"/>
  <c r="AP28" i="6"/>
  <c r="AO28" i="6"/>
  <c r="AN28" i="6"/>
  <c r="AF28" i="6"/>
  <c r="N28" i="6"/>
  <c r="AW27" i="6"/>
  <c r="AF27" i="6"/>
  <c r="N27" i="6"/>
  <c r="BL26" i="6"/>
  <c r="AW26" i="6"/>
  <c r="AF26" i="6"/>
  <c r="N26" i="6"/>
  <c r="BL25" i="6"/>
  <c r="AW25" i="6"/>
  <c r="AF25" i="6"/>
  <c r="N25" i="6"/>
  <c r="AW11" i="6"/>
  <c r="AF11" i="6"/>
  <c r="N11" i="6"/>
  <c r="BL9" i="6"/>
  <c r="AW9" i="6"/>
  <c r="AF9" i="6"/>
  <c r="N9" i="6"/>
  <c r="AW8" i="6"/>
  <c r="AT8" i="6"/>
  <c r="AS8" i="6"/>
  <c r="AR8" i="6"/>
  <c r="AQ8" i="6"/>
  <c r="AP8" i="6"/>
  <c r="AO8" i="6"/>
  <c r="AN8" i="6"/>
  <c r="AF8" i="6"/>
  <c r="N8" i="6"/>
  <c r="BL7" i="6"/>
  <c r="AW7" i="6"/>
  <c r="AF7" i="6"/>
  <c r="N7" i="6"/>
  <c r="BL6" i="6"/>
  <c r="AW6" i="6"/>
  <c r="AF6" i="6"/>
  <c r="N6" i="6"/>
  <c r="BL5" i="6"/>
  <c r="AW5" i="6"/>
  <c r="AF5" i="6"/>
  <c r="N5" i="6"/>
  <c r="I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44" i="15"/>
  <c r="F144" i="15"/>
  <c r="X142" i="15"/>
  <c r="W142" i="15"/>
  <c r="V142" i="15"/>
  <c r="U142" i="15"/>
  <c r="T142" i="15"/>
  <c r="S142" i="15"/>
  <c r="R142" i="15"/>
  <c r="Q142" i="15"/>
  <c r="L142" i="15"/>
  <c r="K142" i="15"/>
  <c r="J142" i="15"/>
  <c r="I142" i="15"/>
  <c r="H142" i="15"/>
  <c r="G142" i="15"/>
  <c r="F142" i="15"/>
  <c r="E142" i="15"/>
  <c r="D142" i="15"/>
  <c r="V135" i="15"/>
  <c r="V126" i="15"/>
  <c r="X125" i="15"/>
  <c r="S113" i="15"/>
  <c r="F113" i="15"/>
  <c r="X111" i="15"/>
  <c r="W111" i="15"/>
  <c r="V111" i="15"/>
  <c r="U111" i="15"/>
  <c r="T111" i="15"/>
  <c r="S111" i="15"/>
  <c r="R111" i="15"/>
  <c r="Q111" i="15"/>
  <c r="L111" i="15"/>
  <c r="K111" i="15"/>
  <c r="J111" i="15"/>
  <c r="I111" i="15"/>
  <c r="H111" i="15"/>
  <c r="G111" i="15"/>
  <c r="F111" i="15"/>
  <c r="E111" i="15"/>
  <c r="D111" i="15"/>
  <c r="V105" i="15"/>
  <c r="H105" i="15"/>
  <c r="V104" i="15"/>
  <c r="H104" i="15"/>
  <c r="W102" i="15"/>
  <c r="J101" i="15"/>
  <c r="T100" i="15"/>
  <c r="D100" i="15"/>
  <c r="Q99" i="15"/>
  <c r="S98" i="15"/>
  <c r="F98" i="15"/>
  <c r="X97" i="15"/>
  <c r="K97" i="15"/>
  <c r="V95" i="15"/>
  <c r="X94" i="15"/>
</calcChain>
</file>

<file path=xl/sharedStrings.xml><?xml version="1.0" encoding="utf-8"?>
<sst xmlns="http://schemas.openxmlformats.org/spreadsheetml/2006/main" count="2035" uniqueCount="398">
  <si>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</si>
  <si>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</si>
  <si>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</si>
  <si>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</si>
  <si>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</si>
  <si>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</si>
  <si>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</si>
  <si>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</si>
  <si>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</si>
  <si>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</si>
  <si>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</si>
  <si>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</si>
  <si>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</si>
  <si>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</si>
  <si>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</si>
  <si>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</si>
  <si>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</si>
  <si>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</si>
  <si>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</si>
  <si>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</si>
  <si>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</si>
  <si>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</si>
  <si>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</si>
  <si>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</si>
  <si>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</si>
  <si>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</si>
  <si>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</si>
  <si>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</si>
  <si>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</si>
  <si>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</si>
  <si>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</si>
  <si>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</si>
  <si>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</si>
  <si>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</si>
  <si>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</si>
  <si>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</si>
  <si>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</si>
  <si>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</si>
  <si>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</si>
  <si>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</si>
  <si>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</si>
  <si>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</si>
  <si>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</si>
  <si>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</si>
  <si>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</si>
  <si>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</si>
  <si>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</si>
  <si>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</si>
  <si>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</si>
  <si>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</si>
  <si>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</si>
  <si>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</si>
  <si>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</si>
  <si>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</si>
  <si>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</si>
  <si>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</si>
  <si>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</si>
  <si>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</si>
  <si>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</si>
  <si>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</si>
  <si>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</si>
  <si>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</si>
  <si>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</si>
  <si>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</si>
  <si>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</si>
  <si>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</si>
  <si>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</si>
  <si>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</si>
  <si>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</si>
  <si>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</si>
  <si>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</si>
  <si>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</si>
  <si>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</si>
  <si>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</si>
  <si>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</si>
  <si>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</si>
  <si>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</si>
  <si>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</si>
  <si>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</si>
  <si>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</si>
  <si>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</si>
  <si>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</si>
  <si>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</si>
  <si>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</si>
  <si>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</si>
  <si>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</si>
  <si>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</si>
  <si>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</si>
  <si>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</si>
  <si>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</si>
  <si>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</si>
  <si>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</si>
  <si>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</si>
  <si>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</si>
  <si>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</si>
  <si>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</si>
  <si>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</si>
  <si>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</si>
  <si>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</si>
  <si>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</si>
  <si>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</si>
  <si>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</si>
  <si>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</si>
  <si>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</si>
  <si>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</si>
  <si>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</si>
  <si>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</si>
  <si>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</si>
  <si>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</si>
  <si>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</si>
  <si>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</si>
  <si>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</si>
  <si>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</si>
  <si>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</si>
  <si>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</si>
  <si>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</si>
  <si>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</si>
  <si>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</si>
  <si>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</si>
  <si>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</si>
  <si>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</si>
  <si>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</si>
  <si>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</si>
  <si>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</si>
  <si>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</si>
  <si>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</si>
  <si>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</si>
  <si>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</si>
  <si>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</si>
  <si>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</si>
  <si>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</si>
  <si>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</si>
  <si>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</si>
  <si>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</si>
  <si>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</si>
  <si>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</si>
  <si>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</si>
  <si>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</si>
  <si>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</si>
  <si>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</si>
  <si>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</si>
  <si>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</si>
  <si>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</si>
  <si>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</si>
  <si>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</si>
  <si>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</si>
  <si>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</si>
  <si>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</si>
  <si>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</si>
  <si>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</si>
  <si>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</si>
  <si>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</si>
  <si>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</si>
  <si>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</si>
  <si>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</si>
  <si>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</si>
  <si>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</si>
  <si>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</si>
  <si>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</si>
  <si>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</si>
  <si>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</si>
  <si>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</si>
  <si>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</si>
  <si>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</si>
  <si>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</si>
  <si>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</si>
  <si>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</si>
  <si>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</si>
  <si>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</si>
  <si>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</si>
  <si>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</si>
  <si>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</si>
  <si>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</si>
  <si>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</si>
  <si>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</si>
  <si>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</si>
  <si>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</si>
  <si>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</si>
  <si>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</si>
  <si>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</si>
  <si>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</si>
  <si>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</si>
  <si>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</si>
  <si>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</si>
  <si>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</si>
  <si>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</si>
  <si>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</si>
  <si>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</si>
  <si>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</si>
  <si>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</si>
  <si>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</si>
  <si>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</si>
  <si>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</si>
  <si>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</si>
  <si>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</si>
  <si>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</si>
  <si>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</si>
  <si>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</si>
  <si>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</si>
  <si>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</si>
  <si>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</si>
  <si>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</si>
  <si>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</si>
  <si>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</si>
  <si>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</si>
  <si>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</si>
  <si>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</si>
  <si>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</si>
  <si>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</si>
  <si>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</si>
  <si>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</si>
  <si>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</si>
  <si>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</si>
  <si>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</si>
  <si>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</si>
  <si>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</si>
  <si>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</si>
  <si>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</si>
  <si>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</si>
  <si>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</si>
  <si>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</si>
  <si>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</si>
  <si>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</si>
  <si>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</si>
  <si>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</si>
  <si>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</si>
  <si>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</si>
  <si>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</si>
  <si>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</si>
  <si>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</si>
  <si>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</si>
  <si>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</si>
  <si>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</si>
  <si>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</si>
  <si>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</si>
  <si>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</si>
  <si>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</si>
  <si>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</si>
  <si>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</si>
  <si>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</si>
  <si>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</si>
  <si>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</si>
  <si>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</si>
  <si>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</si>
  <si>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</si>
  <si>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</si>
  <si>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</si>
  <si>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</si>
  <si>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</si>
  <si>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</si>
  <si>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</si>
  <si>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</si>
  <si>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</si>
  <si>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</si>
  <si>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</si>
  <si>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</si>
  <si>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</si>
  <si>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</si>
  <si>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</si>
  <si>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</si>
  <si>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</si>
  <si>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</si>
  <si>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</si>
  <si>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</si>
  <si>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</si>
  <si>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</si>
  <si>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</si>
  <si>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</si>
  <si>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</si>
  <si>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</si>
  <si>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</si>
  <si>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</si>
  <si>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</si>
  <si>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</si>
  <si>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</si>
  <si>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</si>
  <si>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</si>
  <si>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</si>
  <si>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</si>
  <si>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</si>
  <si>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</si>
  <si>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</si>
  <si>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</si>
  <si>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</si>
  <si>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</si>
  <si>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</si>
  <si>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</si>
  <si>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</si>
  <si>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</si>
  <si>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</si>
  <si>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</si>
  <si>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</si>
  <si>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</si>
  <si>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</si>
  <si>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</si>
  <si>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</si>
  <si>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</si>
  <si>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</si>
  <si>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</si>
  <si>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</si>
  <si>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</si>
  <si>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</si>
  <si>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</si>
  <si>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</si>
  <si>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</si>
  <si>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</si>
  <si>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</si>
  <si>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</si>
  <si>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</si>
  <si>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</si>
  <si>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</si>
  <si>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</si>
  <si>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</si>
  <si>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</si>
  <si>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</si>
  <si>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</si>
  <si>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</si>
  <si>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</si>
  <si>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</si>
  <si>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</si>
  <si>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</si>
  <si>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</si>
  <si>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</si>
  <si>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</si>
  <si>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</si>
  <si>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</si>
  <si>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</si>
  <si>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</si>
  <si>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</si>
  <si>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</si>
  <si>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</si>
  <si>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</si>
  <si>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</si>
  <si>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</si>
  <si>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</si>
  <si>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</si>
  <si>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</si>
  <si>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</si>
  <si>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</si>
  <si>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</si>
  <si>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</si>
  <si>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</si>
  <si>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</si>
  <si>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</si>
  <si>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</si>
  <si>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</si>
  <si>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</si>
  <si>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</si>
  <si>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</si>
  <si>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</si>
  <si>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</si>
  <si>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</si>
  <si>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</si>
  <si>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</si>
  <si>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</si>
  <si>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</si>
  <si>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</si>
  <si>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</si>
  <si>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</si>
  <si>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</si>
  <si>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</si>
  <si>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</si>
  <si>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</si>
  <si>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</si>
  <si>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</si>
  <si>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</si>
  <si>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</si>
  <si>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</si>
  <si>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</si>
  <si>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</si>
  <si>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</si>
  <si>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</si>
  <si>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</si>
  <si>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</si>
  <si>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</si>
  <si>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</si>
  <si>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</si>
  <si>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</si>
  <si>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AZUCAR--1 BULTO  50 Kg 16-Dic-23-- valentina-rajas-atun-leche-lala-lechera-sal con ajo-italpasta-crema-yogurt-toallas-limpiador-palangana</t>
  </si>
  <si>
    <t>Chile Guajillo-ancho-costeño-Canela-hilaza-papel mixiote-jamaica</t>
  </si>
  <si>
    <t>del   09 - al  15  DICIEMBRE    2023</t>
  </si>
  <si>
    <t>OK</t>
  </si>
  <si>
    <t>del   23 - al  31  DICIEMBRE    2023</t>
  </si>
  <si>
    <t>Del 23  al    31-Dic-23.,</t>
  </si>
  <si>
    <t>Retazo-Bistec pco-Jamon-Quesillo-Norteño-Salchicha--pollo</t>
  </si>
  <si>
    <t>Jitomate-Tomate-Tampico-Ajo-Cebolla-Papa-Jalapeño-Calabaza-Chicharo-Zanahoria-Ejote-Nopal-Ejote--Camote-Zanahoria-Espinaca</t>
  </si>
  <si>
    <t>Lechugas--cilantro-Epazote-Manzanilla-Romana-Rabanito-Poro-Brocoli-</t>
  </si>
  <si>
    <t>coco rayado-cacahuate-Ajonjoli-Arroz-Sal-chile ancho</t>
  </si>
  <si>
    <t>Limon-Melon--papaya-Sandia-Maracuya--Piñas--naranja-</t>
  </si>
  <si>
    <t>Crema-Aluminio-Pavera-yogurt-Maizena--Elote-Galletas-Fibras-Mantequilla-Leche-Knor zuisa-Italpasta-galletas</t>
  </si>
  <si>
    <t>Quesillo-Bisteck-Retazo-Salchicha-Norteño--pollo</t>
  </si>
  <si>
    <t>Limon--Guayaba-Naranja-Sandia-Melon-Papapaya</t>
  </si>
  <si>
    <t>Romanas-Epazote-Thelimon-Hiervabuena-Aguacate-Cilantro-Ongo -</t>
  </si>
  <si>
    <t>Guajillo-Chile ancho-Chipotle-cacahuate-ajonjoli-tabaquero-arroz--Costeño-Tamarindo-</t>
  </si>
  <si>
    <t>Jitomate-Calabaza-Papa-Chicharo-Zanahoria-Poblano-Serrano-Cebolla-Ajo-Ejote-Limon-Jalapeño -Tomate-Nopal-Espinaca-Zanahoria-Camote-Elotes-Poblano-Jicama</t>
  </si>
  <si>
    <t>Maicenas-crema-café legal-atun-leche-galletas-vino blanco-rajas-elote-mayonesa-Italpasta-Yogurt--</t>
  </si>
  <si>
    <t>Del 09  al    15-Dic-23.,</t>
  </si>
  <si>
    <t>Jamaica--Pulla-Frijol--Chile Ancho--Guajillo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</si>
</sst>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6" fillId="0" borderId="9" xfId="1" applyFont="1" applyBorder="1" applyAlignment="1">
      <alignment horizontal="center" vertical="center" wrapText="1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0000FF"/>
      <color rgb="FFFF66FF"/>
      <color rgb="FFFFCCFF"/>
      <color rgb="FFCC99FF"/>
      <color rgb="FFFFCC66"/>
      <color rgb="FFFFCCCC"/>
      <color rgb="FF99CCFF"/>
      <color rgb="FF00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92" t="s">
        <v>36</v>
      </c>
      <c r="D1" s="293"/>
      <c r="E1" s="293"/>
      <c r="F1" s="293"/>
      <c r="G1" s="293"/>
      <c r="H1" s="293"/>
      <c r="I1" s="293"/>
      <c r="J1" s="293"/>
      <c r="K1" s="293"/>
      <c r="L1" s="127" t="s">
        <v>41</v>
      </c>
      <c r="M1" s="133"/>
      <c r="N1" s="81"/>
      <c r="O1" s="303" t="s">
        <v>19</v>
      </c>
      <c r="P1" s="304"/>
      <c r="Q1" s="304"/>
      <c r="R1" s="304"/>
      <c r="S1" s="304"/>
      <c r="T1" s="304"/>
      <c r="U1" s="304"/>
      <c r="V1" s="304"/>
      <c r="W1" s="304"/>
      <c r="X1" s="128" t="s">
        <v>41</v>
      </c>
    </row>
    <row r="2" spans="2:27" ht="16.5" thickBot="1" x14ac:dyDescent="0.3">
      <c r="I2" s="296" t="s">
        <v>129</v>
      </c>
      <c r="J2" s="297"/>
      <c r="K2" s="298"/>
      <c r="L2" s="68"/>
      <c r="M2" s="134"/>
      <c r="N2" s="74"/>
      <c r="O2" s="7"/>
      <c r="P2"/>
      <c r="V2" s="296" t="s">
        <v>107</v>
      </c>
      <c r="W2" s="297"/>
      <c r="X2" s="298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86">
        <f>K18+J18+I18+H18+G18+F18+E18+D18+L18</f>
        <v>14572.5</v>
      </c>
      <c r="G20" s="287"/>
      <c r="H20" s="288"/>
      <c r="I20" s="5"/>
      <c r="J20" s="5"/>
      <c r="K20" s="5"/>
      <c r="L20" s="71"/>
      <c r="M20" s="74"/>
      <c r="N20" s="74"/>
      <c r="O20" s="7"/>
      <c r="P20"/>
      <c r="Q20" s="5"/>
      <c r="R20" s="5"/>
      <c r="S20" s="289">
        <f>Q18+R18+S18+T18+U18+V18+W18+X18</f>
        <v>21274</v>
      </c>
      <c r="T20" s="290"/>
      <c r="U20" s="291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21" t="s">
        <v>121</v>
      </c>
      <c r="D2" s="322"/>
      <c r="E2" s="322"/>
      <c r="F2" s="322"/>
      <c r="G2" s="322"/>
      <c r="H2" s="322"/>
      <c r="I2" s="322"/>
      <c r="J2" s="322"/>
      <c r="K2" s="322"/>
      <c r="L2" s="123"/>
      <c r="M2" s="124"/>
      <c r="N2" s="125"/>
      <c r="O2" s="125"/>
      <c r="P2" s="323" t="s">
        <v>122</v>
      </c>
      <c r="Q2" s="324"/>
      <c r="R2" s="324"/>
      <c r="S2" s="324"/>
      <c r="T2" s="324"/>
      <c r="U2" s="324"/>
      <c r="V2" s="324"/>
      <c r="W2" s="324"/>
      <c r="X2" s="324"/>
      <c r="Y2" s="324"/>
      <c r="Z2" s="325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86">
        <f>K17+J17+I17+H17+G17+F17+E17+D17+L17</f>
        <v>50513</v>
      </c>
      <c r="G19" s="287"/>
      <c r="H19" s="288"/>
      <c r="I19" s="5"/>
      <c r="J19" s="5"/>
      <c r="K19" s="5"/>
      <c r="L19" s="5"/>
      <c r="M19" s="74"/>
      <c r="N19" s="74"/>
      <c r="O19" s="74"/>
      <c r="R19" s="5"/>
      <c r="S19" s="5"/>
      <c r="T19" s="289">
        <f>R17+S17+T17+U17+W17+X17+Y17+Z17</f>
        <v>78100</v>
      </c>
      <c r="U19" s="290"/>
      <c r="V19" s="291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92" t="s">
        <v>17</v>
      </c>
      <c r="C2" s="293"/>
      <c r="D2" s="293"/>
      <c r="E2" s="293"/>
      <c r="F2" s="293"/>
      <c r="G2" s="293"/>
      <c r="H2" s="293"/>
      <c r="I2" s="293"/>
      <c r="J2" s="293"/>
      <c r="K2" s="101"/>
      <c r="L2" s="39"/>
      <c r="M2" s="303" t="s">
        <v>19</v>
      </c>
      <c r="N2" s="304"/>
      <c r="O2" s="304"/>
      <c r="P2" s="304"/>
      <c r="Q2" s="304"/>
      <c r="R2" s="304"/>
      <c r="S2" s="304"/>
      <c r="T2" s="304"/>
      <c r="U2" s="304"/>
      <c r="V2" s="304"/>
      <c r="W2" s="312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86">
        <f>J28+I28+H28+G28+F28+E28+D28+C28+K28</f>
        <v>27026.5</v>
      </c>
      <c r="F30" s="287"/>
      <c r="G30" s="288"/>
      <c r="H30" s="5"/>
      <c r="I30" s="5"/>
      <c r="J30" s="5"/>
      <c r="K30" s="5"/>
      <c r="L30" s="3"/>
      <c r="O30" s="5"/>
      <c r="P30" s="5"/>
      <c r="Q30" s="289">
        <f>O28+P28+Q28+R28+T28+U28+V28+W28</f>
        <v>39532.5</v>
      </c>
      <c r="R30" s="290"/>
      <c r="S30" s="291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45"/>
  <sheetViews>
    <sheetView tabSelected="1" topLeftCell="A63" workbookViewId="0">
      <selection activeCell="C73" sqref="C73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.75" thickBot="1" x14ac:dyDescent="0.3"/>
    <row r="2" spans="2:27" ht="22.5" thickTop="1" thickBot="1" x14ac:dyDescent="0.4">
      <c r="B2" s="7"/>
      <c r="C2" s="275" t="s">
        <v>36</v>
      </c>
      <c r="D2" s="278"/>
      <c r="E2" s="278"/>
      <c r="F2" s="278"/>
      <c r="G2" s="278"/>
      <c r="H2" s="278"/>
      <c r="I2" s="278"/>
      <c r="J2" s="278"/>
      <c r="K2" s="278"/>
      <c r="L2" s="128" t="s">
        <v>208</v>
      </c>
      <c r="M2" s="133"/>
      <c r="N2" s="81"/>
      <c r="O2" s="276" t="s">
        <v>19</v>
      </c>
      <c r="P2" s="279"/>
      <c r="Q2" s="279"/>
      <c r="R2" s="279"/>
      <c r="S2" s="279"/>
      <c r="T2" s="279"/>
      <c r="U2" s="279"/>
      <c r="V2" s="279"/>
      <c r="W2" s="279"/>
      <c r="X2" s="190" t="str">
        <f>L2</f>
        <v># 05</v>
      </c>
    </row>
    <row r="3" spans="2:27" ht="16.5" thickBot="1" x14ac:dyDescent="0.3">
      <c r="B3" s="7"/>
      <c r="C3" s="1"/>
      <c r="I3" s="280" t="s">
        <v>382</v>
      </c>
      <c r="J3" s="281"/>
      <c r="K3" s="282"/>
      <c r="L3" s="68"/>
      <c r="M3" s="134"/>
      <c r="N3" s="74"/>
      <c r="O3" s="7"/>
      <c r="V3" s="280" t="str">
        <f>I3</f>
        <v>del   23 - al  31  DICIEMBRE    2023</v>
      </c>
      <c r="W3" s="281"/>
      <c r="X3" s="28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68.25" customHeight="1" x14ac:dyDescent="0.25">
      <c r="B5" s="93" t="s">
        <v>383</v>
      </c>
      <c r="C5" s="234" t="s">
        <v>384</v>
      </c>
      <c r="D5" s="72"/>
      <c r="E5" s="72"/>
      <c r="F5" s="72"/>
      <c r="G5" s="72"/>
      <c r="H5" s="72"/>
      <c r="I5" s="72"/>
      <c r="J5" s="72"/>
      <c r="K5" s="72">
        <f>2539+1871+950</f>
        <v>5360</v>
      </c>
      <c r="L5" s="71"/>
      <c r="M5" s="131"/>
      <c r="N5" s="74"/>
      <c r="O5" s="93" t="s">
        <v>383</v>
      </c>
      <c r="P5" s="234" t="s">
        <v>390</v>
      </c>
      <c r="Q5" s="283"/>
      <c r="R5" s="283"/>
      <c r="S5" s="283"/>
      <c r="T5" s="283"/>
      <c r="U5" s="283"/>
      <c r="V5" s="283"/>
      <c r="W5" s="283"/>
      <c r="X5" s="72">
        <f>2593+1872+1341</f>
        <v>5806</v>
      </c>
      <c r="AA5" t="s">
        <v>26</v>
      </c>
    </row>
    <row r="6" spans="2:27" ht="67.5" customHeight="1" x14ac:dyDescent="0.25">
      <c r="B6" s="93" t="s">
        <v>383</v>
      </c>
      <c r="C6" s="44" t="s">
        <v>385</v>
      </c>
      <c r="D6" s="67"/>
      <c r="E6" s="67"/>
      <c r="F6" s="67">
        <f>2150+3205+150+140+212+140+24</f>
        <v>6021</v>
      </c>
      <c r="G6" s="67"/>
      <c r="H6" s="67"/>
      <c r="I6" s="67"/>
      <c r="J6" s="67"/>
      <c r="K6" s="67"/>
      <c r="L6" s="67"/>
      <c r="M6" s="131"/>
      <c r="N6" s="74"/>
      <c r="O6" s="93" t="s">
        <v>383</v>
      </c>
      <c r="P6" s="44" t="s">
        <v>394</v>
      </c>
      <c r="Q6" s="283"/>
      <c r="R6" s="283"/>
      <c r="S6" s="283">
        <f>4210+3011+200+45+140+218+100+150</f>
        <v>8074</v>
      </c>
      <c r="T6" s="283"/>
      <c r="U6" s="283"/>
      <c r="V6" s="283"/>
      <c r="W6" s="283"/>
      <c r="X6" s="67"/>
    </row>
    <row r="7" spans="2:27" ht="42" customHeight="1" x14ac:dyDescent="0.25">
      <c r="B7" s="93" t="s">
        <v>383</v>
      </c>
      <c r="C7" s="44" t="s">
        <v>386</v>
      </c>
      <c r="D7" s="67"/>
      <c r="E7" s="67"/>
      <c r="F7" s="67"/>
      <c r="G7" s="67">
        <f>45+75+56</f>
        <v>176</v>
      </c>
      <c r="H7" s="67"/>
      <c r="I7" s="67"/>
      <c r="J7" s="67"/>
      <c r="K7" s="67"/>
      <c r="L7" s="67"/>
      <c r="M7" s="131"/>
      <c r="N7" s="74"/>
      <c r="O7" s="93" t="s">
        <v>383</v>
      </c>
      <c r="P7" s="44" t="s">
        <v>391</v>
      </c>
      <c r="Q7" s="283"/>
      <c r="R7" s="283"/>
      <c r="S7" s="283">
        <f>100+400+75+45+294+241</f>
        <v>1155</v>
      </c>
      <c r="T7" s="283"/>
      <c r="U7" s="283"/>
      <c r="V7" s="283"/>
      <c r="W7" s="283"/>
      <c r="X7" s="67"/>
    </row>
    <row r="8" spans="2:27" ht="54" customHeight="1" x14ac:dyDescent="0.25">
      <c r="B8" s="93" t="s">
        <v>383</v>
      </c>
      <c r="C8" s="96" t="s">
        <v>388</v>
      </c>
      <c r="D8" s="67">
        <f>100+95+417+210+47+90+144</f>
        <v>1103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383</v>
      </c>
      <c r="P8" s="96" t="s">
        <v>392</v>
      </c>
      <c r="Q8" s="283"/>
      <c r="R8" s="283"/>
      <c r="S8" s="283"/>
      <c r="T8" s="283">
        <f>40+75+132</f>
        <v>247</v>
      </c>
      <c r="U8" s="283"/>
      <c r="V8" s="283"/>
      <c r="W8" s="283"/>
      <c r="X8" s="67"/>
    </row>
    <row r="9" spans="2:27" ht="38.25" customHeight="1" x14ac:dyDescent="0.25">
      <c r="B9" s="93" t="s">
        <v>383</v>
      </c>
      <c r="C9" s="239" t="s">
        <v>12</v>
      </c>
      <c r="D9" s="67"/>
      <c r="E9" s="67"/>
      <c r="F9" s="67"/>
      <c r="G9" s="67"/>
      <c r="H9" s="67"/>
      <c r="I9" s="67">
        <f>210+759</f>
        <v>969</v>
      </c>
      <c r="J9" s="67"/>
      <c r="K9" s="67"/>
      <c r="L9" s="67"/>
      <c r="M9" s="131"/>
      <c r="N9" s="74"/>
      <c r="O9" s="93" t="s">
        <v>383</v>
      </c>
      <c r="P9" s="95" t="s">
        <v>4</v>
      </c>
      <c r="Q9" s="283"/>
      <c r="R9" s="283"/>
      <c r="S9" s="283"/>
      <c r="T9" s="283"/>
      <c r="U9" s="283">
        <v>766</v>
      </c>
      <c r="V9" s="283"/>
      <c r="W9" s="283"/>
      <c r="X9" s="67"/>
      <c r="Y9" s="242"/>
    </row>
    <row r="10" spans="2:27" ht="66.75" customHeight="1" x14ac:dyDescent="0.25">
      <c r="B10" s="93" t="s">
        <v>383</v>
      </c>
      <c r="C10" s="277" t="s">
        <v>389</v>
      </c>
      <c r="D10" s="67"/>
      <c r="E10" s="67"/>
      <c r="F10" s="67"/>
      <c r="G10" s="67"/>
      <c r="H10" s="67"/>
      <c r="I10" s="67"/>
      <c r="J10" s="67">
        <f>218+93+58+524+1795+16+75.5</f>
        <v>2779.5</v>
      </c>
      <c r="K10" s="67"/>
      <c r="L10" s="67"/>
      <c r="M10" s="131"/>
      <c r="N10" s="74"/>
      <c r="O10" s="93" t="s">
        <v>383</v>
      </c>
      <c r="P10" s="268" t="s">
        <v>393</v>
      </c>
      <c r="Q10" s="283"/>
      <c r="R10" s="283">
        <f>316+1402+100+536</f>
        <v>2354</v>
      </c>
      <c r="S10" s="283"/>
      <c r="T10" s="283"/>
      <c r="U10" s="283"/>
      <c r="V10" s="283"/>
      <c r="W10" s="283"/>
      <c r="X10" s="255"/>
      <c r="Y10" s="284" t="s">
        <v>377</v>
      </c>
    </row>
    <row r="11" spans="2:27" ht="75" x14ac:dyDescent="0.25">
      <c r="B11" s="93" t="s">
        <v>383</v>
      </c>
      <c r="C11" s="44" t="s">
        <v>387</v>
      </c>
      <c r="D11" s="67"/>
      <c r="E11" s="67">
        <f>16+381+50+140</f>
        <v>587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383</v>
      </c>
      <c r="P11" s="260" t="s">
        <v>395</v>
      </c>
      <c r="Q11" s="283"/>
      <c r="R11" s="283"/>
      <c r="S11" s="283"/>
      <c r="T11" s="283"/>
      <c r="U11" s="283"/>
      <c r="V11" s="283"/>
      <c r="W11" s="283">
        <f>48+214+321+752+298+890.5+155+30.5</f>
        <v>2709</v>
      </c>
      <c r="X11" s="67"/>
      <c r="Y11" s="129"/>
    </row>
    <row r="12" spans="2:27" ht="33.75" customHeight="1" x14ac:dyDescent="0.25">
      <c r="B12" s="93" t="s">
        <v>383</v>
      </c>
      <c r="C12" s="95" t="s">
        <v>96</v>
      </c>
      <c r="D12" s="67"/>
      <c r="E12" s="67"/>
      <c r="F12" s="67"/>
      <c r="G12" s="67"/>
      <c r="H12" s="67">
        <f>221+102+136+102+102+102</f>
        <v>765</v>
      </c>
      <c r="I12" s="67"/>
      <c r="J12" s="67"/>
      <c r="K12" s="67"/>
      <c r="L12" s="67"/>
      <c r="M12" s="131"/>
      <c r="N12" s="74"/>
      <c r="O12" s="93" t="s">
        <v>383</v>
      </c>
      <c r="P12" s="195" t="s">
        <v>140</v>
      </c>
      <c r="Q12" s="283"/>
      <c r="R12" s="283"/>
      <c r="S12" s="283"/>
      <c r="T12" s="283"/>
      <c r="U12" s="283"/>
      <c r="V12" s="283">
        <f>800+800+3599</f>
        <v>5199</v>
      </c>
      <c r="W12" s="283"/>
      <c r="X12" s="67"/>
    </row>
    <row r="13" spans="2:27" ht="34.5" customHeight="1" x14ac:dyDescent="0.25">
      <c r="B13" s="93" t="s">
        <v>383</v>
      </c>
      <c r="C13" s="95" t="s">
        <v>239</v>
      </c>
      <c r="D13" s="67"/>
      <c r="E13" s="67"/>
      <c r="F13" s="67"/>
      <c r="G13" s="67"/>
      <c r="H13" s="67">
        <f>416+420+420+240+70</f>
        <v>1566</v>
      </c>
      <c r="I13" s="67"/>
      <c r="J13" s="67"/>
      <c r="K13" s="67"/>
      <c r="L13" s="67"/>
      <c r="M13" s="131"/>
      <c r="N13" s="74"/>
      <c r="O13" s="93" t="s">
        <v>383</v>
      </c>
      <c r="P13" s="192" t="s">
        <v>217</v>
      </c>
      <c r="Q13" s="283"/>
      <c r="R13" s="283"/>
      <c r="S13" s="283"/>
      <c r="T13" s="283"/>
      <c r="U13" s="283"/>
      <c r="V13" s="283">
        <f>221+204+289+187+221+187</f>
        <v>1309</v>
      </c>
      <c r="W13" s="283"/>
      <c r="X13" s="67"/>
      <c r="Y13" s="130"/>
    </row>
    <row r="14" spans="2:27" ht="49.5" customHeight="1" x14ac:dyDescent="0.25">
      <c r="B14" s="93" t="s">
        <v>383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383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51.75" customHeight="1" thickBot="1" x14ac:dyDescent="0.3">
      <c r="B15" s="93" t="s">
        <v>365</v>
      </c>
      <c r="C15" s="253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1103</v>
      </c>
      <c r="E19" s="30">
        <f t="shared" ref="E19:L19" si="0">SUM(E5:E18)</f>
        <v>587</v>
      </c>
      <c r="F19" s="30">
        <f t="shared" si="0"/>
        <v>6021</v>
      </c>
      <c r="G19" s="30">
        <f t="shared" si="0"/>
        <v>176</v>
      </c>
      <c r="H19" s="30">
        <f t="shared" si="0"/>
        <v>2331</v>
      </c>
      <c r="I19" s="30">
        <f t="shared" si="0"/>
        <v>969</v>
      </c>
      <c r="J19" s="30">
        <f t="shared" si="0"/>
        <v>2779.5</v>
      </c>
      <c r="K19" s="30">
        <f t="shared" si="0"/>
        <v>5360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0</v>
      </c>
      <c r="R19" s="21">
        <f t="shared" si="1"/>
        <v>2354</v>
      </c>
      <c r="S19" s="21">
        <f t="shared" si="1"/>
        <v>9229</v>
      </c>
      <c r="T19" s="21">
        <f t="shared" si="1"/>
        <v>247</v>
      </c>
      <c r="U19" s="21">
        <f t="shared" si="1"/>
        <v>766</v>
      </c>
      <c r="V19" s="21">
        <f t="shared" si="1"/>
        <v>6508</v>
      </c>
      <c r="W19" s="21">
        <f t="shared" si="1"/>
        <v>2709</v>
      </c>
      <c r="X19" s="21">
        <f t="shared" si="1"/>
        <v>5806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86">
        <f>K19+J19+I19+H19+G19+F19+E19+D19+L19</f>
        <v>19826.5</v>
      </c>
      <c r="G21" s="299"/>
      <c r="H21" s="300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289">
        <f>Q19+R19+S19+T19+U19+V19+W19+X19</f>
        <v>27619</v>
      </c>
      <c r="T21" s="301"/>
      <c r="U21" s="302"/>
      <c r="V21" s="5"/>
      <c r="W21" s="5">
        <v>27619</v>
      </c>
      <c r="X21" s="5"/>
    </row>
    <row r="31" spans="2:24" ht="15.75" thickBot="1" x14ac:dyDescent="0.3"/>
    <row r="32" spans="2:24" ht="22.5" thickTop="1" thickBot="1" x14ac:dyDescent="0.4">
      <c r="B32" s="7"/>
      <c r="C32" s="275" t="s">
        <v>36</v>
      </c>
      <c r="D32" s="270"/>
      <c r="E32" s="270"/>
      <c r="F32" s="270"/>
      <c r="G32" s="270"/>
      <c r="H32" s="270"/>
      <c r="I32" s="270"/>
      <c r="J32" s="270"/>
      <c r="K32" s="270"/>
      <c r="L32" s="128" t="s">
        <v>88</v>
      </c>
      <c r="M32" s="133"/>
      <c r="N32" s="81"/>
      <c r="O32" s="276" t="s">
        <v>19</v>
      </c>
      <c r="P32" s="271"/>
      <c r="Q32" s="271"/>
      <c r="R32" s="271"/>
      <c r="S32" s="271"/>
      <c r="T32" s="271"/>
      <c r="U32" s="271"/>
      <c r="V32" s="271"/>
      <c r="W32" s="271"/>
      <c r="X32" s="190" t="str">
        <f>L32</f>
        <v># 04</v>
      </c>
    </row>
    <row r="33" spans="2:27" ht="16.5" thickBot="1" x14ac:dyDescent="0.3">
      <c r="B33" s="7"/>
      <c r="C33" s="1"/>
      <c r="I33" s="272" t="s">
        <v>364</v>
      </c>
      <c r="J33" s="273"/>
      <c r="K33" s="274"/>
      <c r="L33" s="68"/>
      <c r="M33" s="134"/>
      <c r="N33" s="74"/>
      <c r="O33" s="7"/>
      <c r="V33" s="272" t="str">
        <f>I33</f>
        <v>del   16 - al  22  DICIEMBRE    2023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7" ht="68.25" customHeight="1" x14ac:dyDescent="0.25">
      <c r="B35" s="93" t="s">
        <v>365</v>
      </c>
      <c r="C35" s="234" t="s">
        <v>366</v>
      </c>
      <c r="D35" s="72"/>
      <c r="E35" s="72"/>
      <c r="F35" s="72"/>
      <c r="G35" s="72"/>
      <c r="H35" s="72"/>
      <c r="I35" s="72"/>
      <c r="J35" s="72"/>
      <c r="K35" s="72">
        <f>1184+1897+1201+1429+1102</f>
        <v>6813</v>
      </c>
      <c r="L35" s="71"/>
      <c r="M35" s="131"/>
      <c r="N35" s="74"/>
      <c r="O35" s="93" t="s">
        <v>365</v>
      </c>
      <c r="P35" s="234" t="s">
        <v>373</v>
      </c>
      <c r="Q35" s="283"/>
      <c r="R35" s="283"/>
      <c r="S35" s="283"/>
      <c r="T35" s="283"/>
      <c r="U35" s="283"/>
      <c r="V35" s="283"/>
      <c r="W35" s="283"/>
      <c r="X35" s="72">
        <f>1168+2317+1245</f>
        <v>4730</v>
      </c>
      <c r="AA35" t="s">
        <v>26</v>
      </c>
    </row>
    <row r="36" spans="2:27" ht="67.5" customHeight="1" x14ac:dyDescent="0.25">
      <c r="B36" s="93" t="s">
        <v>365</v>
      </c>
      <c r="C36" s="44" t="s">
        <v>367</v>
      </c>
      <c r="D36" s="67"/>
      <c r="E36" s="67"/>
      <c r="F36" s="67">
        <f>2171+70+150+150+130</f>
        <v>2671</v>
      </c>
      <c r="G36" s="67"/>
      <c r="H36" s="67"/>
      <c r="I36" s="67"/>
      <c r="J36" s="67"/>
      <c r="K36" s="67"/>
      <c r="L36" s="67"/>
      <c r="M36" s="131"/>
      <c r="N36" s="74"/>
      <c r="O36" s="93" t="s">
        <v>365</v>
      </c>
      <c r="P36" s="44" t="s">
        <v>374</v>
      </c>
      <c r="Q36" s="283"/>
      <c r="R36" s="283"/>
      <c r="S36" s="283">
        <f>3414+72</f>
        <v>3486</v>
      </c>
      <c r="T36" s="283"/>
      <c r="U36" s="283"/>
      <c r="V36" s="283"/>
      <c r="W36" s="283"/>
      <c r="X36" s="67"/>
    </row>
    <row r="37" spans="2:27" ht="42" customHeight="1" x14ac:dyDescent="0.25">
      <c r="B37" s="93" t="s">
        <v>365</v>
      </c>
      <c r="C37" s="44" t="s">
        <v>368</v>
      </c>
      <c r="D37" s="67"/>
      <c r="E37" s="67"/>
      <c r="F37" s="67"/>
      <c r="G37" s="67">
        <f>50+5</f>
        <v>55</v>
      </c>
      <c r="H37" s="67"/>
      <c r="I37" s="67"/>
      <c r="J37" s="67"/>
      <c r="K37" s="67"/>
      <c r="L37" s="67"/>
      <c r="M37" s="131"/>
      <c r="N37" s="74"/>
      <c r="O37" s="93" t="s">
        <v>365</v>
      </c>
      <c r="P37" s="44" t="s">
        <v>375</v>
      </c>
      <c r="Q37" s="283">
        <f>65+150+861</f>
        <v>1076</v>
      </c>
      <c r="R37" s="283"/>
      <c r="S37" s="283"/>
      <c r="T37" s="283"/>
      <c r="U37" s="283"/>
      <c r="V37" s="283"/>
      <c r="W37" s="283"/>
      <c r="X37" s="67"/>
    </row>
    <row r="38" spans="2:27" ht="54" customHeight="1" x14ac:dyDescent="0.25">
      <c r="B38" s="93" t="s">
        <v>365</v>
      </c>
      <c r="C38" s="96" t="s">
        <v>369</v>
      </c>
      <c r="D38" s="67">
        <f>400+60+40+160</f>
        <v>660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365</v>
      </c>
      <c r="P38" s="96" t="s">
        <v>376</v>
      </c>
      <c r="Q38" s="283"/>
      <c r="R38" s="283"/>
      <c r="S38" s="283"/>
      <c r="T38" s="283">
        <v>60</v>
      </c>
      <c r="U38" s="283"/>
      <c r="V38" s="283"/>
      <c r="W38" s="283"/>
      <c r="X38" s="67"/>
    </row>
    <row r="39" spans="2:27" ht="38.25" customHeight="1" x14ac:dyDescent="0.25">
      <c r="B39" s="93" t="s">
        <v>365</v>
      </c>
      <c r="C39" s="239" t="s">
        <v>12</v>
      </c>
      <c r="D39" s="67"/>
      <c r="E39" s="67"/>
      <c r="F39" s="67"/>
      <c r="G39" s="67"/>
      <c r="H39" s="67"/>
      <c r="I39" s="67">
        <v>399</v>
      </c>
      <c r="J39" s="67"/>
      <c r="K39" s="67"/>
      <c r="L39" s="67"/>
      <c r="M39" s="131"/>
      <c r="N39" s="74"/>
      <c r="O39" s="93" t="s">
        <v>365</v>
      </c>
      <c r="P39" s="95" t="s">
        <v>4</v>
      </c>
      <c r="Q39" s="283"/>
      <c r="R39" s="283"/>
      <c r="S39" s="283"/>
      <c r="T39" s="283"/>
      <c r="U39" s="283">
        <v>798</v>
      </c>
      <c r="V39" s="283"/>
      <c r="W39" s="283"/>
      <c r="X39" s="67"/>
      <c r="Y39" s="242"/>
    </row>
    <row r="40" spans="2:27" ht="66.75" customHeight="1" x14ac:dyDescent="0.25">
      <c r="B40" s="93" t="s">
        <v>365</v>
      </c>
      <c r="C40" s="277" t="s">
        <v>371</v>
      </c>
      <c r="D40" s="67"/>
      <c r="E40" s="67"/>
      <c r="F40" s="67"/>
      <c r="G40" s="67"/>
      <c r="H40" s="67"/>
      <c r="I40" s="67"/>
      <c r="J40" s="67">
        <f>127+57+2073+112</f>
        <v>2369</v>
      </c>
      <c r="K40" s="67"/>
      <c r="L40" s="67"/>
      <c r="M40" s="131"/>
      <c r="N40" s="74"/>
      <c r="O40" s="93" t="s">
        <v>365</v>
      </c>
      <c r="P40" s="268" t="s">
        <v>378</v>
      </c>
      <c r="Q40" s="283"/>
      <c r="R40" s="283"/>
      <c r="S40" s="283"/>
      <c r="T40" s="283"/>
      <c r="U40" s="283"/>
      <c r="V40" s="283"/>
      <c r="W40" s="283">
        <f>1280+23+1503+234+133+341+1074+1663+159</f>
        <v>6410</v>
      </c>
      <c r="X40" s="255"/>
      <c r="Y40" s="284" t="s">
        <v>377</v>
      </c>
    </row>
    <row r="41" spans="2:27" ht="52.5" customHeight="1" x14ac:dyDescent="0.25">
      <c r="B41" s="93" t="s">
        <v>365</v>
      </c>
      <c r="C41" s="44" t="s">
        <v>372</v>
      </c>
      <c r="D41" s="67"/>
      <c r="E41" s="67">
        <f>225+76</f>
        <v>301</v>
      </c>
      <c r="F41" s="67"/>
      <c r="G41" s="67"/>
      <c r="H41" s="67"/>
      <c r="I41" s="67"/>
      <c r="J41" s="94"/>
      <c r="K41" s="67"/>
      <c r="L41" s="67"/>
      <c r="M41" s="131"/>
      <c r="N41" s="74"/>
      <c r="O41" s="93" t="s">
        <v>365</v>
      </c>
      <c r="P41" s="260" t="s">
        <v>379</v>
      </c>
      <c r="Q41" s="283"/>
      <c r="R41" s="283">
        <f>559+153+795+336</f>
        <v>1843</v>
      </c>
      <c r="S41" s="283"/>
      <c r="T41" s="283"/>
      <c r="U41" s="283"/>
      <c r="V41" s="283"/>
      <c r="W41" s="283"/>
      <c r="X41" s="67"/>
      <c r="Y41" s="129"/>
    </row>
    <row r="42" spans="2:27" ht="33.75" customHeight="1" x14ac:dyDescent="0.25">
      <c r="B42" s="93" t="s">
        <v>365</v>
      </c>
      <c r="C42" s="95" t="s">
        <v>96</v>
      </c>
      <c r="D42" s="67"/>
      <c r="E42" s="67"/>
      <c r="F42" s="67"/>
      <c r="G42" s="67"/>
      <c r="H42" s="67">
        <f>136+119+289+85</f>
        <v>629</v>
      </c>
      <c r="I42" s="67"/>
      <c r="J42" s="67"/>
      <c r="K42" s="67"/>
      <c r="L42" s="67"/>
      <c r="M42" s="131"/>
      <c r="N42" s="74"/>
      <c r="O42" s="93" t="s">
        <v>365</v>
      </c>
      <c r="P42" s="195" t="s">
        <v>140</v>
      </c>
      <c r="Q42" s="283"/>
      <c r="R42" s="283"/>
      <c r="S42" s="283"/>
      <c r="T42" s="283"/>
      <c r="U42" s="283"/>
      <c r="V42" s="283">
        <f>448+800+800+2504+367.5+800</f>
        <v>5719.5</v>
      </c>
      <c r="W42" s="283"/>
      <c r="X42" s="67"/>
    </row>
    <row r="43" spans="2:27" ht="34.5" customHeight="1" x14ac:dyDescent="0.25">
      <c r="B43" s="93" t="s">
        <v>365</v>
      </c>
      <c r="C43" s="95" t="s">
        <v>239</v>
      </c>
      <c r="D43" s="67"/>
      <c r="E43" s="67"/>
      <c r="F43" s="67"/>
      <c r="G43" s="67"/>
      <c r="H43" s="67">
        <f>288+420+420+420</f>
        <v>1548</v>
      </c>
      <c r="I43" s="67"/>
      <c r="J43" s="67"/>
      <c r="K43" s="67"/>
      <c r="L43" s="67"/>
      <c r="M43" s="131"/>
      <c r="N43" s="74"/>
      <c r="O43" s="93" t="s">
        <v>365</v>
      </c>
      <c r="P43" s="192" t="s">
        <v>217</v>
      </c>
      <c r="Q43" s="283"/>
      <c r="R43" s="283"/>
      <c r="S43" s="283"/>
      <c r="T43" s="283"/>
      <c r="U43" s="283"/>
      <c r="V43" s="283">
        <f>255+204+221+204</f>
        <v>884</v>
      </c>
      <c r="W43" s="283"/>
      <c r="X43" s="67"/>
      <c r="Y43" s="130"/>
    </row>
    <row r="44" spans="2:27" ht="49.5" customHeight="1" x14ac:dyDescent="0.25">
      <c r="B44" s="93" t="s">
        <v>365</v>
      </c>
      <c r="C44" s="42" t="s">
        <v>146</v>
      </c>
      <c r="D44" s="67"/>
      <c r="E44" s="67"/>
      <c r="F44" s="67"/>
      <c r="G44" s="67"/>
      <c r="H44" s="67" t="s">
        <v>26</v>
      </c>
      <c r="I44" s="67"/>
      <c r="J44" s="67"/>
      <c r="K44" s="67"/>
      <c r="L44" s="67">
        <v>500</v>
      </c>
      <c r="M44" s="131"/>
      <c r="N44" s="74"/>
      <c r="O44" s="93" t="s">
        <v>365</v>
      </c>
      <c r="P44" s="195"/>
      <c r="Q44" s="283"/>
      <c r="R44" s="283"/>
      <c r="S44" s="283"/>
      <c r="T44" s="283"/>
      <c r="U44" s="283"/>
      <c r="V44" s="283"/>
      <c r="W44" s="283"/>
      <c r="X44" s="67"/>
      <c r="Y44" s="269"/>
    </row>
    <row r="45" spans="2:27" ht="51.75" customHeight="1" thickBot="1" x14ac:dyDescent="0.3">
      <c r="B45" s="93" t="s">
        <v>365</v>
      </c>
      <c r="C45" s="253" t="s">
        <v>370</v>
      </c>
      <c r="D45" s="67"/>
      <c r="E45" s="67"/>
      <c r="F45" s="67"/>
      <c r="G45" s="67"/>
      <c r="H45" s="67"/>
      <c r="I45" s="67"/>
      <c r="J45" s="67">
        <v>1280</v>
      </c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5.75" hidden="1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idden="1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1:24" ht="24" thickBot="1" x14ac:dyDescent="0.3">
      <c r="B49" s="7"/>
      <c r="C49" s="35" t="s">
        <v>18</v>
      </c>
      <c r="D49" s="30">
        <f>SUM(D35:D48)</f>
        <v>660</v>
      </c>
      <c r="E49" s="30">
        <f t="shared" ref="E49:L49" si="2">SUM(E35:E48)</f>
        <v>301</v>
      </c>
      <c r="F49" s="30">
        <f t="shared" si="2"/>
        <v>2671</v>
      </c>
      <c r="G49" s="30">
        <f t="shared" si="2"/>
        <v>55</v>
      </c>
      <c r="H49" s="30">
        <f t="shared" si="2"/>
        <v>2177</v>
      </c>
      <c r="I49" s="30">
        <f t="shared" si="2"/>
        <v>399</v>
      </c>
      <c r="J49" s="30">
        <f t="shared" si="2"/>
        <v>3649</v>
      </c>
      <c r="K49" s="30">
        <f t="shared" si="2"/>
        <v>6813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1076</v>
      </c>
      <c r="R49" s="21">
        <f t="shared" si="3"/>
        <v>1843</v>
      </c>
      <c r="S49" s="21">
        <f t="shared" si="3"/>
        <v>3486</v>
      </c>
      <c r="T49" s="21">
        <f t="shared" si="3"/>
        <v>60</v>
      </c>
      <c r="U49" s="21">
        <f t="shared" si="3"/>
        <v>798</v>
      </c>
      <c r="V49" s="21">
        <f t="shared" si="3"/>
        <v>6603.5</v>
      </c>
      <c r="W49" s="21">
        <f t="shared" si="3"/>
        <v>6410</v>
      </c>
      <c r="X49" s="21">
        <f t="shared" si="3"/>
        <v>4730</v>
      </c>
    </row>
    <row r="50" spans="1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1:24" ht="21.75" thickBot="1" x14ac:dyDescent="0.4">
      <c r="B51" s="7"/>
      <c r="C51" s="1"/>
      <c r="D51" s="5"/>
      <c r="E51" s="5"/>
      <c r="F51" s="286">
        <f>K49+J49+I49+H49+G49+F49+E49+D49+L49</f>
        <v>17225</v>
      </c>
      <c r="G51" s="299"/>
      <c r="H51" s="300"/>
      <c r="I51" s="5"/>
      <c r="J51" s="5"/>
      <c r="K51" s="5"/>
      <c r="L51" s="71"/>
      <c r="M51" s="74"/>
      <c r="N51" s="74"/>
      <c r="O51" s="7"/>
      <c r="Q51" s="5"/>
      <c r="R51" s="5"/>
      <c r="S51" s="289">
        <f>Q49+R49+S49+T49+U49+V49+W49+X49</f>
        <v>25006.5</v>
      </c>
      <c r="T51" s="301"/>
      <c r="U51" s="302"/>
      <c r="V51" s="5"/>
      <c r="W51" s="5"/>
      <c r="X51" s="5"/>
    </row>
    <row r="52" spans="1:24" s="80" customFormat="1" ht="21" x14ac:dyDescent="0.35">
      <c r="A52" s="80" t="s">
        <v>26</v>
      </c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2" spans="1:24" ht="15.75" thickBot="1" x14ac:dyDescent="0.3"/>
    <row r="63" spans="1:24" ht="22.5" thickTop="1" thickBot="1" x14ac:dyDescent="0.4">
      <c r="B63" s="7"/>
      <c r="C63" s="292" t="s">
        <v>36</v>
      </c>
      <c r="D63" s="293"/>
      <c r="E63" s="293"/>
      <c r="F63" s="293"/>
      <c r="G63" s="293"/>
      <c r="H63" s="293"/>
      <c r="I63" s="293"/>
      <c r="J63" s="293"/>
      <c r="K63" s="293"/>
      <c r="L63" s="128" t="s">
        <v>66</v>
      </c>
      <c r="M63" s="133"/>
      <c r="N63" s="81"/>
      <c r="O63" s="294" t="s">
        <v>19</v>
      </c>
      <c r="P63" s="295"/>
      <c r="Q63" s="295"/>
      <c r="R63" s="295"/>
      <c r="S63" s="295"/>
      <c r="T63" s="295"/>
      <c r="U63" s="295"/>
      <c r="V63" s="295"/>
      <c r="W63" s="295"/>
      <c r="X63" s="190" t="str">
        <f>L63</f>
        <v># 03</v>
      </c>
    </row>
    <row r="64" spans="1:24" ht="16.5" thickBot="1" x14ac:dyDescent="0.3">
      <c r="B64" s="7"/>
      <c r="C64" s="1"/>
      <c r="I64" s="296" t="s">
        <v>380</v>
      </c>
      <c r="J64" s="297"/>
      <c r="K64" s="298"/>
      <c r="L64" s="68"/>
      <c r="M64" s="134"/>
      <c r="N64" s="74"/>
      <c r="O64" s="7"/>
      <c r="V64" s="296" t="str">
        <f>I64</f>
        <v>del   09 - al  15  DICIEMBRE    2023</v>
      </c>
      <c r="W64" s="297"/>
      <c r="X64" s="298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7" ht="68.25" customHeight="1" x14ac:dyDescent="0.25">
      <c r="B66" s="93" t="s">
        <v>396</v>
      </c>
      <c r="C66" s="234" t="s">
        <v>357</v>
      </c>
      <c r="D66" s="72"/>
      <c r="E66" s="72"/>
      <c r="F66" s="72"/>
      <c r="G66" s="72"/>
      <c r="H66" s="72"/>
      <c r="I66" s="72"/>
      <c r="J66" s="72"/>
      <c r="K66" s="72"/>
      <c r="L66" s="71"/>
      <c r="M66" s="131"/>
      <c r="N66" s="74"/>
      <c r="O66" s="93" t="s">
        <v>350</v>
      </c>
      <c r="P66" s="234" t="s">
        <v>356</v>
      </c>
      <c r="Q66" s="72"/>
      <c r="R66" s="72"/>
      <c r="S66" s="72"/>
      <c r="T66" s="72"/>
      <c r="U66" s="72"/>
      <c r="V66" s="72"/>
      <c r="W66" s="72"/>
      <c r="X66" s="72">
        <f>1328+1141+1105+839</f>
        <v>4413</v>
      </c>
      <c r="AA66" t="s">
        <v>26</v>
      </c>
    </row>
    <row r="67" spans="2:27" ht="67.5" customHeight="1" x14ac:dyDescent="0.25">
      <c r="B67" s="93" t="s">
        <v>396</v>
      </c>
      <c r="C67" s="44" t="s">
        <v>353</v>
      </c>
      <c r="D67" s="67"/>
      <c r="E67" s="67"/>
      <c r="F67" s="67"/>
      <c r="G67" s="67"/>
      <c r="H67" s="67"/>
      <c r="I67" s="67"/>
      <c r="J67" s="67"/>
      <c r="K67" s="67"/>
      <c r="L67" s="67"/>
      <c r="M67" s="131"/>
      <c r="N67" s="74"/>
      <c r="O67" s="93" t="s">
        <v>350</v>
      </c>
      <c r="P67" s="44" t="s">
        <v>358</v>
      </c>
      <c r="Q67" s="67"/>
      <c r="R67" s="67"/>
      <c r="S67" s="67">
        <f>2655+1050+140+34</f>
        <v>3879</v>
      </c>
      <c r="T67" s="67"/>
      <c r="U67" s="67"/>
      <c r="V67" s="67"/>
      <c r="W67" s="67"/>
      <c r="X67" s="67"/>
    </row>
    <row r="68" spans="2:27" ht="42" customHeight="1" x14ac:dyDescent="0.25">
      <c r="B68" s="93" t="s">
        <v>396</v>
      </c>
      <c r="C68" s="44" t="s">
        <v>351</v>
      </c>
      <c r="D68" s="67"/>
      <c r="E68" s="67"/>
      <c r="F68" s="67"/>
      <c r="G68" s="67"/>
      <c r="H68" s="67"/>
      <c r="I68" s="67"/>
      <c r="J68" s="67"/>
      <c r="K68" s="67"/>
      <c r="L68" s="67"/>
      <c r="M68" s="131"/>
      <c r="N68" s="74"/>
      <c r="O68" s="93" t="s">
        <v>350</v>
      </c>
      <c r="P68" s="44" t="s">
        <v>359</v>
      </c>
      <c r="Q68" s="67">
        <f>850+210</f>
        <v>1060</v>
      </c>
      <c r="R68" s="67"/>
      <c r="S68" s="67"/>
      <c r="T68" s="67"/>
      <c r="U68" s="67"/>
      <c r="V68" s="67"/>
      <c r="W68" s="67"/>
      <c r="X68" s="67"/>
    </row>
    <row r="69" spans="2:27" ht="54" customHeight="1" x14ac:dyDescent="0.25">
      <c r="B69" s="93" t="s">
        <v>396</v>
      </c>
      <c r="C69" s="96" t="s">
        <v>352</v>
      </c>
      <c r="D69" s="67"/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350</v>
      </c>
      <c r="P69" s="95" t="s">
        <v>362</v>
      </c>
      <c r="Q69" s="67"/>
      <c r="R69" s="67"/>
      <c r="S69" s="67"/>
      <c r="T69" s="67">
        <f>35+50</f>
        <v>85</v>
      </c>
      <c r="U69" s="67"/>
      <c r="V69" s="67"/>
      <c r="W69" s="67"/>
      <c r="X69" s="67"/>
    </row>
    <row r="70" spans="2:27" ht="38.25" customHeight="1" thickBot="1" x14ac:dyDescent="0.3">
      <c r="B70" s="93" t="s">
        <v>396</v>
      </c>
      <c r="C70" s="44" t="s">
        <v>354</v>
      </c>
      <c r="D70" s="67"/>
      <c r="E70" s="67"/>
      <c r="F70" s="67"/>
      <c r="G70" s="67"/>
      <c r="H70" s="67"/>
      <c r="I70" s="67"/>
      <c r="J70" s="67"/>
      <c r="K70" s="67"/>
      <c r="L70" s="67"/>
      <c r="M70" s="131"/>
      <c r="N70" s="74"/>
      <c r="O70" s="93" t="s">
        <v>350</v>
      </c>
      <c r="P70" s="95" t="s">
        <v>4</v>
      </c>
      <c r="Q70" s="67"/>
      <c r="R70" s="67"/>
      <c r="S70" s="67"/>
      <c r="T70" s="67"/>
      <c r="U70" s="67">
        <v>821</v>
      </c>
      <c r="V70" s="67"/>
      <c r="W70" s="67"/>
      <c r="X70" s="67"/>
      <c r="Y70" s="242"/>
    </row>
    <row r="71" spans="2:27" ht="49.5" customHeight="1" thickBot="1" x14ac:dyDescent="0.3">
      <c r="B71" s="93" t="s">
        <v>396</v>
      </c>
      <c r="C71" s="254" t="s">
        <v>12</v>
      </c>
      <c r="D71" s="67"/>
      <c r="E71" s="67"/>
      <c r="F71" s="67"/>
      <c r="G71" s="67"/>
      <c r="H71" s="67"/>
      <c r="I71" s="67"/>
      <c r="J71" s="67"/>
      <c r="K71" s="67"/>
      <c r="L71" s="67"/>
      <c r="M71" s="131"/>
      <c r="N71" s="74"/>
      <c r="O71" s="93" t="s">
        <v>350</v>
      </c>
      <c r="P71" s="268" t="s">
        <v>361</v>
      </c>
      <c r="Q71" s="72"/>
      <c r="R71" s="72"/>
      <c r="S71" s="72"/>
      <c r="T71" s="72"/>
      <c r="U71" s="72"/>
      <c r="V71" s="72"/>
      <c r="W71" s="72">
        <f>502+52.5+795+399.5</f>
        <v>1749</v>
      </c>
      <c r="X71" s="255"/>
      <c r="Y71" s="258" t="s">
        <v>314</v>
      </c>
    </row>
    <row r="72" spans="2:27" ht="45" x14ac:dyDescent="0.25">
      <c r="B72" s="93" t="s">
        <v>396</v>
      </c>
      <c r="C72" s="44" t="s">
        <v>397</v>
      </c>
      <c r="D72" s="67"/>
      <c r="E72" s="67">
        <f>170+916</f>
        <v>1086</v>
      </c>
      <c r="F72" s="67"/>
      <c r="G72" s="67"/>
      <c r="H72" s="67"/>
      <c r="I72" s="67"/>
      <c r="J72" s="94"/>
      <c r="K72" s="67"/>
      <c r="L72" s="67"/>
      <c r="M72" s="131"/>
      <c r="N72" s="74"/>
      <c r="O72" s="93" t="s">
        <v>350</v>
      </c>
      <c r="P72" s="260" t="s">
        <v>360</v>
      </c>
      <c r="Q72" s="72"/>
      <c r="R72" s="72">
        <v>695</v>
      </c>
      <c r="S72" s="72"/>
      <c r="T72" s="72"/>
      <c r="U72" s="72"/>
      <c r="V72" s="72"/>
      <c r="W72" s="72"/>
      <c r="X72" s="67"/>
      <c r="Y72" s="129"/>
    </row>
    <row r="73" spans="2:27" ht="33.75" customHeight="1" x14ac:dyDescent="0.25">
      <c r="B73" s="93" t="s">
        <v>396</v>
      </c>
      <c r="C73" s="95" t="s">
        <v>96</v>
      </c>
      <c r="D73" s="67"/>
      <c r="E73" s="67"/>
      <c r="F73" s="67"/>
      <c r="G73" s="67"/>
      <c r="H73" s="67">
        <f>68+68+102+102</f>
        <v>340</v>
      </c>
      <c r="I73" s="67"/>
      <c r="J73" s="67"/>
      <c r="K73" s="67"/>
      <c r="L73" s="67"/>
      <c r="M73" s="131"/>
      <c r="N73" s="74"/>
      <c r="O73" s="93" t="s">
        <v>350</v>
      </c>
      <c r="P73" s="195" t="s">
        <v>140</v>
      </c>
      <c r="Q73" s="72"/>
      <c r="R73" s="72"/>
      <c r="S73" s="72"/>
      <c r="T73" s="72"/>
      <c r="U73" s="72"/>
      <c r="V73" s="72">
        <f>800+800+800+2626</f>
        <v>5026</v>
      </c>
      <c r="W73" s="72"/>
      <c r="X73" s="67"/>
    </row>
    <row r="74" spans="2:27" ht="34.5" customHeight="1" x14ac:dyDescent="0.25">
      <c r="B74" s="93" t="s">
        <v>396</v>
      </c>
      <c r="C74" s="95" t="s">
        <v>239</v>
      </c>
      <c r="D74" s="67"/>
      <c r="E74" s="67"/>
      <c r="F74" s="67"/>
      <c r="G74" s="67"/>
      <c r="H74" s="67">
        <f>420+420+330</f>
        <v>1170</v>
      </c>
      <c r="I74" s="67"/>
      <c r="J74" s="67"/>
      <c r="K74" s="67"/>
      <c r="L74" s="67"/>
      <c r="M74" s="131"/>
      <c r="N74" s="74"/>
      <c r="O74" s="93" t="s">
        <v>350</v>
      </c>
      <c r="P74" s="192" t="s">
        <v>217</v>
      </c>
      <c r="Q74" s="72"/>
      <c r="R74" s="72"/>
      <c r="S74" s="72"/>
      <c r="T74" s="72"/>
      <c r="U74" s="72"/>
      <c r="V74" s="72">
        <f>272+204+187+204+289+204+170</f>
        <v>1530</v>
      </c>
      <c r="W74" s="72"/>
      <c r="X74" s="67"/>
    </row>
    <row r="75" spans="2:27" ht="25.5" customHeight="1" thickBot="1" x14ac:dyDescent="0.3">
      <c r="B75" s="93" t="s">
        <v>396</v>
      </c>
      <c r="C75" s="42" t="s">
        <v>146</v>
      </c>
      <c r="D75" s="67"/>
      <c r="E75" s="67"/>
      <c r="F75" s="67"/>
      <c r="G75" s="67"/>
      <c r="H75" s="67"/>
      <c r="I75" s="67"/>
      <c r="J75" s="67"/>
      <c r="K75" s="67"/>
      <c r="L75" s="67">
        <v>500</v>
      </c>
      <c r="M75" s="131"/>
      <c r="N75" s="74"/>
      <c r="O75" s="93" t="s">
        <v>350</v>
      </c>
      <c r="P75" s="195" t="s">
        <v>363</v>
      </c>
      <c r="Q75" s="72"/>
      <c r="R75" s="72"/>
      <c r="S75" s="72"/>
      <c r="T75" s="72"/>
      <c r="U75" s="72"/>
      <c r="V75" s="72"/>
      <c r="W75" s="72"/>
      <c r="X75" s="67"/>
    </row>
    <row r="76" spans="2:27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B80" s="7"/>
      <c r="C80" s="35" t="s">
        <v>18</v>
      </c>
      <c r="D80" s="30">
        <f>SUM(D66:D79)</f>
        <v>0</v>
      </c>
      <c r="E80" s="30">
        <f t="shared" ref="E80:L80" si="4">SUM(E66:E79)</f>
        <v>1086</v>
      </c>
      <c r="F80" s="30">
        <f t="shared" si="4"/>
        <v>0</v>
      </c>
      <c r="G80" s="30">
        <f t="shared" si="4"/>
        <v>0</v>
      </c>
      <c r="H80" s="30">
        <f t="shared" si="4"/>
        <v>1510</v>
      </c>
      <c r="I80" s="30">
        <f t="shared" si="4"/>
        <v>0</v>
      </c>
      <c r="J80" s="30">
        <f t="shared" si="4"/>
        <v>0</v>
      </c>
      <c r="K80" s="30">
        <f t="shared" si="4"/>
        <v>0</v>
      </c>
      <c r="L80" s="30">
        <f t="shared" si="4"/>
        <v>500</v>
      </c>
      <c r="M80" s="132"/>
      <c r="N80" s="74"/>
      <c r="O80" s="7"/>
      <c r="P80" s="33" t="s">
        <v>18</v>
      </c>
      <c r="Q80" s="21">
        <f t="shared" ref="Q80:X80" si="5">SUM(Q66:Q79)</f>
        <v>1060</v>
      </c>
      <c r="R80" s="21">
        <f t="shared" si="5"/>
        <v>695</v>
      </c>
      <c r="S80" s="21">
        <f t="shared" si="5"/>
        <v>3879</v>
      </c>
      <c r="T80" s="21">
        <f t="shared" si="5"/>
        <v>85</v>
      </c>
      <c r="U80" s="21">
        <f t="shared" si="5"/>
        <v>821</v>
      </c>
      <c r="V80" s="21">
        <f t="shared" si="5"/>
        <v>6556</v>
      </c>
      <c r="W80" s="21">
        <f t="shared" si="5"/>
        <v>1749</v>
      </c>
      <c r="X80" s="21">
        <f t="shared" si="5"/>
        <v>4413</v>
      </c>
    </row>
    <row r="81" spans="1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1:24" ht="21.75" thickBot="1" x14ac:dyDescent="0.4">
      <c r="B82" s="7"/>
      <c r="C82" s="1"/>
      <c r="D82" s="5"/>
      <c r="E82" s="5"/>
      <c r="F82" s="286">
        <f>K80+J80+I80+H80+G80+F80+E80+D80+L80</f>
        <v>3096</v>
      </c>
      <c r="G82" s="287"/>
      <c r="H82" s="288"/>
      <c r="I82" s="5"/>
      <c r="J82" s="5"/>
      <c r="K82" s="5"/>
      <c r="L82" s="71"/>
      <c r="M82" s="74"/>
      <c r="N82" s="74"/>
      <c r="O82" s="7"/>
      <c r="Q82" s="5"/>
      <c r="R82" s="5"/>
      <c r="S82" s="289">
        <f>Q80+R80+S80+T80+U80+V80+W80+X80</f>
        <v>19258</v>
      </c>
      <c r="T82" s="290"/>
      <c r="U82" s="291"/>
      <c r="V82" s="5"/>
      <c r="W82" s="5"/>
      <c r="X82" s="5"/>
    </row>
    <row r="83" spans="1:24" s="80" customFormat="1" ht="21" x14ac:dyDescent="0.35">
      <c r="A83" s="80" t="s">
        <v>26</v>
      </c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93" spans="1:24" ht="15.75" thickBot="1" x14ac:dyDescent="0.3"/>
    <row r="94" spans="1:24" ht="22.5" thickTop="1" thickBot="1" x14ac:dyDescent="0.4">
      <c r="B94" s="7"/>
      <c r="C94" s="292" t="s">
        <v>36</v>
      </c>
      <c r="D94" s="293"/>
      <c r="E94" s="293"/>
      <c r="F94" s="293"/>
      <c r="G94" s="293"/>
      <c r="H94" s="293"/>
      <c r="I94" s="293"/>
      <c r="J94" s="293"/>
      <c r="K94" s="293"/>
      <c r="L94" s="128" t="s">
        <v>42</v>
      </c>
      <c r="M94" s="133"/>
      <c r="N94" s="81"/>
      <c r="O94" s="294" t="s">
        <v>19</v>
      </c>
      <c r="P94" s="295"/>
      <c r="Q94" s="295"/>
      <c r="R94" s="295"/>
      <c r="S94" s="295"/>
      <c r="T94" s="295"/>
      <c r="U94" s="295"/>
      <c r="V94" s="295"/>
      <c r="W94" s="295"/>
      <c r="X94" s="190" t="str">
        <f>L94</f>
        <v># 02</v>
      </c>
    </row>
    <row r="95" spans="1:24" ht="16.5" thickBot="1" x14ac:dyDescent="0.3">
      <c r="B95" s="7"/>
      <c r="C95" s="1"/>
      <c r="I95" s="296" t="s">
        <v>349</v>
      </c>
      <c r="J95" s="297"/>
      <c r="K95" s="298"/>
      <c r="L95" s="68"/>
      <c r="M95" s="134"/>
      <c r="N95" s="74"/>
      <c r="O95" s="7"/>
      <c r="V95" s="296" t="str">
        <f>I95</f>
        <v>del   02 - al  08  DICIEMBRE    2023</v>
      </c>
      <c r="W95" s="297"/>
      <c r="X95" s="298"/>
    </row>
    <row r="96" spans="1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184" t="s">
        <v>4</v>
      </c>
      <c r="J96" s="61" t="s">
        <v>8</v>
      </c>
      <c r="K96" s="183" t="s">
        <v>5</v>
      </c>
      <c r="L96" s="99" t="s">
        <v>46</v>
      </c>
      <c r="M96" s="135"/>
      <c r="N96" s="82"/>
      <c r="O96" s="36" t="s">
        <v>0</v>
      </c>
      <c r="P96" s="143" t="s">
        <v>1</v>
      </c>
      <c r="Q96" s="137" t="s">
        <v>2</v>
      </c>
      <c r="R96" s="138" t="s">
        <v>16</v>
      </c>
      <c r="S96" s="138" t="s">
        <v>38</v>
      </c>
      <c r="T96" s="137" t="s">
        <v>3</v>
      </c>
      <c r="U96" s="137" t="s">
        <v>4</v>
      </c>
      <c r="V96" s="141" t="s">
        <v>25</v>
      </c>
      <c r="W96" s="136" t="s">
        <v>8</v>
      </c>
      <c r="X96" s="142" t="s">
        <v>5</v>
      </c>
    </row>
    <row r="97" spans="2:27" ht="68.25" customHeight="1" x14ac:dyDescent="0.25">
      <c r="B97" s="93" t="s">
        <v>350</v>
      </c>
      <c r="C97" s="234" t="s">
        <v>357</v>
      </c>
      <c r="D97" s="72"/>
      <c r="E97" s="72"/>
      <c r="F97" s="72"/>
      <c r="G97" s="72"/>
      <c r="H97" s="72"/>
      <c r="I97" s="72"/>
      <c r="J97" s="72"/>
      <c r="K97" s="72">
        <f>929+1239+182+2457+1061</f>
        <v>5868</v>
      </c>
      <c r="L97" s="71"/>
      <c r="M97" s="131"/>
      <c r="N97" s="74"/>
      <c r="O97" s="93" t="s">
        <v>350</v>
      </c>
      <c r="P97" s="234" t="s">
        <v>356</v>
      </c>
      <c r="Q97" s="72"/>
      <c r="R97" s="72"/>
      <c r="S97" s="72"/>
      <c r="T97" s="72"/>
      <c r="U97" s="72"/>
      <c r="V97" s="72"/>
      <c r="W97" s="72"/>
      <c r="X97" s="72">
        <f>1328+1141+1105+839</f>
        <v>4413</v>
      </c>
      <c r="AA97" t="s">
        <v>26</v>
      </c>
    </row>
    <row r="98" spans="2:27" ht="67.5" customHeight="1" x14ac:dyDescent="0.25">
      <c r="B98" s="93" t="s">
        <v>350</v>
      </c>
      <c r="C98" s="44" t="s">
        <v>353</v>
      </c>
      <c r="D98" s="67"/>
      <c r="E98" s="67"/>
      <c r="F98" s="67">
        <f>1585+415+37</f>
        <v>2037</v>
      </c>
      <c r="G98" s="67"/>
      <c r="H98" s="67"/>
      <c r="I98" s="67"/>
      <c r="J98" s="67"/>
      <c r="K98" s="67"/>
      <c r="L98" s="67"/>
      <c r="M98" s="131"/>
      <c r="N98" s="74"/>
      <c r="O98" s="93" t="s">
        <v>350</v>
      </c>
      <c r="P98" s="44" t="s">
        <v>358</v>
      </c>
      <c r="Q98" s="67"/>
      <c r="R98" s="67"/>
      <c r="S98" s="67">
        <f>2655+1050+140+34</f>
        <v>3879</v>
      </c>
      <c r="T98" s="67"/>
      <c r="U98" s="67"/>
      <c r="V98" s="67"/>
      <c r="W98" s="67"/>
      <c r="X98" s="67"/>
    </row>
    <row r="99" spans="2:27" ht="42" customHeight="1" x14ac:dyDescent="0.25">
      <c r="B99" s="93" t="s">
        <v>350</v>
      </c>
      <c r="C99" s="44" t="s">
        <v>351</v>
      </c>
      <c r="D99" s="67"/>
      <c r="E99" s="67"/>
      <c r="F99" s="67"/>
      <c r="G99" s="67">
        <v>40</v>
      </c>
      <c r="H99" s="67"/>
      <c r="I99" s="67"/>
      <c r="J99" s="67"/>
      <c r="K99" s="67"/>
      <c r="L99" s="67"/>
      <c r="M99" s="131"/>
      <c r="N99" s="74"/>
      <c r="O99" s="93" t="s">
        <v>350</v>
      </c>
      <c r="P99" s="44" t="s">
        <v>359</v>
      </c>
      <c r="Q99" s="67">
        <f>850+210</f>
        <v>1060</v>
      </c>
      <c r="R99" s="67"/>
      <c r="S99" s="67"/>
      <c r="T99" s="67"/>
      <c r="U99" s="67"/>
      <c r="V99" s="67"/>
      <c r="W99" s="67"/>
      <c r="X99" s="67"/>
    </row>
    <row r="100" spans="2:27" ht="54" customHeight="1" x14ac:dyDescent="0.25">
      <c r="B100" s="93" t="s">
        <v>350</v>
      </c>
      <c r="C100" s="96" t="s">
        <v>352</v>
      </c>
      <c r="D100" s="67">
        <f>648+67</f>
        <v>715</v>
      </c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350</v>
      </c>
      <c r="P100" s="95" t="s">
        <v>362</v>
      </c>
      <c r="Q100" s="67"/>
      <c r="R100" s="67"/>
      <c r="S100" s="67"/>
      <c r="T100" s="67">
        <f>35+50</f>
        <v>85</v>
      </c>
      <c r="U100" s="67"/>
      <c r="V100" s="67"/>
      <c r="W100" s="67"/>
      <c r="X100" s="67"/>
    </row>
    <row r="101" spans="2:27" ht="38.25" customHeight="1" thickBot="1" x14ac:dyDescent="0.3">
      <c r="B101" s="93" t="s">
        <v>350</v>
      </c>
      <c r="C101" s="44" t="s">
        <v>354</v>
      </c>
      <c r="D101" s="67"/>
      <c r="E101" s="67"/>
      <c r="F101" s="67"/>
      <c r="G101" s="67"/>
      <c r="H101" s="67"/>
      <c r="I101" s="67"/>
      <c r="J101" s="67">
        <f>280+127+460</f>
        <v>867</v>
      </c>
      <c r="K101" s="67"/>
      <c r="L101" s="67"/>
      <c r="M101" s="131"/>
      <c r="N101" s="74"/>
      <c r="O101" s="93" t="s">
        <v>350</v>
      </c>
      <c r="P101" s="95" t="s">
        <v>4</v>
      </c>
      <c r="Q101" s="67"/>
      <c r="R101" s="67"/>
      <c r="S101" s="67"/>
      <c r="T101" s="67"/>
      <c r="U101" s="67">
        <v>821</v>
      </c>
      <c r="V101" s="67"/>
      <c r="W101" s="67"/>
      <c r="X101" s="67"/>
      <c r="Y101" s="242"/>
    </row>
    <row r="102" spans="2:27" ht="49.5" customHeight="1" thickBot="1" x14ac:dyDescent="0.3">
      <c r="B102" s="93" t="s">
        <v>350</v>
      </c>
      <c r="C102" s="254" t="s">
        <v>12</v>
      </c>
      <c r="D102" s="67"/>
      <c r="E102" s="67"/>
      <c r="F102" s="67"/>
      <c r="G102" s="67"/>
      <c r="H102" s="67"/>
      <c r="I102" s="67">
        <v>407</v>
      </c>
      <c r="J102" s="67"/>
      <c r="K102" s="67"/>
      <c r="L102" s="67"/>
      <c r="M102" s="131"/>
      <c r="N102" s="74"/>
      <c r="O102" s="93" t="s">
        <v>350</v>
      </c>
      <c r="P102" s="268" t="s">
        <v>361</v>
      </c>
      <c r="Q102" s="72"/>
      <c r="R102" s="72"/>
      <c r="S102" s="72"/>
      <c r="T102" s="72"/>
      <c r="U102" s="72"/>
      <c r="V102" s="72"/>
      <c r="W102" s="72">
        <f>502+52.5+795+399.5</f>
        <v>1749</v>
      </c>
      <c r="X102" s="255"/>
      <c r="Y102" s="258" t="s">
        <v>314</v>
      </c>
    </row>
    <row r="103" spans="2:27" ht="45" x14ac:dyDescent="0.25">
      <c r="B103" s="93" t="s">
        <v>350</v>
      </c>
      <c r="C103" s="44" t="s">
        <v>355</v>
      </c>
      <c r="D103" s="67"/>
      <c r="E103" s="67">
        <v>150</v>
      </c>
      <c r="F103" s="67"/>
      <c r="G103" s="67"/>
      <c r="H103" s="67"/>
      <c r="I103" s="67"/>
      <c r="J103" s="94"/>
      <c r="K103" s="67"/>
      <c r="L103" s="67"/>
      <c r="M103" s="131"/>
      <c r="N103" s="74"/>
      <c r="O103" s="93" t="s">
        <v>350</v>
      </c>
      <c r="P103" s="260" t="s">
        <v>360</v>
      </c>
      <c r="Q103" s="72"/>
      <c r="R103" s="72">
        <v>695</v>
      </c>
      <c r="S103" s="72"/>
      <c r="T103" s="72"/>
      <c r="U103" s="72"/>
      <c r="V103" s="72"/>
      <c r="W103" s="72"/>
      <c r="X103" s="67"/>
      <c r="Y103" s="129"/>
    </row>
    <row r="104" spans="2:27" ht="33.75" customHeight="1" x14ac:dyDescent="0.25">
      <c r="B104" s="93" t="s">
        <v>350</v>
      </c>
      <c r="C104" s="95" t="s">
        <v>96</v>
      </c>
      <c r="D104" s="67"/>
      <c r="E104" s="67"/>
      <c r="F104" s="67"/>
      <c r="G104" s="67"/>
      <c r="H104" s="67">
        <f>102+102+68+85+102+85+85</f>
        <v>629</v>
      </c>
      <c r="I104" s="67"/>
      <c r="J104" s="67"/>
      <c r="K104" s="67"/>
      <c r="L104" s="67"/>
      <c r="M104" s="131"/>
      <c r="N104" s="74"/>
      <c r="O104" s="93" t="s">
        <v>350</v>
      </c>
      <c r="P104" s="195" t="s">
        <v>140</v>
      </c>
      <c r="Q104" s="72"/>
      <c r="R104" s="72"/>
      <c r="S104" s="72"/>
      <c r="T104" s="72"/>
      <c r="U104" s="72"/>
      <c r="V104" s="72">
        <f>800+800+800+2626</f>
        <v>5026</v>
      </c>
      <c r="W104" s="72"/>
      <c r="X104" s="67"/>
    </row>
    <row r="105" spans="2:27" ht="34.5" customHeight="1" x14ac:dyDescent="0.25">
      <c r="B105" s="93" t="s">
        <v>350</v>
      </c>
      <c r="C105" s="95" t="s">
        <v>239</v>
      </c>
      <c r="D105" s="67"/>
      <c r="E105" s="67"/>
      <c r="F105" s="67"/>
      <c r="G105" s="67"/>
      <c r="H105" s="67">
        <f>330+330+420</f>
        <v>1080</v>
      </c>
      <c r="I105" s="67"/>
      <c r="J105" s="67"/>
      <c r="K105" s="67"/>
      <c r="L105" s="67"/>
      <c r="M105" s="131"/>
      <c r="N105" s="74"/>
      <c r="O105" s="93" t="s">
        <v>350</v>
      </c>
      <c r="P105" s="192" t="s">
        <v>217</v>
      </c>
      <c r="Q105" s="72"/>
      <c r="R105" s="72"/>
      <c r="S105" s="72"/>
      <c r="T105" s="72"/>
      <c r="U105" s="72"/>
      <c r="V105" s="72">
        <f>272+204+187+204+289+204+170</f>
        <v>1530</v>
      </c>
      <c r="W105" s="72"/>
      <c r="X105" s="67"/>
    </row>
    <row r="106" spans="2:27" ht="25.5" customHeight="1" thickBot="1" x14ac:dyDescent="0.3">
      <c r="B106" s="93" t="s">
        <v>350</v>
      </c>
      <c r="C106" s="42" t="s">
        <v>146</v>
      </c>
      <c r="D106" s="67"/>
      <c r="E106" s="67"/>
      <c r="F106" s="67"/>
      <c r="G106" s="67"/>
      <c r="H106" s="67"/>
      <c r="I106" s="67"/>
      <c r="J106" s="67"/>
      <c r="K106" s="67"/>
      <c r="L106" s="67">
        <v>0</v>
      </c>
      <c r="M106" s="131"/>
      <c r="N106" s="74"/>
      <c r="O106" s="93" t="s">
        <v>350</v>
      </c>
      <c r="P106" s="194"/>
      <c r="Q106" s="72"/>
      <c r="R106" s="72"/>
      <c r="S106" s="72"/>
      <c r="T106" s="72"/>
      <c r="U106" s="72"/>
      <c r="V106" s="72"/>
      <c r="W106" s="72"/>
      <c r="X106" s="67"/>
    </row>
    <row r="107" spans="2:27" ht="15.75" hidden="1" thickBot="1" x14ac:dyDescent="0.3">
      <c r="B107" s="93"/>
      <c r="C107" s="95"/>
      <c r="D107" s="67"/>
      <c r="E107" s="67"/>
      <c r="F107" s="67"/>
      <c r="G107" s="67"/>
      <c r="H107" s="67"/>
      <c r="I107" s="67"/>
      <c r="J107" s="67"/>
      <c r="K107" s="67"/>
      <c r="L107" s="11"/>
      <c r="M107" s="131"/>
      <c r="N107" s="74"/>
      <c r="O107" s="93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10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"/>
      <c r="C110" s="34"/>
      <c r="D110" s="73"/>
      <c r="E110" s="73"/>
      <c r="F110" s="73"/>
      <c r="G110" s="73"/>
      <c r="H110" s="73"/>
      <c r="I110" s="73"/>
      <c r="J110" s="73"/>
      <c r="K110" s="73"/>
      <c r="L110" s="20"/>
      <c r="M110" s="131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7" ht="24" thickBot="1" x14ac:dyDescent="0.3">
      <c r="B111" s="7"/>
      <c r="C111" s="35" t="s">
        <v>18</v>
      </c>
      <c r="D111" s="30">
        <f>SUM(D97:D110)</f>
        <v>715</v>
      </c>
      <c r="E111" s="30">
        <f t="shared" ref="E111:L111" si="6">SUM(E97:E110)</f>
        <v>150</v>
      </c>
      <c r="F111" s="30">
        <f t="shared" si="6"/>
        <v>2037</v>
      </c>
      <c r="G111" s="30">
        <f t="shared" si="6"/>
        <v>40</v>
      </c>
      <c r="H111" s="30">
        <f t="shared" si="6"/>
        <v>1709</v>
      </c>
      <c r="I111" s="30">
        <f t="shared" si="6"/>
        <v>407</v>
      </c>
      <c r="J111" s="30">
        <f t="shared" si="6"/>
        <v>867</v>
      </c>
      <c r="K111" s="30">
        <f t="shared" si="6"/>
        <v>5868</v>
      </c>
      <c r="L111" s="30">
        <f t="shared" si="6"/>
        <v>0</v>
      </c>
      <c r="M111" s="132"/>
      <c r="N111" s="74"/>
      <c r="O111" s="7"/>
      <c r="P111" s="33" t="s">
        <v>18</v>
      </c>
      <c r="Q111" s="21">
        <f t="shared" ref="Q111:X111" si="7">SUM(Q97:Q110)</f>
        <v>1060</v>
      </c>
      <c r="R111" s="21">
        <f t="shared" si="7"/>
        <v>695</v>
      </c>
      <c r="S111" s="21">
        <f t="shared" si="7"/>
        <v>3879</v>
      </c>
      <c r="T111" s="21">
        <f t="shared" si="7"/>
        <v>85</v>
      </c>
      <c r="U111" s="21">
        <f t="shared" si="7"/>
        <v>821</v>
      </c>
      <c r="V111" s="21">
        <f t="shared" si="7"/>
        <v>6556</v>
      </c>
      <c r="W111" s="21">
        <f t="shared" si="7"/>
        <v>1749</v>
      </c>
      <c r="X111" s="21">
        <f t="shared" si="7"/>
        <v>4413</v>
      </c>
    </row>
    <row r="112" spans="2:27" ht="15.75" thickBot="1" x14ac:dyDescent="0.3">
      <c r="B112" s="7"/>
      <c r="C112" s="1"/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O112" s="7"/>
      <c r="Q112" s="5"/>
      <c r="R112" s="5"/>
      <c r="S112" s="5"/>
      <c r="T112" s="5"/>
      <c r="U112" s="5"/>
      <c r="V112" s="5"/>
      <c r="W112" s="5"/>
      <c r="X112" s="5"/>
    </row>
    <row r="113" spans="1:27" ht="21.75" thickBot="1" x14ac:dyDescent="0.4">
      <c r="B113" s="7"/>
      <c r="C113" s="1"/>
      <c r="D113" s="5"/>
      <c r="E113" s="5"/>
      <c r="F113" s="286">
        <f>K111+J111+I111+H111+G111+F111+E111+D111+L111</f>
        <v>11793</v>
      </c>
      <c r="G113" s="287"/>
      <c r="H113" s="288"/>
      <c r="I113" s="5"/>
      <c r="J113" s="5"/>
      <c r="K113" s="5"/>
      <c r="L113" s="71"/>
      <c r="M113" s="74"/>
      <c r="N113" s="74"/>
      <c r="O113" s="7"/>
      <c r="Q113" s="5"/>
      <c r="R113" s="5"/>
      <c r="S113" s="289">
        <f>Q111+R111+S111+T111+U111+V111+W111+X111</f>
        <v>19258</v>
      </c>
      <c r="T113" s="290"/>
      <c r="U113" s="291"/>
      <c r="V113" s="5"/>
      <c r="W113" s="5"/>
      <c r="X113" s="5"/>
    </row>
    <row r="114" spans="1:27" s="80" customFormat="1" ht="21" x14ac:dyDescent="0.35">
      <c r="A114" s="80" t="s">
        <v>26</v>
      </c>
      <c r="B114" s="235"/>
      <c r="C114" s="285" t="s">
        <v>381</v>
      </c>
      <c r="D114" s="78"/>
      <c r="E114" s="78"/>
      <c r="F114" s="236"/>
      <c r="G114" s="237"/>
      <c r="H114" s="237"/>
      <c r="I114" s="78"/>
      <c r="J114" s="78"/>
      <c r="K114" s="78"/>
      <c r="L114" s="71"/>
      <c r="M114" s="74"/>
      <c r="N114" s="74"/>
      <c r="O114" s="235"/>
      <c r="P114" s="285" t="s">
        <v>381</v>
      </c>
      <c r="Q114" s="78"/>
      <c r="R114" s="78"/>
      <c r="S114" s="236"/>
      <c r="T114" s="237"/>
      <c r="U114" s="237"/>
      <c r="V114" s="78"/>
      <c r="W114" s="78"/>
      <c r="X114" s="78"/>
    </row>
    <row r="124" spans="1:27" ht="15.75" thickBot="1" x14ac:dyDescent="0.3"/>
    <row r="125" spans="1:27" ht="22.5" thickTop="1" thickBot="1" x14ac:dyDescent="0.4">
      <c r="B125" s="7"/>
      <c r="C125" s="292" t="s">
        <v>36</v>
      </c>
      <c r="D125" s="293"/>
      <c r="E125" s="293"/>
      <c r="F125" s="293"/>
      <c r="G125" s="293"/>
      <c r="H125" s="293"/>
      <c r="I125" s="293"/>
      <c r="J125" s="293"/>
      <c r="K125" s="293"/>
      <c r="L125" s="128" t="s">
        <v>41</v>
      </c>
      <c r="M125" s="133"/>
      <c r="N125" s="81"/>
      <c r="O125" s="294" t="s">
        <v>19</v>
      </c>
      <c r="P125" s="295"/>
      <c r="Q125" s="295"/>
      <c r="R125" s="295"/>
      <c r="S125" s="295"/>
      <c r="T125" s="295"/>
      <c r="U125" s="295"/>
      <c r="V125" s="295"/>
      <c r="W125" s="295"/>
      <c r="X125" s="190" t="str">
        <f>L125</f>
        <v># 01</v>
      </c>
    </row>
    <row r="126" spans="1:27" ht="16.5" thickBot="1" x14ac:dyDescent="0.3">
      <c r="B126" s="7"/>
      <c r="C126" s="1"/>
      <c r="I126" s="296" t="s">
        <v>347</v>
      </c>
      <c r="J126" s="297"/>
      <c r="K126" s="298"/>
      <c r="L126" s="68"/>
      <c r="M126" s="134"/>
      <c r="N126" s="74"/>
      <c r="O126" s="7"/>
      <c r="V126" s="296" t="str">
        <f>I126</f>
        <v>del   - al  01  DICIEMBRE    2023</v>
      </c>
      <c r="W126" s="297"/>
      <c r="X126" s="298"/>
    </row>
    <row r="127" spans="1:27" ht="64.5" thickTop="1" thickBot="1" x14ac:dyDescent="0.3">
      <c r="B127" s="6" t="s">
        <v>0</v>
      </c>
      <c r="C127" s="24" t="s">
        <v>1</v>
      </c>
      <c r="D127" s="25" t="s">
        <v>2</v>
      </c>
      <c r="E127" s="26" t="s">
        <v>7</v>
      </c>
      <c r="F127" s="56" t="s">
        <v>38</v>
      </c>
      <c r="G127" s="25" t="s">
        <v>3</v>
      </c>
      <c r="H127" s="27" t="s">
        <v>22</v>
      </c>
      <c r="I127" s="184" t="s">
        <v>4</v>
      </c>
      <c r="J127" s="61" t="s">
        <v>8</v>
      </c>
      <c r="K127" s="183" t="s">
        <v>5</v>
      </c>
      <c r="L127" s="99" t="s">
        <v>46</v>
      </c>
      <c r="M127" s="135"/>
      <c r="N127" s="82"/>
      <c r="O127" s="36" t="s">
        <v>0</v>
      </c>
      <c r="P127" s="143" t="s">
        <v>1</v>
      </c>
      <c r="Q127" s="137" t="s">
        <v>2</v>
      </c>
      <c r="R127" s="138" t="s">
        <v>16</v>
      </c>
      <c r="S127" s="138" t="s">
        <v>38</v>
      </c>
      <c r="T127" s="137" t="s">
        <v>3</v>
      </c>
      <c r="U127" s="137" t="s">
        <v>4</v>
      </c>
      <c r="V127" s="141" t="s">
        <v>25</v>
      </c>
      <c r="W127" s="136" t="s">
        <v>8</v>
      </c>
      <c r="X127" s="142" t="s">
        <v>5</v>
      </c>
    </row>
    <row r="128" spans="1:27" ht="68.25" customHeight="1" x14ac:dyDescent="0.25">
      <c r="B128" s="93" t="s">
        <v>346</v>
      </c>
      <c r="C128" s="234" t="s">
        <v>323</v>
      </c>
      <c r="D128" s="72"/>
      <c r="E128" s="72"/>
      <c r="F128" s="72"/>
      <c r="G128" s="72"/>
      <c r="H128" s="72"/>
      <c r="I128" s="72"/>
      <c r="J128" s="72"/>
      <c r="K128" s="72"/>
      <c r="L128" s="71"/>
      <c r="M128" s="131"/>
      <c r="N128" s="74"/>
      <c r="O128" s="93" t="s">
        <v>346</v>
      </c>
      <c r="P128" s="234" t="s">
        <v>348</v>
      </c>
      <c r="Q128" s="72"/>
      <c r="R128" s="72"/>
      <c r="S128" s="72"/>
      <c r="T128" s="72"/>
      <c r="U128" s="72"/>
      <c r="V128" s="72"/>
      <c r="W128" s="72"/>
      <c r="X128" s="72">
        <v>280</v>
      </c>
      <c r="AA128" t="s">
        <v>26</v>
      </c>
    </row>
    <row r="129" spans="2:25" ht="67.5" customHeight="1" x14ac:dyDescent="0.25">
      <c r="B129" s="93" t="s">
        <v>346</v>
      </c>
      <c r="C129" s="44" t="s">
        <v>325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131"/>
      <c r="N129" s="74"/>
      <c r="O129" s="93" t="s">
        <v>346</v>
      </c>
      <c r="P129" s="44" t="s">
        <v>330</v>
      </c>
      <c r="Q129" s="67"/>
      <c r="R129" s="67"/>
      <c r="S129" s="67"/>
      <c r="T129" s="67"/>
      <c r="U129" s="67"/>
      <c r="V129" s="67"/>
      <c r="W129" s="67"/>
      <c r="X129" s="67"/>
    </row>
    <row r="130" spans="2:25" ht="42" customHeight="1" x14ac:dyDescent="0.25">
      <c r="B130" s="93" t="s">
        <v>346</v>
      </c>
      <c r="C130" s="44" t="s">
        <v>324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346</v>
      </c>
      <c r="P130" s="44" t="s">
        <v>331</v>
      </c>
      <c r="Q130" s="67"/>
      <c r="R130" s="67"/>
      <c r="S130" s="67"/>
      <c r="T130" s="67"/>
      <c r="U130" s="67"/>
      <c r="V130" s="67"/>
      <c r="W130" s="67"/>
      <c r="X130" s="67"/>
    </row>
    <row r="131" spans="2:25" ht="54" customHeight="1" x14ac:dyDescent="0.25">
      <c r="B131" s="93" t="s">
        <v>346</v>
      </c>
      <c r="C131" s="96" t="s">
        <v>326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131"/>
      <c r="N131" s="74"/>
      <c r="O131" s="93" t="s">
        <v>346</v>
      </c>
      <c r="P131" s="95" t="s">
        <v>332</v>
      </c>
      <c r="Q131" s="67"/>
      <c r="R131" s="67"/>
      <c r="S131" s="67"/>
      <c r="T131" s="67"/>
      <c r="U131" s="67"/>
      <c r="V131" s="67"/>
      <c r="W131" s="67"/>
      <c r="X131" s="67"/>
    </row>
    <row r="132" spans="2:25" ht="48.75" thickBot="1" x14ac:dyDescent="0.3">
      <c r="B132" s="93" t="s">
        <v>346</v>
      </c>
      <c r="C132" s="44" t="s">
        <v>327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131"/>
      <c r="N132" s="74"/>
      <c r="O132" s="93" t="s">
        <v>346</v>
      </c>
      <c r="P132" s="95" t="s">
        <v>4</v>
      </c>
      <c r="Q132" s="67"/>
      <c r="R132" s="67"/>
      <c r="S132" s="67"/>
      <c r="T132" s="67"/>
      <c r="U132" s="67"/>
      <c r="V132" s="67"/>
      <c r="W132" s="67"/>
      <c r="X132" s="67"/>
      <c r="Y132" s="242"/>
    </row>
    <row r="133" spans="2:25" ht="32.25" customHeight="1" thickBot="1" x14ac:dyDescent="0.3">
      <c r="B133" s="93" t="s">
        <v>346</v>
      </c>
      <c r="C133" s="254" t="s">
        <v>12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131"/>
      <c r="N133" s="74"/>
      <c r="O133" s="93" t="s">
        <v>346</v>
      </c>
      <c r="P133" s="259" t="s">
        <v>333</v>
      </c>
      <c r="Q133" s="72"/>
      <c r="R133" s="72"/>
      <c r="S133" s="72"/>
      <c r="T133" s="72"/>
      <c r="U133" s="72"/>
      <c r="V133" s="72"/>
      <c r="W133" s="72"/>
      <c r="X133" s="255"/>
      <c r="Y133" s="258" t="s">
        <v>314</v>
      </c>
    </row>
    <row r="134" spans="2:25" ht="32.25" customHeight="1" x14ac:dyDescent="0.25">
      <c r="B134" s="93" t="s">
        <v>346</v>
      </c>
      <c r="C134" s="44" t="s">
        <v>328</v>
      </c>
      <c r="D134" s="67"/>
      <c r="E134" s="67"/>
      <c r="F134" s="67"/>
      <c r="G134" s="67"/>
      <c r="H134" s="67"/>
      <c r="I134" s="67"/>
      <c r="J134" s="94"/>
      <c r="K134" s="67"/>
      <c r="L134" s="67"/>
      <c r="M134" s="131"/>
      <c r="N134" s="74"/>
      <c r="O134" s="93" t="s">
        <v>346</v>
      </c>
      <c r="P134" s="260" t="s">
        <v>334</v>
      </c>
      <c r="Q134" s="72"/>
      <c r="R134" s="72"/>
      <c r="S134" s="72"/>
      <c r="T134" s="72"/>
      <c r="U134" s="72"/>
      <c r="V134" s="72"/>
      <c r="W134" s="72"/>
      <c r="X134" s="67"/>
      <c r="Y134" s="129"/>
    </row>
    <row r="135" spans="2:25" ht="33.75" customHeight="1" x14ac:dyDescent="0.25">
      <c r="B135" s="93" t="s">
        <v>346</v>
      </c>
      <c r="C135" s="95" t="s">
        <v>96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131"/>
      <c r="N135" s="74"/>
      <c r="O135" s="93" t="s">
        <v>346</v>
      </c>
      <c r="P135" s="195" t="s">
        <v>140</v>
      </c>
      <c r="Q135" s="72"/>
      <c r="R135" s="72"/>
      <c r="S135" s="72"/>
      <c r="T135" s="72"/>
      <c r="U135" s="72"/>
      <c r="V135" s="72">
        <f>800+2935</f>
        <v>3735</v>
      </c>
      <c r="W135" s="72"/>
      <c r="X135" s="67"/>
    </row>
    <row r="136" spans="2:25" ht="34.5" customHeight="1" x14ac:dyDescent="0.25">
      <c r="B136" s="93" t="s">
        <v>346</v>
      </c>
      <c r="C136" s="95" t="s">
        <v>239</v>
      </c>
      <c r="D136" s="67"/>
      <c r="E136" s="67"/>
      <c r="F136" s="67"/>
      <c r="G136" s="67"/>
      <c r="H136" s="67">
        <v>420</v>
      </c>
      <c r="I136" s="67"/>
      <c r="J136" s="67"/>
      <c r="K136" s="67"/>
      <c r="L136" s="67"/>
      <c r="M136" s="131"/>
      <c r="N136" s="74"/>
      <c r="O136" s="93" t="s">
        <v>346</v>
      </c>
      <c r="P136" s="192" t="s">
        <v>217</v>
      </c>
      <c r="Q136" s="72"/>
      <c r="R136" s="72"/>
      <c r="S136" s="72"/>
      <c r="T136" s="72"/>
      <c r="U136" s="72"/>
      <c r="V136" s="72"/>
      <c r="W136" s="72"/>
      <c r="X136" s="67"/>
    </row>
    <row r="137" spans="2:25" ht="25.5" customHeight="1" thickBot="1" x14ac:dyDescent="0.3">
      <c r="B137" s="93" t="s">
        <v>346</v>
      </c>
      <c r="C137" s="42" t="s">
        <v>146</v>
      </c>
      <c r="D137" s="67"/>
      <c r="E137" s="67"/>
      <c r="F137" s="67"/>
      <c r="G137" s="67"/>
      <c r="H137" s="67"/>
      <c r="I137" s="67"/>
      <c r="J137" s="67"/>
      <c r="K137" s="67"/>
      <c r="L137" s="67">
        <v>500</v>
      </c>
      <c r="M137" s="131"/>
      <c r="N137" s="74"/>
      <c r="O137" s="93" t="s">
        <v>346</v>
      </c>
      <c r="P137" s="194"/>
      <c r="Q137" s="72"/>
      <c r="R137" s="72"/>
      <c r="S137" s="72"/>
      <c r="T137" s="72"/>
      <c r="U137" s="72"/>
      <c r="V137" s="72"/>
      <c r="W137" s="72"/>
      <c r="X137" s="67"/>
    </row>
    <row r="138" spans="2:25" ht="15.75" hidden="1" thickBot="1" x14ac:dyDescent="0.3">
      <c r="B138" s="93"/>
      <c r="C138" s="95"/>
      <c r="D138" s="67"/>
      <c r="E138" s="67"/>
      <c r="F138" s="67"/>
      <c r="G138" s="67"/>
      <c r="H138" s="67"/>
      <c r="I138" s="67"/>
      <c r="J138" s="67"/>
      <c r="K138" s="67"/>
      <c r="L138" s="11"/>
      <c r="M138" s="131"/>
      <c r="N138" s="74"/>
      <c r="O138" s="93"/>
      <c r="P138" s="88"/>
      <c r="Q138" s="72"/>
      <c r="R138" s="72"/>
      <c r="S138" s="72"/>
      <c r="T138" s="72"/>
      <c r="U138" s="72"/>
      <c r="V138" s="72"/>
      <c r="W138" s="72"/>
      <c r="X138" s="67"/>
    </row>
    <row r="139" spans="2:25" ht="15.75" hidden="1" thickBot="1" x14ac:dyDescent="0.3">
      <c r="B139" s="93"/>
      <c r="C139" s="10"/>
      <c r="D139" s="67"/>
      <c r="E139" s="67"/>
      <c r="F139" s="67"/>
      <c r="G139" s="67"/>
      <c r="H139" s="67"/>
      <c r="I139" s="67"/>
      <c r="J139" s="67"/>
      <c r="K139" s="67"/>
      <c r="L139" s="11"/>
      <c r="M139" s="131"/>
      <c r="N139" s="74"/>
      <c r="O139" s="93"/>
      <c r="P139" s="91"/>
      <c r="Q139" s="67"/>
      <c r="R139" s="67"/>
      <c r="S139" s="67"/>
      <c r="T139" s="67"/>
      <c r="U139" s="67"/>
      <c r="V139" s="67"/>
      <c r="W139" s="67"/>
      <c r="X139" s="67"/>
    </row>
    <row r="140" spans="2:25" ht="15.75" hidden="1" thickBot="1" x14ac:dyDescent="0.3">
      <c r="B140" s="93"/>
      <c r="C140" s="10"/>
      <c r="D140" s="67"/>
      <c r="E140" s="67"/>
      <c r="F140" s="67"/>
      <c r="G140" s="67"/>
      <c r="H140" s="67"/>
      <c r="I140" s="67"/>
      <c r="J140" s="67"/>
      <c r="K140" s="67"/>
      <c r="L140" s="11"/>
      <c r="M140" s="131"/>
      <c r="N140" s="74"/>
      <c r="O140" s="93"/>
      <c r="P140" s="91"/>
      <c r="Q140" s="67"/>
      <c r="R140" s="67"/>
      <c r="S140" s="67"/>
      <c r="T140" s="67"/>
      <c r="U140" s="67"/>
      <c r="V140" s="67"/>
      <c r="W140" s="67"/>
      <c r="X140" s="67"/>
    </row>
    <row r="141" spans="2:25" ht="15.75" hidden="1" thickBot="1" x14ac:dyDescent="0.3">
      <c r="B141" s="9"/>
      <c r="C141" s="34"/>
      <c r="D141" s="73"/>
      <c r="E141" s="73"/>
      <c r="F141" s="73"/>
      <c r="G141" s="73"/>
      <c r="H141" s="73"/>
      <c r="I141" s="73"/>
      <c r="J141" s="73"/>
      <c r="K141" s="73"/>
      <c r="L141" s="20"/>
      <c r="M141" s="131"/>
      <c r="N141" s="74"/>
      <c r="O141" s="46"/>
      <c r="P141" s="51"/>
      <c r="Q141" s="73">
        <v>0</v>
      </c>
      <c r="R141" s="73"/>
      <c r="S141" s="73"/>
      <c r="T141" s="73"/>
      <c r="U141" s="73"/>
      <c r="V141" s="73"/>
      <c r="W141" s="73"/>
      <c r="X141" s="73"/>
    </row>
    <row r="142" spans="2:25" ht="24" thickBot="1" x14ac:dyDescent="0.3">
      <c r="B142" s="7"/>
      <c r="C142" s="35" t="s">
        <v>18</v>
      </c>
      <c r="D142" s="30">
        <f>SUM(D128:D141)</f>
        <v>0</v>
      </c>
      <c r="E142" s="30">
        <f t="shared" ref="E142:L142" si="8">SUM(E128:E141)</f>
        <v>0</v>
      </c>
      <c r="F142" s="30">
        <f t="shared" si="8"/>
        <v>0</v>
      </c>
      <c r="G142" s="30">
        <f t="shared" si="8"/>
        <v>0</v>
      </c>
      <c r="H142" s="30">
        <f t="shared" si="8"/>
        <v>420</v>
      </c>
      <c r="I142" s="30">
        <f t="shared" si="8"/>
        <v>0</v>
      </c>
      <c r="J142" s="30">
        <f t="shared" si="8"/>
        <v>0</v>
      </c>
      <c r="K142" s="30">
        <f t="shared" si="8"/>
        <v>0</v>
      </c>
      <c r="L142" s="30">
        <f t="shared" si="8"/>
        <v>500</v>
      </c>
      <c r="M142" s="132"/>
      <c r="N142" s="74"/>
      <c r="O142" s="7"/>
      <c r="P142" s="33" t="s">
        <v>18</v>
      </c>
      <c r="Q142" s="21">
        <f t="shared" ref="Q142:X142" si="9">SUM(Q128:Q141)</f>
        <v>0</v>
      </c>
      <c r="R142" s="21">
        <f t="shared" si="9"/>
        <v>0</v>
      </c>
      <c r="S142" s="21">
        <f t="shared" si="9"/>
        <v>0</v>
      </c>
      <c r="T142" s="21">
        <f t="shared" si="9"/>
        <v>0</v>
      </c>
      <c r="U142" s="21">
        <f t="shared" si="9"/>
        <v>0</v>
      </c>
      <c r="V142" s="21">
        <f t="shared" si="9"/>
        <v>3735</v>
      </c>
      <c r="W142" s="21">
        <f t="shared" si="9"/>
        <v>0</v>
      </c>
      <c r="X142" s="21">
        <f t="shared" si="9"/>
        <v>280</v>
      </c>
    </row>
    <row r="143" spans="2:25" ht="15.75" thickBot="1" x14ac:dyDescent="0.3">
      <c r="B143" s="7"/>
      <c r="C143" s="1"/>
      <c r="D143" s="5"/>
      <c r="E143" s="5"/>
      <c r="F143" s="5"/>
      <c r="G143" s="5"/>
      <c r="H143" s="5"/>
      <c r="I143" s="5"/>
      <c r="J143" s="5"/>
      <c r="K143" s="5"/>
      <c r="L143" s="78"/>
      <c r="M143" s="76"/>
      <c r="N143" s="74"/>
      <c r="O143" s="7"/>
      <c r="Q143" s="5"/>
      <c r="R143" s="5"/>
      <c r="S143" s="5"/>
      <c r="T143" s="5"/>
      <c r="U143" s="5"/>
      <c r="V143" s="5"/>
      <c r="W143" s="5"/>
      <c r="X143" s="5"/>
    </row>
    <row r="144" spans="2:25" ht="21.75" thickBot="1" x14ac:dyDescent="0.4">
      <c r="B144" s="7"/>
      <c r="C144" s="1"/>
      <c r="D144" s="5"/>
      <c r="E144" s="5"/>
      <c r="F144" s="286">
        <f>K142+J142+I142+H142+G142+F142+E142+D142+L142</f>
        <v>920</v>
      </c>
      <c r="G144" s="287"/>
      <c r="H144" s="288"/>
      <c r="I144" s="5"/>
      <c r="J144" s="5"/>
      <c r="K144" s="5"/>
      <c r="L144" s="71"/>
      <c r="M144" s="74"/>
      <c r="N144" s="74"/>
      <c r="O144" s="7"/>
      <c r="Q144" s="5"/>
      <c r="R144" s="5"/>
      <c r="S144" s="289">
        <f>Q142+R142+S142+T142+U142+V142+W142+X142</f>
        <v>4015</v>
      </c>
      <c r="T144" s="290"/>
      <c r="U144" s="291"/>
      <c r="V144" s="5"/>
      <c r="W144" s="5"/>
      <c r="X144" s="5"/>
    </row>
    <row r="145" spans="1:24" s="80" customFormat="1" ht="21" x14ac:dyDescent="0.35">
      <c r="A145" s="80" t="s">
        <v>26</v>
      </c>
      <c r="B145" s="235"/>
      <c r="C145" s="129"/>
      <c r="D145" s="78"/>
      <c r="E145" s="78"/>
      <c r="F145" s="236"/>
      <c r="G145" s="237"/>
      <c r="H145" s="237"/>
      <c r="I145" s="78"/>
      <c r="J145" s="78"/>
      <c r="K145" s="78"/>
      <c r="L145" s="71"/>
      <c r="M145" s="74"/>
      <c r="N145" s="74"/>
      <c r="O145" s="235"/>
      <c r="Q145" s="78"/>
      <c r="R145" s="78"/>
      <c r="S145" s="236"/>
      <c r="T145" s="237"/>
      <c r="U145" s="237"/>
      <c r="V145" s="78"/>
      <c r="W145" s="78"/>
      <c r="X145" s="78"/>
    </row>
  </sheetData>
  <mergeCells count="22">
    <mergeCell ref="F21:H21"/>
    <mergeCell ref="S21:U21"/>
    <mergeCell ref="F51:H51"/>
    <mergeCell ref="C125:K125"/>
    <mergeCell ref="O125:W125"/>
    <mergeCell ref="S51:U51"/>
    <mergeCell ref="C63:K63"/>
    <mergeCell ref="O63:W63"/>
    <mergeCell ref="I64:K64"/>
    <mergeCell ref="V64:X64"/>
    <mergeCell ref="F82:H82"/>
    <mergeCell ref="S82:U82"/>
    <mergeCell ref="F144:H144"/>
    <mergeCell ref="S144:U144"/>
    <mergeCell ref="C94:K94"/>
    <mergeCell ref="O94:W94"/>
    <mergeCell ref="I95:K95"/>
    <mergeCell ref="V95:X95"/>
    <mergeCell ref="F113:H113"/>
    <mergeCell ref="S113:U113"/>
    <mergeCell ref="I126:K126"/>
    <mergeCell ref="V126:X126"/>
  </mergeCells>
  <pageMargins left="0.25" right="0.25" top="0.37" bottom="0.3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28" t="s">
        <v>208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90" t="str">
        <f>L2</f>
        <v># 05</v>
      </c>
    </row>
    <row r="3" spans="2:27" ht="16.5" thickBot="1" x14ac:dyDescent="0.3">
      <c r="B3" s="7"/>
      <c r="C3" s="1"/>
      <c r="I3" s="296" t="s">
        <v>321</v>
      </c>
      <c r="J3" s="297"/>
      <c r="K3" s="298"/>
      <c r="L3" s="68"/>
      <c r="M3" s="134"/>
      <c r="N3" s="74"/>
      <c r="O3" s="7"/>
      <c r="V3" s="296" t="str">
        <f>I3</f>
        <v>del   25- al  30   NOVIEMBRE  2023</v>
      </c>
      <c r="W3" s="297"/>
      <c r="X3" s="298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286">
        <f>K19+J19+I19+H19+G19+F19+E19+D19+L19</f>
        <v>14252</v>
      </c>
      <c r="G21" s="287"/>
      <c r="H21" s="288"/>
      <c r="I21" s="5"/>
      <c r="J21" s="5"/>
      <c r="K21" s="5"/>
      <c r="L21" s="71"/>
      <c r="M21" s="74"/>
      <c r="N21" s="74"/>
      <c r="O21" s="7"/>
      <c r="Q21" s="5"/>
      <c r="R21" s="5"/>
      <c r="S21" s="289">
        <f>Q19+R19+S19+T19+U19+V19+W19+X19</f>
        <v>26704</v>
      </c>
      <c r="T21" s="290"/>
      <c r="U21" s="291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292" t="s">
        <v>36</v>
      </c>
      <c r="D29" s="293"/>
      <c r="E29" s="293"/>
      <c r="F29" s="293"/>
      <c r="G29" s="293"/>
      <c r="H29" s="293"/>
      <c r="I29" s="293"/>
      <c r="J29" s="293"/>
      <c r="K29" s="293"/>
      <c r="L29" s="128" t="s">
        <v>208</v>
      </c>
      <c r="M29" s="133"/>
      <c r="N29" s="81"/>
      <c r="O29" s="294" t="s">
        <v>19</v>
      </c>
      <c r="P29" s="295"/>
      <c r="Q29" s="295"/>
      <c r="R29" s="295"/>
      <c r="S29" s="295"/>
      <c r="T29" s="295"/>
      <c r="U29" s="295"/>
      <c r="V29" s="295"/>
      <c r="W29" s="295"/>
      <c r="X29" s="190" t="str">
        <f>L29</f>
        <v># 05</v>
      </c>
    </row>
    <row r="30" spans="1:27" ht="16.5" thickBot="1" x14ac:dyDescent="0.3">
      <c r="B30" s="7"/>
      <c r="C30" s="1"/>
      <c r="I30" s="296" t="s">
        <v>321</v>
      </c>
      <c r="J30" s="297"/>
      <c r="K30" s="298"/>
      <c r="L30" s="68"/>
      <c r="M30" s="134"/>
      <c r="N30" s="74"/>
      <c r="O30" s="7"/>
      <c r="V30" s="296" t="str">
        <f>I30</f>
        <v>del   25- al  30   NOVIEMBRE  2023</v>
      </c>
      <c r="W30" s="297"/>
      <c r="X30" s="298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286">
        <f>K46+J46+I46+H46+G46+F46+E46+D46+L46</f>
        <v>13752</v>
      </c>
      <c r="G48" s="287"/>
      <c r="H48" s="288"/>
      <c r="I48" s="5"/>
      <c r="J48" s="5"/>
      <c r="K48" s="5"/>
      <c r="L48" s="71"/>
      <c r="M48" s="74"/>
      <c r="N48" s="74"/>
      <c r="O48" s="7"/>
      <c r="Q48" s="5"/>
      <c r="R48" s="5"/>
      <c r="S48" s="289">
        <f>Q46+R46+S46+T46+U46+V46+W46+X46</f>
        <v>22689</v>
      </c>
      <c r="T48" s="290"/>
      <c r="U48" s="291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292" t="s">
        <v>36</v>
      </c>
      <c r="D60" s="293"/>
      <c r="E60" s="293"/>
      <c r="F60" s="293"/>
      <c r="G60" s="293"/>
      <c r="H60" s="293"/>
      <c r="I60" s="293"/>
      <c r="J60" s="293"/>
      <c r="K60" s="293"/>
      <c r="L60" s="128" t="s">
        <v>88</v>
      </c>
      <c r="M60" s="133"/>
      <c r="N60" s="81"/>
      <c r="O60" s="294" t="s">
        <v>19</v>
      </c>
      <c r="P60" s="295"/>
      <c r="Q60" s="295"/>
      <c r="R60" s="295"/>
      <c r="S60" s="295"/>
      <c r="T60" s="295"/>
      <c r="U60" s="295"/>
      <c r="V60" s="295"/>
      <c r="W60" s="295"/>
      <c r="X60" s="190" t="str">
        <f>L60</f>
        <v># 04</v>
      </c>
    </row>
    <row r="61" spans="1:27" ht="16.5" thickBot="1" x14ac:dyDescent="0.3">
      <c r="B61" s="7"/>
      <c r="C61" s="1"/>
      <c r="I61" s="296" t="s">
        <v>306</v>
      </c>
      <c r="J61" s="297"/>
      <c r="K61" s="298"/>
      <c r="L61" s="68"/>
      <c r="M61" s="134"/>
      <c r="N61" s="74"/>
      <c r="O61" s="7"/>
      <c r="V61" s="296" t="str">
        <f>I61</f>
        <v>del   18- al  24   NOVIEMBRE  2023</v>
      </c>
      <c r="W61" s="297"/>
      <c r="X61" s="298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6">
        <f>K77+J77+I77+H77+G77+F77+E77+D77+L77</f>
        <v>10727</v>
      </c>
      <c r="G79" s="287"/>
      <c r="H79" s="288"/>
      <c r="I79" s="5"/>
      <c r="J79" s="5"/>
      <c r="K79" s="5"/>
      <c r="L79" s="71"/>
      <c r="M79" s="74"/>
      <c r="N79" s="74"/>
      <c r="O79" s="7"/>
      <c r="Q79" s="5"/>
      <c r="R79" s="5"/>
      <c r="S79" s="289">
        <f>Q77+R77+S77+T77+U77+V77+W77+X77</f>
        <v>17666</v>
      </c>
      <c r="T79" s="290"/>
      <c r="U79" s="291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292" t="s">
        <v>36</v>
      </c>
      <c r="D89" s="293"/>
      <c r="E89" s="293"/>
      <c r="F89" s="293"/>
      <c r="G89" s="293"/>
      <c r="H89" s="293"/>
      <c r="I89" s="293"/>
      <c r="J89" s="293"/>
      <c r="K89" s="293"/>
      <c r="L89" s="128" t="s">
        <v>66</v>
      </c>
      <c r="M89" s="133"/>
      <c r="N89" s="81"/>
      <c r="O89" s="294" t="s">
        <v>19</v>
      </c>
      <c r="P89" s="295"/>
      <c r="Q89" s="295"/>
      <c r="R89" s="295"/>
      <c r="S89" s="295"/>
      <c r="T89" s="295"/>
      <c r="U89" s="295"/>
      <c r="V89" s="295"/>
      <c r="W89" s="295"/>
      <c r="X89" s="190" t="str">
        <f>L89</f>
        <v># 03</v>
      </c>
    </row>
    <row r="90" spans="2:27" ht="16.5" thickBot="1" x14ac:dyDescent="0.3">
      <c r="B90" s="7"/>
      <c r="C90" s="1"/>
      <c r="I90" s="296" t="s">
        <v>290</v>
      </c>
      <c r="J90" s="297"/>
      <c r="K90" s="298"/>
      <c r="L90" s="68"/>
      <c r="M90" s="134"/>
      <c r="N90" s="74"/>
      <c r="O90" s="7"/>
      <c r="V90" s="296" t="str">
        <f>I90</f>
        <v>del   11- al  17   NOVIEMBRE  2023</v>
      </c>
      <c r="W90" s="297"/>
      <c r="X90" s="298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86">
        <f>K106+J106+I106+H106+G106+F106+E106+D106+L106</f>
        <v>12113</v>
      </c>
      <c r="G108" s="287"/>
      <c r="H108" s="288"/>
      <c r="I108" s="5"/>
      <c r="J108" s="5"/>
      <c r="K108" s="5"/>
      <c r="L108" s="71"/>
      <c r="M108" s="74"/>
      <c r="N108" s="74"/>
      <c r="O108" s="7"/>
      <c r="Q108" s="5"/>
      <c r="R108" s="5"/>
      <c r="S108" s="289">
        <f>Q106+R106+S106+T106+U106+V106+W106+X106</f>
        <v>23360.5</v>
      </c>
      <c r="T108" s="290"/>
      <c r="U108" s="291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292" t="s">
        <v>36</v>
      </c>
      <c r="D120" s="293"/>
      <c r="E120" s="293"/>
      <c r="F120" s="293"/>
      <c r="G120" s="293"/>
      <c r="H120" s="293"/>
      <c r="I120" s="293"/>
      <c r="J120" s="293"/>
      <c r="K120" s="293"/>
      <c r="L120" s="128" t="s">
        <v>42</v>
      </c>
      <c r="M120" s="133"/>
      <c r="N120" s="81"/>
      <c r="O120" s="294" t="s">
        <v>19</v>
      </c>
      <c r="P120" s="295"/>
      <c r="Q120" s="295"/>
      <c r="R120" s="295"/>
      <c r="S120" s="295"/>
      <c r="T120" s="295"/>
      <c r="U120" s="295"/>
      <c r="V120" s="295"/>
      <c r="W120" s="295"/>
      <c r="X120" s="190" t="str">
        <f>L120</f>
        <v># 02</v>
      </c>
    </row>
    <row r="121" spans="2:25" ht="16.5" thickBot="1" x14ac:dyDescent="0.3">
      <c r="B121" s="7"/>
      <c r="C121" s="1"/>
      <c r="I121" s="296" t="s">
        <v>275</v>
      </c>
      <c r="J121" s="297"/>
      <c r="K121" s="298"/>
      <c r="L121" s="68"/>
      <c r="M121" s="134"/>
      <c r="N121" s="74"/>
      <c r="O121" s="7"/>
      <c r="V121" s="296" t="str">
        <f>I121</f>
        <v>del   04- al  10   NOVIEMBRE  2023</v>
      </c>
      <c r="W121" s="297"/>
      <c r="X121" s="298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286">
        <f>K137+J137+I137+H137+G137+F137+E137+D137+L137</f>
        <v>12757</v>
      </c>
      <c r="G139" s="287"/>
      <c r="H139" s="288"/>
      <c r="I139" s="5"/>
      <c r="J139" s="5"/>
      <c r="K139" s="5"/>
      <c r="L139" s="71"/>
      <c r="M139" s="74"/>
      <c r="N139" s="74"/>
      <c r="O139" s="7"/>
      <c r="Q139" s="5"/>
      <c r="R139" s="5"/>
      <c r="S139" s="289">
        <f>Q137+R137+S137+T137+U137+V137+W137+X137</f>
        <v>21698</v>
      </c>
      <c r="T139" s="290"/>
      <c r="U139" s="291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292" t="s">
        <v>36</v>
      </c>
      <c r="D149" s="293"/>
      <c r="E149" s="293"/>
      <c r="F149" s="293"/>
      <c r="G149" s="293"/>
      <c r="H149" s="293"/>
      <c r="I149" s="293"/>
      <c r="J149" s="293"/>
      <c r="K149" s="293"/>
      <c r="L149" s="128" t="s">
        <v>41</v>
      </c>
      <c r="M149" s="133"/>
      <c r="N149" s="81"/>
      <c r="O149" s="294" t="s">
        <v>19</v>
      </c>
      <c r="P149" s="295"/>
      <c r="Q149" s="295"/>
      <c r="R149" s="295"/>
      <c r="S149" s="295"/>
      <c r="T149" s="295"/>
      <c r="U149" s="295"/>
      <c r="V149" s="295"/>
      <c r="W149" s="295"/>
      <c r="X149" s="190" t="str">
        <f>L149</f>
        <v># 01</v>
      </c>
    </row>
    <row r="150" spans="2:25" ht="16.5" thickBot="1" x14ac:dyDescent="0.3">
      <c r="B150" s="7"/>
      <c r="C150" s="1"/>
      <c r="I150" s="296" t="s">
        <v>248</v>
      </c>
      <c r="J150" s="297"/>
      <c r="K150" s="298"/>
      <c r="L150" s="68"/>
      <c r="M150" s="134"/>
      <c r="N150" s="74"/>
      <c r="O150" s="7"/>
      <c r="V150" s="296" t="str">
        <f>I150</f>
        <v>del   01- al  3   NOVIEMBRE  2023</v>
      </c>
      <c r="W150" s="297"/>
      <c r="X150" s="298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286">
        <f>K166+J166+I166+H166+G166+F166+E166+D166+L166</f>
        <v>3455</v>
      </c>
      <c r="G168" s="287"/>
      <c r="H168" s="288"/>
      <c r="I168" s="5"/>
      <c r="J168" s="5"/>
      <c r="K168" s="5"/>
      <c r="L168" s="71"/>
      <c r="M168" s="74"/>
      <c r="N168" s="74"/>
      <c r="O168" s="7"/>
      <c r="Q168" s="5"/>
      <c r="R168" s="5"/>
      <c r="S168" s="289">
        <f>Q166+R166+S166+T166+U166+V166+W166+X166</f>
        <v>8067.5</v>
      </c>
      <c r="T168" s="290"/>
      <c r="U168" s="291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2:K2"/>
    <mergeCell ref="O2:W2"/>
    <mergeCell ref="I3:K3"/>
    <mergeCell ref="V3:X3"/>
    <mergeCell ref="F21:H21"/>
    <mergeCell ref="S21:U21"/>
    <mergeCell ref="C29:K29"/>
    <mergeCell ref="O29:W29"/>
    <mergeCell ref="I30:K30"/>
    <mergeCell ref="V30:X30"/>
    <mergeCell ref="F48:H48"/>
    <mergeCell ref="S48:U48"/>
    <mergeCell ref="C149:K149"/>
    <mergeCell ref="O149:W149"/>
    <mergeCell ref="I150:K150"/>
    <mergeCell ref="V150:X150"/>
    <mergeCell ref="F168:H168"/>
    <mergeCell ref="S168:U168"/>
    <mergeCell ref="C120:K120"/>
    <mergeCell ref="O120:W120"/>
    <mergeCell ref="I121:K121"/>
    <mergeCell ref="V121:X121"/>
    <mergeCell ref="F139:H139"/>
    <mergeCell ref="S139:U139"/>
    <mergeCell ref="C89:K89"/>
    <mergeCell ref="O89:W89"/>
    <mergeCell ref="I90:K90"/>
    <mergeCell ref="V90:X90"/>
    <mergeCell ref="F108:H108"/>
    <mergeCell ref="S108:U108"/>
    <mergeCell ref="C60:K60"/>
    <mergeCell ref="O60:W60"/>
    <mergeCell ref="I61:K61"/>
    <mergeCell ref="V61:X61"/>
    <mergeCell ref="F79:H79"/>
    <mergeCell ref="S79:U79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28" t="s">
        <v>208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90" t="str">
        <f>L2</f>
        <v># 05</v>
      </c>
    </row>
    <row r="3" spans="2:25" ht="16.5" thickBot="1" x14ac:dyDescent="0.3">
      <c r="B3" s="7"/>
      <c r="C3" s="1"/>
      <c r="I3" s="296" t="s">
        <v>242</v>
      </c>
      <c r="J3" s="297"/>
      <c r="K3" s="298"/>
      <c r="L3" s="68"/>
      <c r="M3" s="134"/>
      <c r="N3" s="74"/>
      <c r="O3" s="7"/>
      <c r="V3" s="296" t="str">
        <f>I3</f>
        <v>del       28--- al  31    OCTUBRE-2023</v>
      </c>
      <c r="W3" s="297"/>
      <c r="X3" s="29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86">
        <f>K19+J19+I19+H19+G19+F19+E19+D19+L19</f>
        <v>7829.5</v>
      </c>
      <c r="G21" s="287"/>
      <c r="H21" s="288"/>
      <c r="I21" s="5"/>
      <c r="J21" s="5"/>
      <c r="K21" s="5"/>
      <c r="L21" s="71"/>
      <c r="M21" s="74"/>
      <c r="N21" s="74"/>
      <c r="O21" s="7"/>
      <c r="Q21" s="5"/>
      <c r="R21" s="5"/>
      <c r="S21" s="289">
        <f>Q19+R19+S19+T19+U19+V19+W19+X19</f>
        <v>9034</v>
      </c>
      <c r="T21" s="290"/>
      <c r="U21" s="291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292" t="s">
        <v>36</v>
      </c>
      <c r="D30" s="293"/>
      <c r="E30" s="293"/>
      <c r="F30" s="293"/>
      <c r="G30" s="293"/>
      <c r="H30" s="293"/>
      <c r="I30" s="293"/>
      <c r="J30" s="293"/>
      <c r="K30" s="293"/>
      <c r="L30" s="128" t="s">
        <v>88</v>
      </c>
      <c r="M30" s="133"/>
      <c r="N30" s="81"/>
      <c r="O30" s="294" t="s">
        <v>19</v>
      </c>
      <c r="P30" s="295"/>
      <c r="Q30" s="295"/>
      <c r="R30" s="295"/>
      <c r="S30" s="295"/>
      <c r="T30" s="295"/>
      <c r="U30" s="295"/>
      <c r="V30" s="295"/>
      <c r="W30" s="295"/>
      <c r="X30" s="190" t="str">
        <f>L30</f>
        <v># 04</v>
      </c>
    </row>
    <row r="31" spans="2:24" ht="16.5" thickBot="1" x14ac:dyDescent="0.3">
      <c r="B31" s="7"/>
      <c r="C31" s="1"/>
      <c r="I31" s="296" t="s">
        <v>225</v>
      </c>
      <c r="J31" s="297"/>
      <c r="K31" s="298"/>
      <c r="L31" s="68"/>
      <c r="M31" s="134"/>
      <c r="N31" s="74"/>
      <c r="O31" s="7"/>
      <c r="V31" s="296" t="str">
        <f>I31</f>
        <v>del       21--- al  27    OCTUBRE-2023</v>
      </c>
      <c r="W31" s="297"/>
      <c r="X31" s="298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286">
        <f>K47+J47+I47+H47+G47+F47+E47+D47+L47</f>
        <v>9341</v>
      </c>
      <c r="G49" s="287"/>
      <c r="H49" s="288"/>
      <c r="I49" s="5"/>
      <c r="J49" s="5"/>
      <c r="K49" s="5"/>
      <c r="L49" s="71"/>
      <c r="M49" s="74"/>
      <c r="N49" s="74"/>
      <c r="O49" s="7"/>
      <c r="Q49" s="5"/>
      <c r="R49" s="5"/>
      <c r="S49" s="289">
        <f>Q47+R47+S47+T47+U47+V47+W47+X47</f>
        <v>20161</v>
      </c>
      <c r="T49" s="290"/>
      <c r="U49" s="291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292" t="s">
        <v>36</v>
      </c>
      <c r="D60" s="293"/>
      <c r="E60" s="293"/>
      <c r="F60" s="293"/>
      <c r="G60" s="293"/>
      <c r="H60" s="293"/>
      <c r="I60" s="293"/>
      <c r="J60" s="293"/>
      <c r="K60" s="293"/>
      <c r="L60" s="128" t="s">
        <v>66</v>
      </c>
      <c r="M60" s="133"/>
      <c r="N60" s="81"/>
      <c r="O60" s="294" t="s">
        <v>19</v>
      </c>
      <c r="P60" s="295"/>
      <c r="Q60" s="295"/>
      <c r="R60" s="295"/>
      <c r="S60" s="295"/>
      <c r="T60" s="295"/>
      <c r="U60" s="295"/>
      <c r="V60" s="295"/>
      <c r="W60" s="295"/>
      <c r="X60" s="190" t="s">
        <v>66</v>
      </c>
    </row>
    <row r="61" spans="2:24" ht="16.5" thickBot="1" x14ac:dyDescent="0.3">
      <c r="B61" s="7"/>
      <c r="C61" s="1"/>
      <c r="I61" s="296" t="s">
        <v>209</v>
      </c>
      <c r="J61" s="297"/>
      <c r="K61" s="298"/>
      <c r="L61" s="68"/>
      <c r="M61" s="134"/>
      <c r="N61" s="74"/>
      <c r="O61" s="7"/>
      <c r="V61" s="296" t="str">
        <f>I61</f>
        <v>del       14--- al  20    OCTUBRE-2023</v>
      </c>
      <c r="W61" s="297"/>
      <c r="X61" s="298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286">
        <f>K77+J77+I77+H77+G77+F77+E77+D77+L77</f>
        <v>12198</v>
      </c>
      <c r="G79" s="287"/>
      <c r="H79" s="288"/>
      <c r="I79" s="5"/>
      <c r="J79" s="5"/>
      <c r="K79" s="5"/>
      <c r="L79" s="71"/>
      <c r="M79" s="74"/>
      <c r="N79" s="74"/>
      <c r="O79" s="7"/>
      <c r="Q79" s="5"/>
      <c r="R79" s="5"/>
      <c r="S79" s="289">
        <f>Q77+R77+S77+T77+U77+V77+W77+X77</f>
        <v>20122.5</v>
      </c>
      <c r="T79" s="290"/>
      <c r="U79" s="291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292" t="s">
        <v>36</v>
      </c>
      <c r="D91" s="293"/>
      <c r="E91" s="293"/>
      <c r="F91" s="293"/>
      <c r="G91" s="293"/>
      <c r="H91" s="293"/>
      <c r="I91" s="293"/>
      <c r="J91" s="293"/>
      <c r="K91" s="293"/>
      <c r="L91" s="128" t="s">
        <v>42</v>
      </c>
      <c r="M91" s="133"/>
      <c r="N91" s="81"/>
      <c r="O91" s="294" t="s">
        <v>19</v>
      </c>
      <c r="P91" s="295"/>
      <c r="Q91" s="295"/>
      <c r="R91" s="295"/>
      <c r="S91" s="295"/>
      <c r="T91" s="295"/>
      <c r="U91" s="295"/>
      <c r="V91" s="295"/>
      <c r="W91" s="295"/>
      <c r="X91" s="190" t="s">
        <v>42</v>
      </c>
    </row>
    <row r="92" spans="2:24" ht="16.5" thickBot="1" x14ac:dyDescent="0.3">
      <c r="B92" s="7"/>
      <c r="C92" s="1"/>
      <c r="I92" s="296" t="s">
        <v>194</v>
      </c>
      <c r="J92" s="297"/>
      <c r="K92" s="298"/>
      <c r="L92" s="68"/>
      <c r="M92" s="134"/>
      <c r="N92" s="74"/>
      <c r="O92" s="7"/>
      <c r="V92" s="296" t="str">
        <f>I92</f>
        <v>del       07--- al  13    OCTUBRE-2023</v>
      </c>
      <c r="W92" s="297"/>
      <c r="X92" s="298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286">
        <f>K108+J108+I108+H108+G108+F108+E108+D108+L108</f>
        <v>12359</v>
      </c>
      <c r="G110" s="287"/>
      <c r="H110" s="288"/>
      <c r="I110" s="5"/>
      <c r="J110" s="5"/>
      <c r="K110" s="5"/>
      <c r="L110" s="71"/>
      <c r="M110" s="74"/>
      <c r="N110" s="74"/>
      <c r="O110" s="7"/>
      <c r="Q110" s="5"/>
      <c r="R110" s="5"/>
      <c r="S110" s="289">
        <f>Q108+R108+S108+T108+U108+V108+W108+X108</f>
        <v>18256.5</v>
      </c>
      <c r="T110" s="290"/>
      <c r="U110" s="291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292" t="s">
        <v>36</v>
      </c>
      <c r="D116" s="293"/>
      <c r="E116" s="293"/>
      <c r="F116" s="293"/>
      <c r="G116" s="293"/>
      <c r="H116" s="293"/>
      <c r="I116" s="293"/>
      <c r="J116" s="293"/>
      <c r="K116" s="293"/>
      <c r="L116" s="128" t="s">
        <v>41</v>
      </c>
      <c r="M116" s="133"/>
      <c r="N116" s="81"/>
      <c r="O116" s="294" t="s">
        <v>19</v>
      </c>
      <c r="P116" s="295"/>
      <c r="Q116" s="295"/>
      <c r="R116" s="295"/>
      <c r="S116" s="295"/>
      <c r="T116" s="295"/>
      <c r="U116" s="295"/>
      <c r="V116" s="295"/>
      <c r="W116" s="295"/>
      <c r="X116" s="190" t="s">
        <v>41</v>
      </c>
    </row>
    <row r="117" spans="2:25" ht="16.5" thickBot="1" x14ac:dyDescent="0.3">
      <c r="B117" s="7"/>
      <c r="C117" s="1"/>
      <c r="I117" s="296" t="s">
        <v>167</v>
      </c>
      <c r="J117" s="297"/>
      <c r="K117" s="298"/>
      <c r="L117" s="68"/>
      <c r="M117" s="134"/>
      <c r="N117" s="74"/>
      <c r="O117" s="7"/>
      <c r="V117" s="296" t="str">
        <f>I117</f>
        <v>del       30--- al  06    OCTUBRE-2023</v>
      </c>
      <c r="W117" s="297"/>
      <c r="X117" s="298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286">
        <f>K133+J133+I133+H133+G133+F133+E133+D133+L133</f>
        <v>7969</v>
      </c>
      <c r="G135" s="287"/>
      <c r="H135" s="288"/>
      <c r="I135" s="5"/>
      <c r="J135" s="5"/>
      <c r="K135" s="5"/>
      <c r="L135" s="71"/>
      <c r="M135" s="74"/>
      <c r="N135" s="74"/>
      <c r="O135" s="7"/>
      <c r="Q135" s="5"/>
      <c r="R135" s="5"/>
      <c r="S135" s="289">
        <f>Q133+R133+S133+T133+U133+V133+W133+X133</f>
        <v>13753</v>
      </c>
      <c r="T135" s="290"/>
      <c r="U135" s="291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292" t="s">
        <v>36</v>
      </c>
      <c r="D142" s="293"/>
      <c r="E142" s="293"/>
      <c r="F142" s="293"/>
      <c r="G142" s="293"/>
      <c r="H142" s="293"/>
      <c r="I142" s="293"/>
      <c r="J142" s="293"/>
      <c r="K142" s="293"/>
      <c r="L142" s="128" t="s">
        <v>41</v>
      </c>
      <c r="M142" s="133"/>
      <c r="N142" s="81"/>
      <c r="O142" s="294" t="s">
        <v>19</v>
      </c>
      <c r="P142" s="295"/>
      <c r="Q142" s="295"/>
      <c r="R142" s="295"/>
      <c r="S142" s="295"/>
      <c r="T142" s="295"/>
      <c r="U142" s="295"/>
      <c r="V142" s="295"/>
      <c r="W142" s="295"/>
      <c r="X142" s="190" t="s">
        <v>41</v>
      </c>
    </row>
    <row r="143" spans="1:24" ht="16.5" thickBot="1" x14ac:dyDescent="0.3">
      <c r="B143" s="7"/>
      <c r="C143" s="1"/>
      <c r="I143" s="296" t="s">
        <v>167</v>
      </c>
      <c r="J143" s="297"/>
      <c r="K143" s="298"/>
      <c r="L143" s="68"/>
      <c r="M143" s="134"/>
      <c r="N143" s="74"/>
      <c r="O143" s="7"/>
      <c r="V143" s="296" t="str">
        <f>I143</f>
        <v>del       30--- al  06    OCTUBRE-2023</v>
      </c>
      <c r="W143" s="297"/>
      <c r="X143" s="298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286">
        <f>K159+J159+I159+H159+G159+F159+E159+D159+L159</f>
        <v>12113</v>
      </c>
      <c r="G161" s="287"/>
      <c r="H161" s="288"/>
      <c r="I161" s="5"/>
      <c r="J161" s="5"/>
      <c r="K161" s="5"/>
      <c r="L161" s="71"/>
      <c r="M161" s="74"/>
      <c r="N161" s="74"/>
      <c r="O161" s="7"/>
      <c r="Q161" s="5"/>
      <c r="R161" s="5"/>
      <c r="S161" s="289">
        <f>Q159+R159+S159+T159+U159+V159+W159+X159</f>
        <v>19443</v>
      </c>
      <c r="T161" s="290"/>
      <c r="U161" s="291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116:K116"/>
    <mergeCell ref="O116:W116"/>
    <mergeCell ref="I117:K117"/>
    <mergeCell ref="V117:X117"/>
    <mergeCell ref="F135:H135"/>
    <mergeCell ref="S135:U135"/>
    <mergeCell ref="C2:K2"/>
    <mergeCell ref="O2:W2"/>
    <mergeCell ref="I3:K3"/>
    <mergeCell ref="V3:X3"/>
    <mergeCell ref="F21:H21"/>
    <mergeCell ref="S21:U21"/>
    <mergeCell ref="C60:K60"/>
    <mergeCell ref="O60:W60"/>
    <mergeCell ref="I61:K61"/>
    <mergeCell ref="V61:X61"/>
    <mergeCell ref="F79:H79"/>
    <mergeCell ref="S79:U79"/>
    <mergeCell ref="C142:K142"/>
    <mergeCell ref="O142:W142"/>
    <mergeCell ref="I143:K143"/>
    <mergeCell ref="V143:X143"/>
    <mergeCell ref="F161:H161"/>
    <mergeCell ref="S161:U161"/>
    <mergeCell ref="C91:K91"/>
    <mergeCell ref="O91:W91"/>
    <mergeCell ref="I92:K92"/>
    <mergeCell ref="V92:X92"/>
    <mergeCell ref="F110:H110"/>
    <mergeCell ref="S110:U110"/>
    <mergeCell ref="C30:K30"/>
    <mergeCell ref="O30:W30"/>
    <mergeCell ref="I31:K31"/>
    <mergeCell ref="V31:X31"/>
    <mergeCell ref="F49:H49"/>
    <mergeCell ref="S49:U49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4" zoomScaleNormal="100" workbookViewId="0">
      <selection activeCell="J75" sqref="J75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292" t="s">
        <v>36</v>
      </c>
      <c r="D2" s="293"/>
      <c r="E2" s="293"/>
      <c r="F2" s="293"/>
      <c r="G2" s="293"/>
      <c r="H2" s="293"/>
      <c r="I2" s="293"/>
      <c r="J2" s="293"/>
      <c r="K2" s="293"/>
      <c r="L2" s="185" t="s">
        <v>42</v>
      </c>
      <c r="M2" s="133"/>
      <c r="N2" s="81"/>
      <c r="O2" s="294" t="s">
        <v>19</v>
      </c>
      <c r="P2" s="295"/>
      <c r="Q2" s="295"/>
      <c r="R2" s="295"/>
      <c r="S2" s="295"/>
      <c r="T2" s="295"/>
      <c r="U2" s="295"/>
      <c r="V2" s="295"/>
      <c r="W2" s="295"/>
      <c r="X2" s="187" t="s">
        <v>42</v>
      </c>
    </row>
    <row r="3" spans="2:25" ht="16.5" thickBot="1" x14ac:dyDescent="0.3">
      <c r="I3" s="296" t="s">
        <v>148</v>
      </c>
      <c r="J3" s="297"/>
      <c r="K3" s="298"/>
      <c r="L3" s="68"/>
      <c r="M3" s="134"/>
      <c r="N3" s="74"/>
      <c r="V3" s="296" t="s">
        <v>151</v>
      </c>
      <c r="W3" s="297"/>
      <c r="X3" s="29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286">
        <f>K19+J19+I19+H19+G19+F19+E19+D19+L19</f>
        <v>15022</v>
      </c>
      <c r="G21" s="287"/>
      <c r="H21" s="288"/>
      <c r="I21" s="5"/>
      <c r="J21" s="5"/>
      <c r="K21" s="5"/>
      <c r="L21" s="71"/>
      <c r="M21" s="74"/>
      <c r="N21" s="74"/>
      <c r="Q21" s="5"/>
      <c r="R21" s="5"/>
      <c r="S21" s="289">
        <f>Q19+R19+S19+T19+U19+V19+W19+X19</f>
        <v>23024</v>
      </c>
      <c r="T21" s="290"/>
      <c r="U21" s="291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292" t="s">
        <v>36</v>
      </c>
      <c r="D32" s="293"/>
      <c r="E32" s="293"/>
      <c r="F32" s="293"/>
      <c r="G32" s="293"/>
      <c r="H32" s="293"/>
      <c r="I32" s="293"/>
      <c r="J32" s="293"/>
      <c r="K32" s="293"/>
      <c r="L32" s="185" t="s">
        <v>208</v>
      </c>
      <c r="M32" s="133"/>
      <c r="N32" s="81"/>
      <c r="O32" s="303" t="s">
        <v>19</v>
      </c>
      <c r="P32" s="304"/>
      <c r="Q32" s="304"/>
      <c r="R32" s="304"/>
      <c r="S32" s="304"/>
      <c r="T32" s="304"/>
      <c r="U32" s="304"/>
      <c r="V32" s="304"/>
      <c r="W32" s="304"/>
      <c r="X32" s="128" t="s">
        <v>208</v>
      </c>
    </row>
    <row r="33" spans="2:27" ht="16.5" thickBot="1" x14ac:dyDescent="0.3">
      <c r="I33" s="296" t="s">
        <v>129</v>
      </c>
      <c r="J33" s="297"/>
      <c r="K33" s="298"/>
      <c r="L33" s="68"/>
      <c r="M33" s="134"/>
      <c r="N33" s="74"/>
      <c r="V33" s="296" t="s">
        <v>150</v>
      </c>
      <c r="W33" s="297"/>
      <c r="X33" s="298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286">
        <f>K49+J49+I49+H49+G49+F49+E49+D49+L49</f>
        <v>14572.5</v>
      </c>
      <c r="G51" s="287"/>
      <c r="H51" s="288"/>
      <c r="I51" s="5"/>
      <c r="J51" s="5"/>
      <c r="K51" s="5"/>
      <c r="L51" s="71"/>
      <c r="M51" s="74"/>
      <c r="N51" s="74"/>
      <c r="Q51" s="5"/>
      <c r="R51" s="5"/>
      <c r="S51" s="289">
        <f>Q49+R49+S49+T49+U49+V49+W49+X49</f>
        <v>21274</v>
      </c>
      <c r="T51" s="290"/>
      <c r="U51" s="291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292" t="s">
        <v>36</v>
      </c>
      <c r="D66" s="293"/>
      <c r="E66" s="293"/>
      <c r="F66" s="293"/>
      <c r="G66" s="293"/>
      <c r="H66" s="293"/>
      <c r="I66" s="293"/>
      <c r="J66" s="293"/>
      <c r="K66" s="293"/>
      <c r="L66" s="84" t="s">
        <v>88</v>
      </c>
      <c r="M66" s="83"/>
      <c r="N66" s="81"/>
      <c r="O66" s="303" t="s">
        <v>19</v>
      </c>
      <c r="P66" s="304"/>
      <c r="Q66" s="304"/>
      <c r="R66" s="304"/>
      <c r="S66" s="304"/>
      <c r="T66" s="304"/>
      <c r="U66" s="304"/>
      <c r="V66" s="304"/>
      <c r="W66" s="304"/>
      <c r="X66" s="85" t="s">
        <v>88</v>
      </c>
    </row>
    <row r="67" spans="2:27" ht="16.5" thickBot="1" x14ac:dyDescent="0.3">
      <c r="I67" s="296" t="s">
        <v>107</v>
      </c>
      <c r="J67" s="297"/>
      <c r="K67" s="298"/>
      <c r="L67" s="68"/>
      <c r="M67" s="59"/>
      <c r="N67" s="74"/>
      <c r="V67" s="296" t="s">
        <v>107</v>
      </c>
      <c r="W67" s="297"/>
      <c r="X67" s="298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286">
        <f>K83+J83+I83+H83+G83+F83+E83+D83+L83</f>
        <v>9784</v>
      </c>
      <c r="G85" s="287"/>
      <c r="H85" s="288"/>
      <c r="I85" s="5"/>
      <c r="J85" s="5"/>
      <c r="K85" s="5"/>
      <c r="L85" s="78"/>
      <c r="M85" s="76"/>
      <c r="N85" s="74"/>
      <c r="Q85" s="5"/>
      <c r="R85" s="5"/>
      <c r="S85" s="289">
        <f>Q83+R83+S83+T83+U83+V83+W83+X83</f>
        <v>18984.5</v>
      </c>
      <c r="T85" s="290"/>
      <c r="U85" s="291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292" t="s">
        <v>36</v>
      </c>
      <c r="D97" s="293"/>
      <c r="E97" s="293"/>
      <c r="F97" s="293"/>
      <c r="G97" s="293"/>
      <c r="H97" s="293"/>
      <c r="I97" s="293"/>
      <c r="J97" s="293"/>
      <c r="K97" s="293"/>
      <c r="L97" s="84" t="s">
        <v>66</v>
      </c>
      <c r="M97" s="83"/>
      <c r="N97" s="81"/>
      <c r="O97" s="303" t="s">
        <v>19</v>
      </c>
      <c r="P97" s="304"/>
      <c r="Q97" s="304"/>
      <c r="R97" s="304"/>
      <c r="S97" s="304"/>
      <c r="T97" s="304"/>
      <c r="U97" s="304"/>
      <c r="V97" s="304"/>
      <c r="W97" s="304"/>
      <c r="X97" s="85" t="s">
        <v>66</v>
      </c>
    </row>
    <row r="98" spans="2:24" ht="16.5" thickBot="1" x14ac:dyDescent="0.3">
      <c r="I98" s="296" t="s">
        <v>68</v>
      </c>
      <c r="J98" s="297"/>
      <c r="K98" s="298"/>
      <c r="L98" s="68"/>
      <c r="M98" s="59"/>
      <c r="N98" s="74"/>
      <c r="V98" s="296" t="s">
        <v>68</v>
      </c>
      <c r="W98" s="297"/>
      <c r="X98" s="298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286">
        <f>K114+J114+I114+H114+G114+F114+E114+D114+L114</f>
        <v>13702.5</v>
      </c>
      <c r="G116" s="287"/>
      <c r="H116" s="288"/>
      <c r="I116" s="5"/>
      <c r="J116" s="5"/>
      <c r="K116" s="5"/>
      <c r="L116" s="78"/>
      <c r="M116" s="76"/>
      <c r="N116" s="74"/>
      <c r="Q116" s="5"/>
      <c r="R116" s="5"/>
      <c r="S116" s="289">
        <f>Q114+R114+S114+T114+U114+V114+W114+X114</f>
        <v>19583</v>
      </c>
      <c r="T116" s="290"/>
      <c r="U116" s="291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292" t="s">
        <v>36</v>
      </c>
      <c r="D130" s="293"/>
      <c r="E130" s="293"/>
      <c r="F130" s="293"/>
      <c r="G130" s="293"/>
      <c r="H130" s="293"/>
      <c r="I130" s="293"/>
      <c r="J130" s="293"/>
      <c r="K130" s="293"/>
      <c r="L130" s="84" t="s">
        <v>42</v>
      </c>
      <c r="M130" s="83"/>
      <c r="N130" s="81"/>
      <c r="O130" s="303" t="s">
        <v>19</v>
      </c>
      <c r="P130" s="304"/>
      <c r="Q130" s="304"/>
      <c r="R130" s="304"/>
      <c r="S130" s="304"/>
      <c r="T130" s="304"/>
      <c r="U130" s="304"/>
      <c r="V130" s="304"/>
      <c r="W130" s="304"/>
      <c r="X130" s="85" t="s">
        <v>42</v>
      </c>
    </row>
    <row r="131" spans="2:24" ht="16.5" thickBot="1" x14ac:dyDescent="0.3">
      <c r="I131" s="296" t="s">
        <v>67</v>
      </c>
      <c r="J131" s="297"/>
      <c r="K131" s="298"/>
      <c r="L131" s="68"/>
      <c r="M131" s="59"/>
      <c r="N131" s="74"/>
      <c r="W131" s="297"/>
      <c r="X131" s="298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286">
        <f>K147+J147+I147+H147+G147+F147+E147+D147+L147</f>
        <v>13447.5</v>
      </c>
      <c r="G149" s="287"/>
      <c r="H149" s="288"/>
      <c r="I149" s="5"/>
      <c r="J149" s="5">
        <v>13447.5</v>
      </c>
      <c r="K149" s="5"/>
      <c r="L149" s="78"/>
      <c r="M149" s="76"/>
      <c r="N149" s="74"/>
      <c r="Q149" s="5"/>
      <c r="R149" s="5"/>
      <c r="S149" s="289">
        <f>Q147+R147+S147+T147+U147+V147+W147+X147</f>
        <v>19080.5</v>
      </c>
      <c r="T149" s="290"/>
      <c r="U149" s="291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292" t="s">
        <v>36</v>
      </c>
      <c r="D156" s="293"/>
      <c r="E156" s="293"/>
      <c r="F156" s="293"/>
      <c r="G156" s="293"/>
      <c r="H156" s="293"/>
      <c r="I156" s="293"/>
      <c r="J156" s="293"/>
      <c r="K156" s="293"/>
      <c r="L156" s="84" t="s">
        <v>41</v>
      </c>
      <c r="M156" s="83"/>
      <c r="N156" s="81"/>
      <c r="O156" s="303" t="s">
        <v>19</v>
      </c>
      <c r="P156" s="304"/>
      <c r="Q156" s="304"/>
      <c r="R156" s="304"/>
      <c r="S156" s="304"/>
      <c r="T156" s="304"/>
      <c r="U156" s="304"/>
      <c r="V156" s="304"/>
      <c r="W156" s="304"/>
      <c r="X156" s="85" t="s">
        <v>41</v>
      </c>
    </row>
    <row r="157" spans="2:26" ht="16.5" thickBot="1" x14ac:dyDescent="0.3">
      <c r="I157" s="296" t="s">
        <v>37</v>
      </c>
      <c r="J157" s="297"/>
      <c r="K157" s="298"/>
      <c r="L157" s="68"/>
      <c r="M157" s="59"/>
      <c r="N157" s="74"/>
      <c r="W157" s="297"/>
      <c r="X157" s="298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305">
        <f>K182+J182+I182+H182+G182+F182+E182+D182</f>
        <v>13579</v>
      </c>
      <c r="G184" s="287"/>
      <c r="H184" s="288"/>
      <c r="I184" s="5"/>
      <c r="J184" s="5">
        <v>13579</v>
      </c>
      <c r="K184" s="5"/>
      <c r="L184" s="78"/>
      <c r="M184" s="76"/>
      <c r="N184" s="74"/>
      <c r="Q184" s="5"/>
      <c r="R184" s="5"/>
      <c r="S184" s="289">
        <f>Q182+R182+S182+T182+U182+V182+W182+X182</f>
        <v>20452</v>
      </c>
      <c r="T184" s="290"/>
      <c r="U184" s="291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2:K2"/>
    <mergeCell ref="O2:W2"/>
    <mergeCell ref="I3:K3"/>
    <mergeCell ref="V3:X3"/>
    <mergeCell ref="F21:H21"/>
    <mergeCell ref="S21:U21"/>
    <mergeCell ref="C32:K32"/>
    <mergeCell ref="O32:W32"/>
    <mergeCell ref="I33:K33"/>
    <mergeCell ref="V33:X33"/>
    <mergeCell ref="F51:H51"/>
    <mergeCell ref="S51:U51"/>
    <mergeCell ref="C97:K97"/>
    <mergeCell ref="I98:K98"/>
    <mergeCell ref="F116:H116"/>
    <mergeCell ref="O97:W97"/>
    <mergeCell ref="S116:U116"/>
    <mergeCell ref="V98:X98"/>
    <mergeCell ref="F184:H184"/>
    <mergeCell ref="C156:K156"/>
    <mergeCell ref="S184:U184"/>
    <mergeCell ref="I157:K157"/>
    <mergeCell ref="W157:X157"/>
    <mergeCell ref="O156:W156"/>
    <mergeCell ref="C130:K130"/>
    <mergeCell ref="O130:W130"/>
    <mergeCell ref="I131:K131"/>
    <mergeCell ref="W131:X131"/>
    <mergeCell ref="F149:H149"/>
    <mergeCell ref="S149:U149"/>
    <mergeCell ref="C66:K66"/>
    <mergeCell ref="O66:W66"/>
    <mergeCell ref="I67:K67"/>
    <mergeCell ref="V67:X67"/>
    <mergeCell ref="F85:H85"/>
    <mergeCell ref="S85:U85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92" t="s">
        <v>36</v>
      </c>
      <c r="E2" s="293"/>
      <c r="F2" s="293"/>
      <c r="G2" s="293"/>
      <c r="H2" s="293"/>
      <c r="I2" s="293"/>
      <c r="J2" s="293"/>
      <c r="K2" s="293"/>
      <c r="L2" s="293"/>
      <c r="M2" s="84"/>
      <c r="N2" s="151"/>
      <c r="S2" s="7"/>
      <c r="T2" s="292" t="s">
        <v>36</v>
      </c>
      <c r="U2" s="293"/>
      <c r="V2" s="293"/>
      <c r="W2" s="293"/>
      <c r="X2" s="293"/>
      <c r="Y2" s="293"/>
      <c r="Z2" s="293"/>
      <c r="AA2" s="293"/>
      <c r="AB2" s="293"/>
      <c r="AC2" s="84"/>
      <c r="AD2" s="151"/>
    </row>
    <row r="3" spans="2:31" ht="16.5" thickBot="1" x14ac:dyDescent="0.3">
      <c r="C3" s="7"/>
      <c r="D3" s="1"/>
      <c r="J3" s="296" t="s">
        <v>185</v>
      </c>
      <c r="K3" s="297"/>
      <c r="L3" s="306"/>
      <c r="M3" s="68"/>
      <c r="N3" s="152"/>
      <c r="S3" s="7"/>
      <c r="T3" s="1"/>
      <c r="Z3" s="296" t="s">
        <v>184</v>
      </c>
      <c r="AA3" s="297"/>
      <c r="AB3" s="298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303" t="s">
        <v>19</v>
      </c>
      <c r="E16" s="304"/>
      <c r="F16" s="304"/>
      <c r="G16" s="304"/>
      <c r="H16" s="304"/>
      <c r="I16" s="304"/>
      <c r="J16" s="304"/>
      <c r="K16" s="304"/>
      <c r="L16" s="304"/>
      <c r="M16" s="171"/>
      <c r="N16" s="151"/>
      <c r="S16" s="7"/>
      <c r="T16" s="303" t="s">
        <v>19</v>
      </c>
      <c r="U16" s="304"/>
      <c r="V16" s="304"/>
      <c r="W16" s="304"/>
      <c r="X16" s="304"/>
      <c r="Y16" s="304"/>
      <c r="Z16" s="304"/>
      <c r="AA16" s="304"/>
      <c r="AB16" s="304"/>
      <c r="AC16" s="171"/>
      <c r="AD16" s="151"/>
    </row>
    <row r="17" spans="2:31" ht="16.5" thickBot="1" x14ac:dyDescent="0.3">
      <c r="C17" s="7"/>
      <c r="D17" s="1"/>
      <c r="J17" s="296" t="s">
        <v>185</v>
      </c>
      <c r="K17" s="297"/>
      <c r="L17" s="306"/>
      <c r="M17" s="68"/>
      <c r="N17" s="152"/>
      <c r="S17" s="7"/>
      <c r="T17" s="1"/>
      <c r="Z17" s="296" t="s">
        <v>184</v>
      </c>
      <c r="AA17" s="297"/>
      <c r="AB17" s="298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BM34"/>
  <sheetViews>
    <sheetView topLeftCell="B16" zoomScaleNormal="100" workbookViewId="0">
      <selection activeCell="D33" sqref="D33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140625" bestFit="1" customWidth="1"/>
    <col min="14" max="14" width="15.85546875" style="80" bestFit="1" customWidth="1"/>
    <col min="15" max="15" width="15.42578125" customWidth="1"/>
    <col min="21" max="21" width="12.28515625" customWidth="1"/>
    <col min="22" max="22" width="2.28515625" customWidth="1"/>
    <col min="23" max="24" width="12.140625" bestFit="1" customWidth="1"/>
    <col min="25" max="25" width="12.7109375" bestFit="1" customWidth="1"/>
    <col min="27" max="28" width="12.140625" bestFit="1" customWidth="1"/>
    <col min="30" max="30" width="12.140625" bestFit="1" customWidth="1"/>
    <col min="32" max="32" width="15.42578125" style="80" customWidth="1"/>
    <col min="34" max="35" width="3.85546875" customWidth="1"/>
    <col min="38" max="38" width="12.28515625" customWidth="1"/>
    <col min="39" max="39" width="2.28515625" customWidth="1"/>
    <col min="40" max="42" width="12.140625" bestFit="1" customWidth="1"/>
    <col min="44" max="45" width="12.140625" bestFit="1" customWidth="1"/>
    <col min="47" max="47" width="12.140625" bestFit="1" customWidth="1"/>
    <col min="49" max="49" width="15.42578125" style="80" customWidth="1"/>
    <col min="53" max="53" width="12.28515625" customWidth="1"/>
    <col min="54" max="54" width="2.28515625" customWidth="1"/>
    <col min="64" max="64" width="16.7109375" style="80" customWidth="1"/>
  </cols>
  <sheetData>
    <row r="1" spans="2:65" ht="60" customHeight="1" thickBot="1" x14ac:dyDescent="0.3"/>
    <row r="2" spans="2:65" ht="22.5" thickTop="1" thickBot="1" x14ac:dyDescent="0.4">
      <c r="C2" s="7"/>
      <c r="D2" s="292" t="s">
        <v>336</v>
      </c>
      <c r="E2" s="293"/>
      <c r="F2" s="293"/>
      <c r="G2" s="293"/>
      <c r="H2" s="293"/>
      <c r="I2" s="293"/>
      <c r="J2" s="293"/>
      <c r="K2" s="293"/>
      <c r="L2" s="293"/>
      <c r="M2" s="84"/>
      <c r="N2" s="151"/>
      <c r="U2" s="7"/>
      <c r="V2" s="292" t="s">
        <v>36</v>
      </c>
      <c r="W2" s="293"/>
      <c r="X2" s="293"/>
      <c r="Y2" s="293"/>
      <c r="Z2" s="293"/>
      <c r="AA2" s="293"/>
      <c r="AB2" s="293"/>
      <c r="AC2" s="293"/>
      <c r="AD2" s="293"/>
      <c r="AE2" s="84"/>
      <c r="AF2" s="151"/>
      <c r="AL2" s="7"/>
      <c r="AM2" s="292" t="s">
        <v>36</v>
      </c>
      <c r="AN2" s="293"/>
      <c r="AO2" s="293"/>
      <c r="AP2" s="293"/>
      <c r="AQ2" s="293"/>
      <c r="AR2" s="293"/>
      <c r="AS2" s="293"/>
      <c r="AT2" s="293"/>
      <c r="AU2" s="293"/>
      <c r="AV2" s="84"/>
      <c r="AW2" s="151"/>
      <c r="BA2" s="7"/>
      <c r="BB2" s="292" t="s">
        <v>36</v>
      </c>
      <c r="BC2" s="293"/>
      <c r="BD2" s="293"/>
      <c r="BE2" s="293"/>
      <c r="BF2" s="293"/>
      <c r="BG2" s="293"/>
      <c r="BH2" s="293"/>
      <c r="BI2" s="293"/>
      <c r="BJ2" s="293"/>
      <c r="BK2" s="84"/>
      <c r="BL2" s="151"/>
    </row>
    <row r="3" spans="2:65" ht="16.5" thickBot="1" x14ac:dyDescent="0.3">
      <c r="C3" s="7"/>
      <c r="D3" s="1"/>
      <c r="J3" s="296"/>
      <c r="K3" s="297"/>
      <c r="L3" s="306"/>
      <c r="M3" s="68"/>
      <c r="N3" s="152"/>
      <c r="U3" s="7"/>
      <c r="V3" s="1"/>
      <c r="AB3" s="296"/>
      <c r="AC3" s="297"/>
      <c r="AD3" s="306"/>
      <c r="AE3" s="68"/>
      <c r="AF3" s="152"/>
      <c r="AL3" s="7"/>
      <c r="AM3" s="1"/>
      <c r="AS3" s="296"/>
      <c r="AT3" s="297"/>
      <c r="AU3" s="306"/>
      <c r="AV3" s="68"/>
      <c r="AW3" s="152"/>
      <c r="BA3" s="7"/>
      <c r="BB3" s="1"/>
      <c r="BH3" s="296"/>
      <c r="BI3" s="297"/>
      <c r="BJ3" s="298"/>
      <c r="BK3" s="68"/>
      <c r="BL3" s="152"/>
    </row>
    <row r="4" spans="2:65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U4" s="164" t="s">
        <v>0</v>
      </c>
      <c r="V4" s="24"/>
      <c r="W4" s="176" t="s">
        <v>2</v>
      </c>
      <c r="X4" s="146" t="s">
        <v>7</v>
      </c>
      <c r="Y4" s="147" t="s">
        <v>38</v>
      </c>
      <c r="Z4" s="176" t="s">
        <v>3</v>
      </c>
      <c r="AA4" s="146" t="s">
        <v>22</v>
      </c>
      <c r="AB4" s="200" t="s">
        <v>4</v>
      </c>
      <c r="AC4" s="149" t="s">
        <v>8</v>
      </c>
      <c r="AD4" s="202" t="s">
        <v>5</v>
      </c>
      <c r="AE4" s="201" t="s">
        <v>146</v>
      </c>
      <c r="AF4" s="161" t="s">
        <v>18</v>
      </c>
      <c r="AL4" s="164" t="s">
        <v>0</v>
      </c>
      <c r="AM4" s="24"/>
      <c r="AN4" s="176" t="s">
        <v>2</v>
      </c>
      <c r="AO4" s="146" t="s">
        <v>7</v>
      </c>
      <c r="AP4" s="147" t="s">
        <v>38</v>
      </c>
      <c r="AQ4" s="176" t="s">
        <v>3</v>
      </c>
      <c r="AR4" s="146" t="s">
        <v>22</v>
      </c>
      <c r="AS4" s="200" t="s">
        <v>4</v>
      </c>
      <c r="AT4" s="149" t="s">
        <v>8</v>
      </c>
      <c r="AU4" s="202" t="s">
        <v>5</v>
      </c>
      <c r="AV4" s="201" t="s">
        <v>146</v>
      </c>
      <c r="AW4" s="161" t="s">
        <v>18</v>
      </c>
      <c r="BA4" s="164" t="s">
        <v>0</v>
      </c>
      <c r="BB4" s="24"/>
      <c r="BC4" s="145" t="s">
        <v>2</v>
      </c>
      <c r="BD4" s="146" t="s">
        <v>7</v>
      </c>
      <c r="BE4" s="147" t="s">
        <v>38</v>
      </c>
      <c r="BF4" s="145" t="s">
        <v>3</v>
      </c>
      <c r="BG4" s="146" t="s">
        <v>22</v>
      </c>
      <c r="BH4" s="148" t="s">
        <v>4</v>
      </c>
      <c r="BI4" s="149" t="s">
        <v>8</v>
      </c>
      <c r="BJ4" s="150" t="s">
        <v>5</v>
      </c>
      <c r="BK4" s="165" t="s">
        <v>146</v>
      </c>
      <c r="BL4" s="161" t="s">
        <v>18</v>
      </c>
    </row>
    <row r="5" spans="2:65" ht="39" thickTop="1" thickBot="1" x14ac:dyDescent="0.35">
      <c r="B5" s="251" t="s">
        <v>141</v>
      </c>
      <c r="C5" s="168" t="s">
        <v>337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f>85+750</f>
        <v>835</v>
      </c>
      <c r="J5" s="31">
        <v>0</v>
      </c>
      <c r="K5" s="22">
        <v>2120</v>
      </c>
      <c r="L5" s="32">
        <v>0</v>
      </c>
      <c r="M5" s="166">
        <v>500</v>
      </c>
      <c r="N5" s="167">
        <f>SUM(E5:M5)</f>
        <v>3455</v>
      </c>
      <c r="T5" s="251" t="s">
        <v>141</v>
      </c>
      <c r="U5" s="168" t="s">
        <v>268</v>
      </c>
      <c r="V5" s="153"/>
      <c r="W5" s="30">
        <v>190</v>
      </c>
      <c r="X5" s="31">
        <v>0</v>
      </c>
      <c r="Y5" s="31">
        <v>108</v>
      </c>
      <c r="Z5" s="31">
        <v>15</v>
      </c>
      <c r="AA5" s="31">
        <v>1740</v>
      </c>
      <c r="AB5" s="31">
        <v>0</v>
      </c>
      <c r="AC5" s="22">
        <v>127</v>
      </c>
      <c r="AD5" s="32">
        <v>5789</v>
      </c>
      <c r="AE5" s="166"/>
      <c r="AF5" s="167">
        <f>SUM(W5:AE5)</f>
        <v>7969</v>
      </c>
      <c r="AK5" s="199" t="s">
        <v>141</v>
      </c>
      <c r="AL5" s="168" t="s">
        <v>147</v>
      </c>
      <c r="AM5" s="153"/>
      <c r="AN5" s="30">
        <v>469</v>
      </c>
      <c r="AO5" s="31">
        <v>188</v>
      </c>
      <c r="AP5" s="31">
        <v>2259</v>
      </c>
      <c r="AQ5" s="31">
        <v>0</v>
      </c>
      <c r="AR5" s="31">
        <v>1881</v>
      </c>
      <c r="AS5" s="31">
        <v>829</v>
      </c>
      <c r="AT5" s="22">
        <v>1340.5</v>
      </c>
      <c r="AU5" s="32">
        <v>6236</v>
      </c>
      <c r="AV5" s="166">
        <v>500</v>
      </c>
      <c r="AW5" s="167">
        <f>SUM(AN5:AV5)</f>
        <v>13702.5</v>
      </c>
      <c r="AZ5" s="220" t="s">
        <v>141</v>
      </c>
      <c r="BA5" s="221" t="s">
        <v>20</v>
      </c>
      <c r="BB5" s="163"/>
      <c r="BC5" s="30">
        <v>402</v>
      </c>
      <c r="BD5" s="31">
        <v>303</v>
      </c>
      <c r="BE5" s="31">
        <v>1779</v>
      </c>
      <c r="BF5" s="31">
        <v>85</v>
      </c>
      <c r="BG5" s="31">
        <v>1738</v>
      </c>
      <c r="BH5" s="31">
        <v>472</v>
      </c>
      <c r="BI5" s="22">
        <v>2714</v>
      </c>
      <c r="BJ5" s="32">
        <v>6086</v>
      </c>
      <c r="BK5" s="166">
        <v>0</v>
      </c>
      <c r="BL5" s="167">
        <f>SUM(BC5:BK5)</f>
        <v>13579</v>
      </c>
    </row>
    <row r="6" spans="2:65" ht="40.5" thickBot="1" x14ac:dyDescent="0.35">
      <c r="B6" s="251" t="s">
        <v>142</v>
      </c>
      <c r="C6" s="168" t="s">
        <v>338</v>
      </c>
      <c r="D6" s="153"/>
      <c r="E6" s="30">
        <v>712</v>
      </c>
      <c r="F6" s="31">
        <v>292</v>
      </c>
      <c r="G6" s="31">
        <v>1925</v>
      </c>
      <c r="H6" s="31">
        <v>15</v>
      </c>
      <c r="I6" s="31">
        <v>1811</v>
      </c>
      <c r="J6" s="31">
        <v>86</v>
      </c>
      <c r="K6" s="22">
        <v>1972</v>
      </c>
      <c r="L6" s="32">
        <v>5944</v>
      </c>
      <c r="M6" s="166">
        <v>0</v>
      </c>
      <c r="N6" s="167">
        <f>SUM(E6:M6)</f>
        <v>12757</v>
      </c>
      <c r="O6" s="250"/>
      <c r="T6" s="251" t="s">
        <v>142</v>
      </c>
      <c r="U6" s="169" t="s">
        <v>269</v>
      </c>
      <c r="V6" s="153"/>
      <c r="W6" s="30">
        <v>956</v>
      </c>
      <c r="X6" s="31">
        <v>0</v>
      </c>
      <c r="Y6" s="31">
        <v>2424</v>
      </c>
      <c r="Z6" s="31">
        <v>0</v>
      </c>
      <c r="AA6" s="31">
        <v>1386</v>
      </c>
      <c r="AB6" s="31">
        <v>704</v>
      </c>
      <c r="AC6" s="22">
        <v>2425</v>
      </c>
      <c r="AD6" s="32">
        <v>3964</v>
      </c>
      <c r="AE6" s="247">
        <v>500</v>
      </c>
      <c r="AF6" s="167">
        <f>SUM(W6:AE6)</f>
        <v>12359</v>
      </c>
      <c r="AG6" s="250"/>
      <c r="AK6" s="199" t="s">
        <v>142</v>
      </c>
      <c r="AL6" s="169" t="s">
        <v>89</v>
      </c>
      <c r="AM6" s="153"/>
      <c r="AN6" s="30">
        <v>352</v>
      </c>
      <c r="AO6" s="31">
        <v>180</v>
      </c>
      <c r="AP6" s="31">
        <v>2776</v>
      </c>
      <c r="AQ6" s="31">
        <v>45</v>
      </c>
      <c r="AR6" s="31">
        <v>1638</v>
      </c>
      <c r="AS6" s="31">
        <v>381</v>
      </c>
      <c r="AT6" s="22">
        <v>1223</v>
      </c>
      <c r="AU6" s="32">
        <v>2689</v>
      </c>
      <c r="AV6" s="166">
        <v>500</v>
      </c>
      <c r="AW6" s="167">
        <f>SUM(AN6:AV6)</f>
        <v>9784</v>
      </c>
      <c r="AX6" s="203" t="s">
        <v>189</v>
      </c>
      <c r="AZ6" s="162" t="s">
        <v>142</v>
      </c>
      <c r="BA6" s="224" t="s">
        <v>145</v>
      </c>
      <c r="BB6" s="153"/>
      <c r="BC6" s="30">
        <v>170</v>
      </c>
      <c r="BD6" s="31">
        <v>369</v>
      </c>
      <c r="BE6" s="31">
        <v>2264</v>
      </c>
      <c r="BF6" s="31">
        <v>0</v>
      </c>
      <c r="BG6" s="31">
        <v>1799</v>
      </c>
      <c r="BH6" s="31">
        <v>403</v>
      </c>
      <c r="BI6" s="22">
        <v>2651.5</v>
      </c>
      <c r="BJ6" s="32">
        <v>4783</v>
      </c>
      <c r="BK6" s="166">
        <v>1008</v>
      </c>
      <c r="BL6" s="215">
        <f>SUM(BC6:BK6)</f>
        <v>13447.5</v>
      </c>
    </row>
    <row r="7" spans="2:65" ht="38.25" thickBot="1" x14ac:dyDescent="0.35">
      <c r="B7" s="251" t="s">
        <v>143</v>
      </c>
      <c r="C7" s="168" t="s">
        <v>339</v>
      </c>
      <c r="D7" s="153"/>
      <c r="E7" s="30">
        <v>470</v>
      </c>
      <c r="F7" s="31">
        <v>480</v>
      </c>
      <c r="G7" s="31">
        <v>1334</v>
      </c>
      <c r="H7" s="31">
        <v>100</v>
      </c>
      <c r="I7" s="31">
        <v>1573</v>
      </c>
      <c r="J7" s="31">
        <v>452</v>
      </c>
      <c r="K7" s="22">
        <v>1536</v>
      </c>
      <c r="L7" s="32">
        <v>5191</v>
      </c>
      <c r="M7" s="166">
        <v>977</v>
      </c>
      <c r="N7" s="167">
        <f>SUM(E7:M7)</f>
        <v>12113</v>
      </c>
      <c r="T7" s="251" t="s">
        <v>143</v>
      </c>
      <c r="U7" s="169" t="s">
        <v>270</v>
      </c>
      <c r="V7" s="153"/>
      <c r="W7" s="30">
        <v>448</v>
      </c>
      <c r="X7" s="31">
        <v>759</v>
      </c>
      <c r="Y7" s="31">
        <v>2261</v>
      </c>
      <c r="Z7" s="31">
        <v>0</v>
      </c>
      <c r="AA7" s="31">
        <v>1573</v>
      </c>
      <c r="AB7" s="31">
        <v>0</v>
      </c>
      <c r="AC7" s="22">
        <v>1004</v>
      </c>
      <c r="AD7" s="178">
        <v>5653</v>
      </c>
      <c r="AE7" s="247">
        <v>500</v>
      </c>
      <c r="AF7" s="167">
        <f>SUM(W7:AE7)</f>
        <v>12198</v>
      </c>
      <c r="AK7" s="199" t="s">
        <v>143</v>
      </c>
      <c r="AL7" s="169" t="s">
        <v>123</v>
      </c>
      <c r="AM7" s="153"/>
      <c r="AN7" s="30">
        <v>665.5</v>
      </c>
      <c r="AO7" s="31">
        <v>68</v>
      </c>
      <c r="AP7" s="31">
        <v>2076</v>
      </c>
      <c r="AQ7" s="31">
        <v>140</v>
      </c>
      <c r="AR7" s="31">
        <v>1706</v>
      </c>
      <c r="AS7" s="31">
        <v>850</v>
      </c>
      <c r="AT7" s="22">
        <v>781</v>
      </c>
      <c r="AU7" s="178">
        <v>7786</v>
      </c>
      <c r="AV7" s="166">
        <v>500</v>
      </c>
      <c r="AW7" s="167">
        <f>SUM(AN7:AV7)</f>
        <v>14572.5</v>
      </c>
      <c r="AZ7" s="222"/>
      <c r="BA7" s="223"/>
      <c r="BB7" s="153"/>
      <c r="BC7" s="225"/>
      <c r="BD7" s="227"/>
      <c r="BE7" s="313" t="s">
        <v>192</v>
      </c>
      <c r="BF7" s="313"/>
      <c r="BG7" s="313"/>
      <c r="BH7" s="314"/>
      <c r="BI7" s="226"/>
      <c r="BJ7" s="225"/>
      <c r="BK7" s="228"/>
      <c r="BL7" s="229">
        <f>SUM(BC7:BK7)</f>
        <v>0</v>
      </c>
    </row>
    <row r="8" spans="2:65" ht="38.25" thickBot="1" x14ac:dyDescent="0.35">
      <c r="B8" s="251" t="s">
        <v>144</v>
      </c>
      <c r="C8" s="168" t="s">
        <v>340</v>
      </c>
      <c r="D8" s="153"/>
      <c r="E8" s="30">
        <v>676</v>
      </c>
      <c r="F8" s="31">
        <v>287</v>
      </c>
      <c r="G8" s="31">
        <v>2170</v>
      </c>
      <c r="H8" s="31">
        <v>25</v>
      </c>
      <c r="I8" s="31">
        <v>1488</v>
      </c>
      <c r="J8" s="31">
        <v>433</v>
      </c>
      <c r="K8" s="22">
        <v>1835</v>
      </c>
      <c r="L8" s="32">
        <v>3313</v>
      </c>
      <c r="M8" s="166">
        <v>500</v>
      </c>
      <c r="N8" s="167">
        <f>SUM(E8:M8)</f>
        <v>10727</v>
      </c>
      <c r="T8" s="251" t="s">
        <v>144</v>
      </c>
      <c r="U8" s="168" t="s">
        <v>272</v>
      </c>
      <c r="V8" s="153"/>
      <c r="W8" s="212">
        <v>728</v>
      </c>
      <c r="X8" s="210">
        <v>138</v>
      </c>
      <c r="Y8" s="210">
        <v>2336</v>
      </c>
      <c r="Z8" s="210">
        <v>155</v>
      </c>
      <c r="AA8" s="210">
        <v>1437</v>
      </c>
      <c r="AB8" s="210">
        <v>449</v>
      </c>
      <c r="AC8" s="211">
        <v>820</v>
      </c>
      <c r="AD8" s="213">
        <v>2460</v>
      </c>
      <c r="AE8" s="248">
        <v>818</v>
      </c>
      <c r="AF8" s="167">
        <f>SUM(W8:AE8)</f>
        <v>9341</v>
      </c>
      <c r="AK8" s="199" t="s">
        <v>144</v>
      </c>
      <c r="AL8" s="168" t="s">
        <v>191</v>
      </c>
      <c r="AM8" s="153"/>
      <c r="AN8" s="212">
        <f>891+221+100+155+220</f>
        <v>1587</v>
      </c>
      <c r="AO8" s="210">
        <f>212+180+641</f>
        <v>1033</v>
      </c>
      <c r="AP8" s="210">
        <f>1970+60+45+1601</f>
        <v>3676</v>
      </c>
      <c r="AQ8" s="210">
        <f>75+45</f>
        <v>120</v>
      </c>
      <c r="AR8" s="210">
        <f>1927+51</f>
        <v>1978</v>
      </c>
      <c r="AS8" s="210">
        <f>716+352</f>
        <v>1068</v>
      </c>
      <c r="AT8" s="211">
        <f>2220+578</f>
        <v>2798</v>
      </c>
      <c r="AU8" s="213">
        <v>6511</v>
      </c>
      <c r="AV8" s="214">
        <v>500</v>
      </c>
      <c r="AW8" s="167">
        <f>SUM(AN8:AV8)</f>
        <v>19271</v>
      </c>
      <c r="AZ8" s="154"/>
      <c r="BC8" s="218"/>
      <c r="BD8" s="218"/>
      <c r="BE8" s="218"/>
      <c r="BF8" s="218"/>
      <c r="BG8" s="218"/>
      <c r="BH8" s="218"/>
      <c r="BI8" s="219"/>
      <c r="BJ8" s="232"/>
      <c r="BK8" s="232"/>
      <c r="BL8" s="233">
        <v>0</v>
      </c>
    </row>
    <row r="9" spans="2:65" ht="47.25" customHeight="1" thickBot="1" x14ac:dyDescent="0.35">
      <c r="B9" s="251" t="s">
        <v>271</v>
      </c>
      <c r="C9" s="168" t="s">
        <v>341</v>
      </c>
      <c r="D9" s="153"/>
      <c r="E9" s="30">
        <v>818</v>
      </c>
      <c r="F9" s="31">
        <v>76</v>
      </c>
      <c r="G9" s="31">
        <v>1825</v>
      </c>
      <c r="H9" s="31">
        <v>73</v>
      </c>
      <c r="I9" s="31">
        <v>1590</v>
      </c>
      <c r="J9" s="31">
        <v>389</v>
      </c>
      <c r="K9" s="22">
        <v>2073</v>
      </c>
      <c r="L9" s="32">
        <v>6408</v>
      </c>
      <c r="M9" s="166">
        <v>500</v>
      </c>
      <c r="N9" s="167">
        <f>SUM(E9:M9)</f>
        <v>13752</v>
      </c>
      <c r="T9" s="251" t="s">
        <v>271</v>
      </c>
      <c r="U9" s="169" t="s">
        <v>273</v>
      </c>
      <c r="V9" s="153"/>
      <c r="W9" s="30">
        <v>528</v>
      </c>
      <c r="X9" s="31">
        <v>256</v>
      </c>
      <c r="Y9" s="31">
        <v>1819</v>
      </c>
      <c r="Z9" s="31">
        <v>60</v>
      </c>
      <c r="AA9" s="31">
        <v>748</v>
      </c>
      <c r="AB9" s="31">
        <v>935</v>
      </c>
      <c r="AC9" s="22">
        <v>1203.5</v>
      </c>
      <c r="AD9" s="32">
        <v>2280</v>
      </c>
      <c r="AE9" s="247">
        <v>0</v>
      </c>
      <c r="AF9" s="167">
        <f>SUM(W9:AE9)</f>
        <v>7829.5</v>
      </c>
      <c r="AK9" s="197"/>
      <c r="AL9" s="169"/>
      <c r="AM9" s="153"/>
      <c r="AN9" s="30"/>
      <c r="AO9" s="31"/>
      <c r="AP9" s="31"/>
      <c r="AQ9" s="31"/>
      <c r="AR9" s="31"/>
      <c r="AS9" s="31"/>
      <c r="AT9" s="22"/>
      <c r="AU9" s="32"/>
      <c r="AV9" s="166"/>
      <c r="AW9" s="167">
        <f>SUM(AN9:AV9)</f>
        <v>0</v>
      </c>
      <c r="BA9" s="7"/>
      <c r="BB9" s="1"/>
      <c r="BC9" s="230"/>
      <c r="BD9" s="230"/>
      <c r="BE9" s="230"/>
      <c r="BF9" s="230"/>
      <c r="BG9" s="230"/>
      <c r="BH9" s="230"/>
      <c r="BI9" s="230"/>
      <c r="BJ9" s="216"/>
      <c r="BK9" s="217" t="s">
        <v>18</v>
      </c>
      <c r="BL9" s="231">
        <f>SUM(BL5:BL8)</f>
        <v>27026.5</v>
      </c>
    </row>
    <row r="10" spans="2:65" ht="21.75" thickBot="1" x14ac:dyDescent="0.4">
      <c r="B10" s="154"/>
      <c r="E10" s="30"/>
      <c r="F10" s="31"/>
      <c r="G10" s="307" t="s">
        <v>345</v>
      </c>
      <c r="H10" s="308"/>
      <c r="I10" s="308"/>
      <c r="J10" s="309"/>
      <c r="K10" s="22"/>
      <c r="L10" s="157"/>
      <c r="M10" s="77"/>
      <c r="N10" s="156">
        <v>0</v>
      </c>
      <c r="T10" s="154"/>
      <c r="W10" s="30"/>
      <c r="X10" s="31"/>
      <c r="Y10" s="307" t="s">
        <v>267</v>
      </c>
      <c r="Z10" s="308"/>
      <c r="AA10" s="308"/>
      <c r="AB10" s="309"/>
      <c r="AC10" s="22"/>
      <c r="AD10" s="157"/>
      <c r="AE10" s="77"/>
      <c r="AF10" s="156">
        <v>0</v>
      </c>
      <c r="AK10" s="154"/>
      <c r="AN10" s="30"/>
      <c r="AO10" s="31"/>
      <c r="AP10" s="315" t="s">
        <v>193</v>
      </c>
      <c r="AQ10" s="316"/>
      <c r="AR10" s="316"/>
      <c r="AS10" s="317"/>
      <c r="AT10" s="22"/>
      <c r="AU10" s="157"/>
      <c r="AV10" s="77"/>
      <c r="AW10" s="156">
        <v>0</v>
      </c>
      <c r="BC10" s="5"/>
      <c r="BD10" s="5"/>
      <c r="BE10" s="155"/>
      <c r="BF10" s="155"/>
      <c r="BG10" s="155"/>
      <c r="BH10" s="5"/>
      <c r="BI10" s="5"/>
      <c r="BJ10" s="5"/>
      <c r="BK10" s="71"/>
      <c r="BL10" s="74"/>
      <c r="BM10" s="130"/>
    </row>
    <row r="11" spans="2:65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261">
        <f>SUM(N5:N10)</f>
        <v>52804</v>
      </c>
      <c r="U11" s="7"/>
      <c r="V11" s="1"/>
      <c r="W11" s="5"/>
      <c r="X11" s="5"/>
      <c r="Y11" s="5"/>
      <c r="Z11" s="5"/>
      <c r="AA11" s="5"/>
      <c r="AB11" s="5"/>
      <c r="AC11" s="5"/>
      <c r="AD11" s="158"/>
      <c r="AE11" s="159" t="s">
        <v>18</v>
      </c>
      <c r="AF11" s="160">
        <f>SUM(AF5:AF10)</f>
        <v>49696.5</v>
      </c>
      <c r="AL11" s="7"/>
      <c r="AM11" s="1"/>
      <c r="AN11" s="5"/>
      <c r="AO11" s="5"/>
      <c r="AP11" s="5"/>
      <c r="AQ11" s="5"/>
      <c r="AR11" s="5"/>
      <c r="AS11" s="5"/>
      <c r="AT11" s="5"/>
      <c r="AU11" s="158"/>
      <c r="AV11" s="159" t="s">
        <v>18</v>
      </c>
      <c r="AW11" s="160">
        <f>SUM(AW5:AW10)</f>
        <v>57330</v>
      </c>
      <c r="BA11" s="7"/>
      <c r="BB11" s="1"/>
      <c r="BC11" s="170"/>
      <c r="BD11" s="5"/>
      <c r="BE11" s="5"/>
      <c r="BF11" s="5"/>
      <c r="BG11" s="5"/>
      <c r="BI11" s="5"/>
      <c r="BJ11" s="5"/>
      <c r="BK11" s="71"/>
      <c r="BL11" s="74"/>
      <c r="BM11" s="130"/>
    </row>
    <row r="12" spans="2:65" s="80" customFormat="1" ht="24" thickBot="1" x14ac:dyDescent="0.35">
      <c r="C12" s="235"/>
      <c r="D12" s="129"/>
      <c r="E12" s="318" t="s">
        <v>342</v>
      </c>
      <c r="F12" s="319"/>
      <c r="G12" s="320"/>
      <c r="H12" s="78"/>
      <c r="I12" s="78"/>
      <c r="J12" s="78"/>
      <c r="K12" s="78"/>
      <c r="L12" s="207"/>
      <c r="M12" s="208"/>
      <c r="N12" s="209"/>
      <c r="U12" s="235"/>
      <c r="V12" s="129"/>
      <c r="W12" s="78"/>
      <c r="X12" s="78"/>
      <c r="Y12" s="78"/>
      <c r="Z12" s="78"/>
      <c r="AA12" s="78"/>
      <c r="AB12" s="78"/>
      <c r="AC12" s="78"/>
      <c r="AD12" s="207"/>
      <c r="AE12" s="208"/>
      <c r="AF12" s="209"/>
      <c r="AL12" s="235"/>
      <c r="AM12" s="129"/>
      <c r="AN12" s="78"/>
      <c r="AO12" s="78"/>
      <c r="AP12" s="78"/>
      <c r="AQ12" s="78"/>
      <c r="AR12" s="78"/>
      <c r="AS12" s="78"/>
      <c r="AT12" s="78"/>
      <c r="AU12" s="207"/>
      <c r="AV12" s="208"/>
      <c r="AW12" s="209"/>
      <c r="BA12" s="235"/>
      <c r="BB12" s="129"/>
      <c r="BC12" s="252"/>
      <c r="BD12" s="78"/>
      <c r="BE12" s="78"/>
      <c r="BF12" s="78"/>
      <c r="BG12" s="78"/>
      <c r="BI12" s="78"/>
      <c r="BJ12" s="78"/>
      <c r="BK12" s="71"/>
      <c r="BL12" s="74"/>
      <c r="BM12" s="74"/>
    </row>
    <row r="13" spans="2:65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U13" s="235"/>
      <c r="V13" s="129"/>
      <c r="W13" s="78"/>
      <c r="X13" s="78"/>
      <c r="Y13" s="78"/>
      <c r="Z13" s="78"/>
      <c r="AA13" s="78"/>
      <c r="AB13" s="78"/>
      <c r="AC13" s="78"/>
      <c r="AD13" s="207"/>
      <c r="AE13" s="208"/>
      <c r="AF13" s="209"/>
      <c r="AL13" s="235"/>
      <c r="AM13" s="129"/>
      <c r="AN13" s="78"/>
      <c r="AO13" s="78"/>
      <c r="AP13" s="78"/>
      <c r="AQ13" s="78"/>
      <c r="AR13" s="78"/>
      <c r="AS13" s="78"/>
      <c r="AT13" s="78"/>
      <c r="AU13" s="207"/>
      <c r="AV13" s="208"/>
      <c r="AW13" s="209"/>
      <c r="BA13" s="235"/>
      <c r="BB13" s="129"/>
      <c r="BC13" s="252"/>
      <c r="BD13" s="78"/>
      <c r="BE13" s="78"/>
      <c r="BF13" s="78"/>
      <c r="BG13" s="78"/>
      <c r="BI13" s="78"/>
      <c r="BJ13" s="78"/>
      <c r="BK13" s="71"/>
      <c r="BL13" s="74"/>
      <c r="BM13" s="74"/>
    </row>
    <row r="14" spans="2:65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U14" s="235"/>
      <c r="V14" s="129"/>
      <c r="W14" s="78"/>
      <c r="X14" s="78"/>
      <c r="Y14" s="78"/>
      <c r="Z14" s="78"/>
      <c r="AA14" s="78"/>
      <c r="AB14" s="78"/>
      <c r="AC14" s="78"/>
      <c r="AD14" s="207"/>
      <c r="AE14" s="208"/>
      <c r="AF14" s="209"/>
      <c r="AL14" s="235"/>
      <c r="AM14" s="129"/>
      <c r="AN14" s="78"/>
      <c r="AO14" s="78"/>
      <c r="AP14" s="78"/>
      <c r="AQ14" s="78"/>
      <c r="AR14" s="78"/>
      <c r="AS14" s="78"/>
      <c r="AT14" s="78"/>
      <c r="AU14" s="207"/>
      <c r="AV14" s="208"/>
      <c r="AW14" s="209"/>
      <c r="BA14" s="235"/>
      <c r="BB14" s="129"/>
      <c r="BC14" s="252"/>
      <c r="BD14" s="78"/>
      <c r="BE14" s="78"/>
      <c r="BF14" s="78"/>
      <c r="BG14" s="78"/>
      <c r="BI14" s="78"/>
      <c r="BJ14" s="78"/>
      <c r="BK14" s="71"/>
      <c r="BL14" s="74"/>
      <c r="BM14" s="74"/>
    </row>
    <row r="15" spans="2:65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U15" s="235"/>
      <c r="V15" s="129"/>
      <c r="W15" s="78"/>
      <c r="X15" s="78"/>
      <c r="Y15" s="78"/>
      <c r="Z15" s="78"/>
      <c r="AA15" s="78"/>
      <c r="AB15" s="78"/>
      <c r="AC15" s="78"/>
      <c r="AD15" s="207"/>
      <c r="AE15" s="208"/>
      <c r="AF15" s="209"/>
      <c r="AL15" s="235"/>
      <c r="AM15" s="129"/>
      <c r="AN15" s="78"/>
      <c r="AO15" s="78"/>
      <c r="AP15" s="78"/>
      <c r="AQ15" s="78"/>
      <c r="AR15" s="78"/>
      <c r="AS15" s="78"/>
      <c r="AT15" s="78"/>
      <c r="AU15" s="207"/>
      <c r="AV15" s="208"/>
      <c r="AW15" s="209"/>
      <c r="BA15" s="235"/>
      <c r="BB15" s="129"/>
      <c r="BC15" s="252"/>
      <c r="BD15" s="78"/>
      <c r="BE15" s="78"/>
      <c r="BF15" s="78"/>
      <c r="BG15" s="78"/>
      <c r="BI15" s="78"/>
      <c r="BJ15" s="78"/>
      <c r="BK15" s="71"/>
      <c r="BL15" s="74"/>
      <c r="BM15" s="74"/>
    </row>
    <row r="16" spans="2:65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U16" s="235"/>
      <c r="V16" s="129"/>
      <c r="W16" s="78"/>
      <c r="X16" s="78"/>
      <c r="Y16" s="78"/>
      <c r="Z16" s="78"/>
      <c r="AA16" s="78"/>
      <c r="AB16" s="78"/>
      <c r="AC16" s="78"/>
      <c r="AD16" s="207"/>
      <c r="AE16" s="208"/>
      <c r="AF16" s="209"/>
      <c r="AL16" s="235"/>
      <c r="AM16" s="129"/>
      <c r="AN16" s="78"/>
      <c r="AO16" s="78"/>
      <c r="AP16" s="78"/>
      <c r="AQ16" s="78"/>
      <c r="AR16" s="78"/>
      <c r="AS16" s="78"/>
      <c r="AT16" s="78"/>
      <c r="AU16" s="207"/>
      <c r="AV16" s="208"/>
      <c r="AW16" s="209"/>
      <c r="BA16" s="235"/>
      <c r="BB16" s="129"/>
      <c r="BC16" s="252"/>
      <c r="BD16" s="78"/>
      <c r="BE16" s="78"/>
      <c r="BF16" s="78"/>
      <c r="BG16" s="78"/>
      <c r="BI16" s="78"/>
      <c r="BJ16" s="78"/>
      <c r="BK16" s="71"/>
      <c r="BL16" s="74"/>
      <c r="BM16" s="74"/>
    </row>
    <row r="17" spans="2:65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U17" s="235"/>
      <c r="V17" s="129"/>
      <c r="W17" s="78"/>
      <c r="X17" s="78"/>
      <c r="Y17" s="78"/>
      <c r="Z17" s="78"/>
      <c r="AA17" s="78"/>
      <c r="AB17" s="78"/>
      <c r="AC17" s="78"/>
      <c r="AD17" s="207"/>
      <c r="AE17" s="208"/>
      <c r="AF17" s="209"/>
      <c r="AL17" s="235"/>
      <c r="AM17" s="129"/>
      <c r="AN17" s="78"/>
      <c r="AO17" s="78"/>
      <c r="AP17" s="78"/>
      <c r="AQ17" s="78"/>
      <c r="AR17" s="78"/>
      <c r="AS17" s="78"/>
      <c r="AT17" s="78"/>
      <c r="AU17" s="207"/>
      <c r="AV17" s="208"/>
      <c r="AW17" s="209"/>
      <c r="BA17" s="235"/>
      <c r="BB17" s="129"/>
      <c r="BC17" s="252"/>
      <c r="BD17" s="78"/>
      <c r="BE17" s="78"/>
      <c r="BF17" s="78"/>
      <c r="BG17" s="78"/>
      <c r="BI17" s="78"/>
      <c r="BJ17" s="78"/>
      <c r="BK17" s="71"/>
      <c r="BL17" s="74"/>
      <c r="BM17" s="74"/>
    </row>
    <row r="18" spans="2:65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U18" s="235"/>
      <c r="V18" s="129"/>
      <c r="W18" s="78"/>
      <c r="X18" s="78"/>
      <c r="Y18" s="78"/>
      <c r="Z18" s="78"/>
      <c r="AA18" s="78"/>
      <c r="AB18" s="78"/>
      <c r="AC18" s="78"/>
      <c r="AD18" s="207"/>
      <c r="AE18" s="208"/>
      <c r="AF18" s="209"/>
      <c r="AL18" s="235"/>
      <c r="AM18" s="129"/>
      <c r="AN18" s="78"/>
      <c r="AO18" s="78"/>
      <c r="AP18" s="78"/>
      <c r="AQ18" s="78"/>
      <c r="AR18" s="78"/>
      <c r="AS18" s="78"/>
      <c r="AT18" s="78"/>
      <c r="AU18" s="207"/>
      <c r="AV18" s="208"/>
      <c r="AW18" s="209"/>
      <c r="BA18" s="235"/>
      <c r="BB18" s="129"/>
      <c r="BC18" s="252"/>
      <c r="BD18" s="78"/>
      <c r="BE18" s="78"/>
      <c r="BF18" s="78"/>
      <c r="BG18" s="78"/>
      <c r="BI18" s="78"/>
      <c r="BJ18" s="78"/>
      <c r="BK18" s="71"/>
      <c r="BL18" s="74"/>
      <c r="BM18" s="74"/>
    </row>
    <row r="19" spans="2:65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U19" s="235"/>
      <c r="V19" s="129"/>
      <c r="W19" s="78"/>
      <c r="X19" s="78"/>
      <c r="Y19" s="78"/>
      <c r="Z19" s="78"/>
      <c r="AA19" s="78"/>
      <c r="AB19" s="78"/>
      <c r="AC19" s="78"/>
      <c r="AD19" s="207"/>
      <c r="AE19" s="208"/>
      <c r="AF19" s="209"/>
      <c r="AL19" s="235"/>
      <c r="AM19" s="129"/>
      <c r="AN19" s="78"/>
      <c r="AO19" s="78"/>
      <c r="AP19" s="78"/>
      <c r="AQ19" s="78"/>
      <c r="AR19" s="78"/>
      <c r="AS19" s="78"/>
      <c r="AT19" s="78"/>
      <c r="AU19" s="207"/>
      <c r="AV19" s="208"/>
      <c r="AW19" s="209"/>
      <c r="BA19" s="235"/>
      <c r="BB19" s="129"/>
      <c r="BC19" s="252"/>
      <c r="BD19" s="78"/>
      <c r="BE19" s="78"/>
      <c r="BF19" s="78"/>
      <c r="BG19" s="78"/>
      <c r="BI19" s="78"/>
      <c r="BJ19" s="78"/>
      <c r="BK19" s="71"/>
      <c r="BL19" s="74"/>
      <c r="BM19" s="74"/>
    </row>
    <row r="20" spans="2:65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W20" s="5"/>
      <c r="X20" s="5"/>
      <c r="Y20" s="155"/>
      <c r="Z20" s="155"/>
      <c r="AA20" s="155"/>
      <c r="AB20" s="5"/>
      <c r="AC20" s="5"/>
      <c r="AD20" s="5"/>
      <c r="AE20" s="71"/>
      <c r="AF20" s="74"/>
      <c r="AG20" s="130"/>
      <c r="AN20" s="5"/>
      <c r="AO20" s="5"/>
      <c r="AP20" s="155"/>
      <c r="AQ20" s="155"/>
      <c r="AR20" s="155"/>
      <c r="AS20" s="5"/>
      <c r="AT20" s="5"/>
      <c r="AU20" s="5"/>
      <c r="AV20" s="71"/>
      <c r="AW20" s="74"/>
      <c r="AX20" s="130"/>
      <c r="BK20" s="130"/>
      <c r="BL20" s="74"/>
      <c r="BM20" s="130"/>
    </row>
    <row r="21" spans="2:65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U21" s="7"/>
      <c r="V21" s="1"/>
      <c r="W21" s="170"/>
      <c r="X21" s="5"/>
      <c r="Y21" s="5"/>
      <c r="Z21" s="5"/>
      <c r="AA21" s="5"/>
      <c r="AC21" s="5"/>
      <c r="AD21" s="5"/>
      <c r="AE21" s="71"/>
      <c r="AF21" s="74"/>
      <c r="AG21" s="130"/>
      <c r="AL21" s="7"/>
      <c r="AM21" s="1"/>
      <c r="AN21" s="170"/>
      <c r="AO21" s="5"/>
      <c r="AP21" s="5"/>
      <c r="AQ21" s="5"/>
      <c r="AR21" s="5"/>
      <c r="AT21" s="5"/>
      <c r="AU21" s="5"/>
      <c r="AV21" s="71"/>
      <c r="AW21" s="74"/>
      <c r="AX21" s="130"/>
    </row>
    <row r="22" spans="2:65" ht="22.5" thickTop="1" thickBot="1" x14ac:dyDescent="0.4">
      <c r="C22" s="7"/>
      <c r="D22" s="303" t="s">
        <v>343</v>
      </c>
      <c r="E22" s="304"/>
      <c r="F22" s="304"/>
      <c r="G22" s="304"/>
      <c r="H22" s="304"/>
      <c r="I22" s="304"/>
      <c r="J22" s="304"/>
      <c r="K22" s="304"/>
      <c r="L22" s="312"/>
      <c r="M22" s="262"/>
      <c r="N22" s="151"/>
      <c r="U22" s="7"/>
      <c r="V22" s="303" t="s">
        <v>19</v>
      </c>
      <c r="W22" s="304"/>
      <c r="X22" s="304"/>
      <c r="Y22" s="304"/>
      <c r="Z22" s="304"/>
      <c r="AA22" s="304"/>
      <c r="AB22" s="304"/>
      <c r="AC22" s="304"/>
      <c r="AD22" s="312"/>
      <c r="AE22" s="171"/>
      <c r="AF22" s="151"/>
      <c r="AL22" s="7"/>
      <c r="AM22" s="303" t="s">
        <v>19</v>
      </c>
      <c r="AN22" s="304"/>
      <c r="AO22" s="304"/>
      <c r="AP22" s="304"/>
      <c r="AQ22" s="304"/>
      <c r="AR22" s="304"/>
      <c r="AS22" s="304"/>
      <c r="AT22" s="304"/>
      <c r="AU22" s="312"/>
      <c r="AV22" s="171"/>
      <c r="AW22" s="151"/>
      <c r="BA22" s="7"/>
      <c r="BB22" s="303" t="s">
        <v>19</v>
      </c>
      <c r="BC22" s="304"/>
      <c r="BD22" s="304"/>
      <c r="BE22" s="304"/>
      <c r="BF22" s="304"/>
      <c r="BG22" s="304"/>
      <c r="BH22" s="304"/>
      <c r="BI22" s="304"/>
      <c r="BJ22" s="304"/>
      <c r="BK22" s="171"/>
      <c r="BL22" s="151"/>
    </row>
    <row r="23" spans="2:65" ht="16.5" thickBot="1" x14ac:dyDescent="0.3">
      <c r="C23" s="7"/>
      <c r="D23" s="1"/>
      <c r="J23" s="205"/>
      <c r="K23" s="206"/>
      <c r="L23" s="257"/>
      <c r="M23" s="68"/>
      <c r="N23" s="152"/>
      <c r="U23" s="7"/>
      <c r="V23" s="1"/>
      <c r="AB23" s="205"/>
      <c r="AC23" s="206"/>
      <c r="AD23" s="238"/>
      <c r="AE23" s="68"/>
      <c r="AF23" s="152"/>
      <c r="AL23" s="7"/>
      <c r="AM23" s="1"/>
      <c r="AS23" s="205"/>
      <c r="AT23" s="206"/>
      <c r="AU23" s="196"/>
      <c r="AV23" s="68"/>
      <c r="AW23" s="152"/>
      <c r="BA23" s="7"/>
      <c r="BB23" s="1"/>
      <c r="BH23" s="296"/>
      <c r="BI23" s="297"/>
      <c r="BJ23" s="298"/>
      <c r="BK23" s="68"/>
      <c r="BL23" s="152"/>
    </row>
    <row r="24" spans="2:65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172" t="s">
        <v>18</v>
      </c>
      <c r="U24" s="164" t="s">
        <v>0</v>
      </c>
      <c r="V24" s="24"/>
      <c r="W24" s="176" t="s">
        <v>2</v>
      </c>
      <c r="X24" s="146" t="s">
        <v>7</v>
      </c>
      <c r="Y24" s="146" t="s">
        <v>38</v>
      </c>
      <c r="Z24" s="176" t="s">
        <v>3</v>
      </c>
      <c r="AA24" s="177" t="s">
        <v>4</v>
      </c>
      <c r="AB24" s="146" t="s">
        <v>22</v>
      </c>
      <c r="AC24" s="149" t="s">
        <v>8</v>
      </c>
      <c r="AD24" s="180" t="s">
        <v>5</v>
      </c>
      <c r="AE24" s="181"/>
      <c r="AF24" s="172" t="s">
        <v>18</v>
      </c>
      <c r="AL24" s="164" t="s">
        <v>0</v>
      </c>
      <c r="AM24" s="24"/>
      <c r="AN24" s="176" t="s">
        <v>2</v>
      </c>
      <c r="AO24" s="146" t="s">
        <v>7</v>
      </c>
      <c r="AP24" s="146" t="s">
        <v>38</v>
      </c>
      <c r="AQ24" s="176" t="s">
        <v>3</v>
      </c>
      <c r="AR24" s="177" t="s">
        <v>4</v>
      </c>
      <c r="AS24" s="146" t="s">
        <v>22</v>
      </c>
      <c r="AT24" s="149" t="s">
        <v>8</v>
      </c>
      <c r="AU24" s="180" t="s">
        <v>5</v>
      </c>
      <c r="AV24" s="181"/>
      <c r="AW24" s="172" t="s">
        <v>18</v>
      </c>
      <c r="BA24" s="164" t="s">
        <v>0</v>
      </c>
      <c r="BB24" s="24"/>
      <c r="BC24" s="176" t="s">
        <v>2</v>
      </c>
      <c r="BD24" s="146" t="s">
        <v>7</v>
      </c>
      <c r="BE24" s="146" t="s">
        <v>38</v>
      </c>
      <c r="BF24" s="176" t="s">
        <v>3</v>
      </c>
      <c r="BG24" s="177" t="s">
        <v>4</v>
      </c>
      <c r="BH24" s="146" t="s">
        <v>22</v>
      </c>
      <c r="BI24" s="149" t="s">
        <v>8</v>
      </c>
      <c r="BJ24" s="180" t="s">
        <v>5</v>
      </c>
      <c r="BK24" s="181"/>
      <c r="BL24" s="172" t="s">
        <v>18</v>
      </c>
    </row>
    <row r="25" spans="2:65" ht="39" thickTop="1" thickBot="1" x14ac:dyDescent="0.35">
      <c r="B25" s="198" t="s">
        <v>141</v>
      </c>
      <c r="C25" s="263" t="s">
        <v>337</v>
      </c>
      <c r="D25" s="153"/>
      <c r="E25" s="30">
        <v>0</v>
      </c>
      <c r="F25" s="31">
        <v>130</v>
      </c>
      <c r="G25" s="31">
        <v>264</v>
      </c>
      <c r="H25" s="31">
        <v>0</v>
      </c>
      <c r="I25" s="31">
        <v>0</v>
      </c>
      <c r="J25" s="31">
        <v>3425.5</v>
      </c>
      <c r="K25" s="22">
        <v>150</v>
      </c>
      <c r="L25" s="32">
        <v>4098</v>
      </c>
      <c r="M25" s="166">
        <v>0</v>
      </c>
      <c r="N25" s="167">
        <f>SUM(E25:M25)</f>
        <v>8067.5</v>
      </c>
      <c r="T25" s="198" t="s">
        <v>141</v>
      </c>
      <c r="U25" s="168" t="s">
        <v>268</v>
      </c>
      <c r="V25" s="153"/>
      <c r="W25" s="30">
        <v>503</v>
      </c>
      <c r="X25" s="31">
        <v>0</v>
      </c>
      <c r="Y25" s="31">
        <v>192</v>
      </c>
      <c r="Z25" s="31">
        <v>0</v>
      </c>
      <c r="AA25" s="31">
        <v>0</v>
      </c>
      <c r="AB25" s="31">
        <v>5914</v>
      </c>
      <c r="AC25" s="22">
        <v>0</v>
      </c>
      <c r="AD25" s="32">
        <v>7144</v>
      </c>
      <c r="AE25" s="166">
        <v>0</v>
      </c>
      <c r="AF25" s="167">
        <f>SUM(W25:AE25)</f>
        <v>13753</v>
      </c>
      <c r="AK25" s="198" t="s">
        <v>141</v>
      </c>
      <c r="AL25" s="168" t="s">
        <v>147</v>
      </c>
      <c r="AM25" s="153"/>
      <c r="AN25" s="30">
        <v>1055</v>
      </c>
      <c r="AO25" s="31">
        <v>1176</v>
      </c>
      <c r="AP25" s="31">
        <v>3027</v>
      </c>
      <c r="AQ25" s="31">
        <v>40</v>
      </c>
      <c r="AR25" s="31">
        <v>400</v>
      </c>
      <c r="AS25" s="31">
        <v>5602</v>
      </c>
      <c r="AT25" s="22">
        <v>1880</v>
      </c>
      <c r="AU25" s="32">
        <v>6403</v>
      </c>
      <c r="AV25" s="166"/>
      <c r="AW25" s="167">
        <f>SUM(AN25:AV25)</f>
        <v>19583</v>
      </c>
      <c r="AZ25" s="182" t="s">
        <v>141</v>
      </c>
      <c r="BA25" s="169" t="s">
        <v>20</v>
      </c>
      <c r="BB25" s="163"/>
      <c r="BC25" s="30">
        <v>611</v>
      </c>
      <c r="BD25" s="31">
        <v>1221</v>
      </c>
      <c r="BE25" s="31">
        <v>2804</v>
      </c>
      <c r="BF25" s="31">
        <v>334</v>
      </c>
      <c r="BG25" s="31">
        <v>779</v>
      </c>
      <c r="BH25" s="31">
        <v>6414</v>
      </c>
      <c r="BI25" s="22">
        <v>1510</v>
      </c>
      <c r="BJ25" s="178">
        <v>6779</v>
      </c>
      <c r="BK25" s="179">
        <v>0</v>
      </c>
      <c r="BL25" s="167">
        <f>SUM(BC25:BK25)</f>
        <v>20452</v>
      </c>
    </row>
    <row r="26" spans="2:65" ht="40.5" thickBot="1" x14ac:dyDescent="0.35">
      <c r="B26" s="198" t="s">
        <v>142</v>
      </c>
      <c r="C26" s="263" t="s">
        <v>338</v>
      </c>
      <c r="D26" s="153"/>
      <c r="E26" s="30">
        <v>816</v>
      </c>
      <c r="F26" s="31">
        <v>1286</v>
      </c>
      <c r="G26" s="31">
        <v>3382</v>
      </c>
      <c r="H26" s="31">
        <v>75</v>
      </c>
      <c r="I26" s="31">
        <v>1378</v>
      </c>
      <c r="J26" s="31">
        <v>5453</v>
      </c>
      <c r="K26" s="22">
        <v>2562</v>
      </c>
      <c r="L26" s="32">
        <v>6746</v>
      </c>
      <c r="M26" s="166">
        <v>0</v>
      </c>
      <c r="N26" s="167">
        <f>SUM(E26:M26)</f>
        <v>21698</v>
      </c>
      <c r="O26" s="265"/>
      <c r="T26" s="198" t="s">
        <v>142</v>
      </c>
      <c r="U26" s="169" t="s">
        <v>269</v>
      </c>
      <c r="V26" s="153"/>
      <c r="W26" s="30">
        <v>821</v>
      </c>
      <c r="X26" s="31">
        <v>1872</v>
      </c>
      <c r="Y26" s="31">
        <v>3069</v>
      </c>
      <c r="Z26" s="31">
        <v>145</v>
      </c>
      <c r="AA26" s="31">
        <v>704</v>
      </c>
      <c r="AB26" s="31">
        <v>4377</v>
      </c>
      <c r="AC26" s="22">
        <v>2410.5</v>
      </c>
      <c r="AD26" s="32">
        <v>4858</v>
      </c>
      <c r="AE26" s="166"/>
      <c r="AF26" s="167">
        <f>SUM(W26:AE26)</f>
        <v>18256.5</v>
      </c>
      <c r="AG26" s="249"/>
      <c r="AK26" s="198" t="s">
        <v>142</v>
      </c>
      <c r="AL26" s="169" t="s">
        <v>89</v>
      </c>
      <c r="AM26" s="153"/>
      <c r="AN26" s="30">
        <v>770</v>
      </c>
      <c r="AO26" s="31">
        <v>1462</v>
      </c>
      <c r="AP26" s="31">
        <v>3659</v>
      </c>
      <c r="AQ26" s="31">
        <v>125</v>
      </c>
      <c r="AR26" s="31">
        <v>728</v>
      </c>
      <c r="AS26" s="31">
        <v>5451</v>
      </c>
      <c r="AT26" s="22">
        <v>4130.5</v>
      </c>
      <c r="AU26" s="32">
        <v>2659</v>
      </c>
      <c r="AV26" s="166"/>
      <c r="AW26" s="167">
        <f>SUM(AN26:AV26)</f>
        <v>18984.5</v>
      </c>
      <c r="AX26" s="203" t="s">
        <v>189</v>
      </c>
      <c r="AZ26" s="182" t="s">
        <v>142</v>
      </c>
      <c r="BA26" s="169" t="s">
        <v>145</v>
      </c>
      <c r="BB26" s="153"/>
      <c r="BC26" s="30">
        <v>907</v>
      </c>
      <c r="BD26" s="31">
        <v>89</v>
      </c>
      <c r="BE26" s="31">
        <v>2444</v>
      </c>
      <c r="BF26" s="31">
        <v>58</v>
      </c>
      <c r="BG26" s="31">
        <v>403</v>
      </c>
      <c r="BH26" s="31">
        <v>5587</v>
      </c>
      <c r="BI26" s="22">
        <v>4449.5</v>
      </c>
      <c r="BJ26" s="32">
        <v>5143</v>
      </c>
      <c r="BK26" s="166">
        <v>0</v>
      </c>
      <c r="BL26" s="167">
        <f>SUM(BC26:BK26)</f>
        <v>19080.5</v>
      </c>
    </row>
    <row r="27" spans="2:65" ht="46.5" thickBot="1" x14ac:dyDescent="0.35">
      <c r="B27" s="198" t="s">
        <v>143</v>
      </c>
      <c r="C27" s="263" t="s">
        <v>339</v>
      </c>
      <c r="D27" s="153"/>
      <c r="E27" s="30">
        <v>1255</v>
      </c>
      <c r="F27" s="31">
        <v>1543</v>
      </c>
      <c r="G27" s="31">
        <v>2560</v>
      </c>
      <c r="H27" s="31">
        <v>90</v>
      </c>
      <c r="I27" s="31">
        <v>914</v>
      </c>
      <c r="J27" s="31">
        <v>5338</v>
      </c>
      <c r="K27" s="22">
        <v>4918.5</v>
      </c>
      <c r="L27" s="32">
        <v>6742</v>
      </c>
      <c r="M27" s="166">
        <v>0</v>
      </c>
      <c r="N27" s="167">
        <f>SUM(E27:M27)</f>
        <v>23360.5</v>
      </c>
      <c r="O27" s="264" t="s">
        <v>344</v>
      </c>
      <c r="T27" s="198" t="s">
        <v>143</v>
      </c>
      <c r="U27" s="169" t="s">
        <v>270</v>
      </c>
      <c r="V27" s="153"/>
      <c r="W27" s="30">
        <v>1043</v>
      </c>
      <c r="X27" s="31">
        <v>851</v>
      </c>
      <c r="Y27" s="31">
        <v>2816</v>
      </c>
      <c r="Z27" s="31">
        <v>210</v>
      </c>
      <c r="AA27" s="31">
        <v>805</v>
      </c>
      <c r="AB27" s="31">
        <v>4836</v>
      </c>
      <c r="AC27" s="22">
        <v>2158.5</v>
      </c>
      <c r="AD27" s="32">
        <v>7403</v>
      </c>
      <c r="AE27" s="166"/>
      <c r="AF27" s="167">
        <f>SUM(W27:AE27)</f>
        <v>20122.5</v>
      </c>
      <c r="AK27" s="198" t="s">
        <v>143</v>
      </c>
      <c r="AL27" s="169" t="s">
        <v>123</v>
      </c>
      <c r="AM27" s="153"/>
      <c r="AN27" s="30">
        <v>863</v>
      </c>
      <c r="AO27" s="31">
        <v>1081</v>
      </c>
      <c r="AP27" s="31">
        <v>2839</v>
      </c>
      <c r="AQ27" s="31">
        <v>145</v>
      </c>
      <c r="AR27" s="31">
        <v>729</v>
      </c>
      <c r="AS27" s="31">
        <v>6157</v>
      </c>
      <c r="AT27" s="22">
        <v>1245</v>
      </c>
      <c r="AU27" s="32">
        <v>8215</v>
      </c>
      <c r="AV27" s="166"/>
      <c r="AW27" s="167">
        <f>SUM(AN27:AV27)</f>
        <v>21274</v>
      </c>
      <c r="AZ27" s="197"/>
      <c r="BA27" s="169"/>
      <c r="BB27" s="153"/>
      <c r="BC27" s="30"/>
      <c r="BD27" s="31"/>
      <c r="BE27" s="31"/>
      <c r="BF27" s="31"/>
      <c r="BG27" s="31"/>
      <c r="BH27" s="31"/>
      <c r="BI27" s="22"/>
      <c r="BJ27" s="32"/>
      <c r="BK27" s="166"/>
      <c r="BL27" s="167"/>
    </row>
    <row r="28" spans="2:65" ht="40.5" thickBot="1" x14ac:dyDescent="0.35">
      <c r="B28" s="198" t="s">
        <v>144</v>
      </c>
      <c r="C28" s="263" t="s">
        <v>340</v>
      </c>
      <c r="D28" s="153"/>
      <c r="E28" s="212">
        <v>484</v>
      </c>
      <c r="F28" s="210">
        <v>1137</v>
      </c>
      <c r="G28" s="210">
        <v>3222</v>
      </c>
      <c r="H28" s="210">
        <v>205</v>
      </c>
      <c r="I28" s="210">
        <v>878</v>
      </c>
      <c r="J28" s="210">
        <v>4561.5</v>
      </c>
      <c r="K28" s="211">
        <v>2361.5</v>
      </c>
      <c r="L28" s="213">
        <v>4817</v>
      </c>
      <c r="M28" s="166">
        <v>0</v>
      </c>
      <c r="N28" s="167">
        <f>SUM(E28:M28)</f>
        <v>17666</v>
      </c>
      <c r="O28" s="266"/>
      <c r="T28" s="198" t="s">
        <v>144</v>
      </c>
      <c r="U28" s="168" t="s">
        <v>272</v>
      </c>
      <c r="V28" s="153"/>
      <c r="W28" s="212">
        <v>1512</v>
      </c>
      <c r="X28" s="210">
        <v>1469.5</v>
      </c>
      <c r="Y28" s="210">
        <v>3801</v>
      </c>
      <c r="Z28" s="210">
        <v>0</v>
      </c>
      <c r="AA28" s="210">
        <v>905</v>
      </c>
      <c r="AB28" s="210">
        <v>6580.5</v>
      </c>
      <c r="AC28" s="211">
        <v>2544</v>
      </c>
      <c r="AD28" s="213">
        <v>3349</v>
      </c>
      <c r="AE28" s="166"/>
      <c r="AF28" s="167">
        <f>SUM(W28:AE28)</f>
        <v>20161</v>
      </c>
      <c r="AG28" s="203" t="s">
        <v>274</v>
      </c>
      <c r="AK28" s="198" t="s">
        <v>144</v>
      </c>
      <c r="AL28" s="168" t="s">
        <v>190</v>
      </c>
      <c r="AM28" s="153"/>
      <c r="AN28" s="212">
        <f>830+200+100+253</f>
        <v>1383</v>
      </c>
      <c r="AO28" s="210">
        <f>1055+590</f>
        <v>1645</v>
      </c>
      <c r="AP28" s="210">
        <f>3148+60+70+1967</f>
        <v>5245</v>
      </c>
      <c r="AQ28" s="210">
        <f>176+35+40</f>
        <v>251</v>
      </c>
      <c r="AR28" s="210">
        <f>714</f>
        <v>714</v>
      </c>
      <c r="AS28" s="210">
        <f>8637+68+88</f>
        <v>8793</v>
      </c>
      <c r="AT28" s="211">
        <f>1947+1390+343+55+40</f>
        <v>3775</v>
      </c>
      <c r="AU28" s="213">
        <v>7231</v>
      </c>
      <c r="AV28" s="166"/>
      <c r="AW28" s="167">
        <f>SUM(AN28:AV28)</f>
        <v>29037</v>
      </c>
      <c r="AZ28" s="154"/>
      <c r="BC28" s="30"/>
      <c r="BD28" s="31"/>
      <c r="BE28" s="310" t="s">
        <v>192</v>
      </c>
      <c r="BF28" s="310"/>
      <c r="BG28" s="310"/>
      <c r="BH28" s="311"/>
      <c r="BI28" s="22"/>
      <c r="BJ28" s="157"/>
      <c r="BK28" s="77"/>
      <c r="BL28" s="156">
        <v>0</v>
      </c>
    </row>
    <row r="29" spans="2:65" ht="39" customHeight="1" thickBot="1" x14ac:dyDescent="0.35">
      <c r="B29" s="198" t="s">
        <v>271</v>
      </c>
      <c r="C29" s="263" t="s">
        <v>341</v>
      </c>
      <c r="D29" s="153"/>
      <c r="E29" s="30">
        <v>1291</v>
      </c>
      <c r="F29" s="31">
        <v>1569.5</v>
      </c>
      <c r="G29" s="31">
        <v>4198</v>
      </c>
      <c r="H29" s="31">
        <v>146</v>
      </c>
      <c r="I29" s="31">
        <v>803</v>
      </c>
      <c r="J29" s="31">
        <v>3207</v>
      </c>
      <c r="K29" s="22">
        <v>1795.5</v>
      </c>
      <c r="L29" s="32">
        <v>9679</v>
      </c>
      <c r="M29" s="166">
        <v>0</v>
      </c>
      <c r="N29" s="167">
        <f>SUM(E29:M29)</f>
        <v>22689</v>
      </c>
      <c r="T29" s="198" t="s">
        <v>271</v>
      </c>
      <c r="U29" s="169" t="s">
        <v>273</v>
      </c>
      <c r="V29" s="153"/>
      <c r="W29" s="30">
        <v>306</v>
      </c>
      <c r="X29" s="31">
        <v>490</v>
      </c>
      <c r="Y29" s="31">
        <v>2807</v>
      </c>
      <c r="Z29" s="31">
        <v>150</v>
      </c>
      <c r="AA29" s="31">
        <v>939</v>
      </c>
      <c r="AB29" s="31">
        <v>1260</v>
      </c>
      <c r="AC29" s="22">
        <v>617</v>
      </c>
      <c r="AD29" s="32">
        <v>2465</v>
      </c>
      <c r="AE29" s="166"/>
      <c r="AF29" s="167">
        <f>SUM(W29:AE29)</f>
        <v>9034</v>
      </c>
      <c r="AK29" s="197"/>
      <c r="AL29" s="169"/>
      <c r="AM29" s="153"/>
      <c r="AN29" s="30"/>
      <c r="AO29" s="31"/>
      <c r="AP29" s="31"/>
      <c r="AQ29" s="31"/>
      <c r="AR29" s="31"/>
      <c r="AS29" s="31"/>
      <c r="AT29" s="22"/>
      <c r="AU29" s="32"/>
      <c r="AV29" s="166"/>
      <c r="AW29" s="167">
        <f>SUM(AN29:AV29)</f>
        <v>0</v>
      </c>
      <c r="BA29" s="7"/>
      <c r="BB29" s="1"/>
      <c r="BC29" s="5"/>
      <c r="BD29" s="5"/>
      <c r="BE29" s="5"/>
      <c r="BF29" s="5"/>
      <c r="BG29" s="5"/>
      <c r="BH29" s="5"/>
      <c r="BI29" s="5"/>
      <c r="BJ29" s="173"/>
      <c r="BK29" s="174" t="s">
        <v>18</v>
      </c>
      <c r="BL29" s="175">
        <f>SUM(BL25:BL28)</f>
        <v>39532.5</v>
      </c>
    </row>
    <row r="30" spans="2:65" ht="21.75" thickBot="1" x14ac:dyDescent="0.4">
      <c r="B30" s="154"/>
      <c r="E30" s="30"/>
      <c r="F30" s="31"/>
      <c r="G30" s="307" t="s">
        <v>345</v>
      </c>
      <c r="H30" s="308"/>
      <c r="I30" s="308"/>
      <c r="J30" s="309"/>
      <c r="K30" s="22"/>
      <c r="L30" s="157"/>
      <c r="M30" s="77"/>
      <c r="N30" s="156">
        <v>0</v>
      </c>
      <c r="T30" s="154"/>
      <c r="W30" s="30"/>
      <c r="X30" s="31"/>
      <c r="Y30" s="307" t="s">
        <v>267</v>
      </c>
      <c r="Z30" s="308"/>
      <c r="AA30" s="308"/>
      <c r="AB30" s="309"/>
      <c r="AC30" s="22"/>
      <c r="AD30" s="157"/>
      <c r="AE30" s="77"/>
      <c r="AF30" s="156">
        <v>0</v>
      </c>
      <c r="AK30" s="154"/>
      <c r="AN30" s="30"/>
      <c r="AO30" s="31"/>
      <c r="AP30" s="307" t="s">
        <v>193</v>
      </c>
      <c r="AQ30" s="308"/>
      <c r="AR30" s="308"/>
      <c r="AS30" s="309"/>
      <c r="AT30" s="22"/>
      <c r="AU30" s="157"/>
      <c r="AV30" s="77"/>
      <c r="AW30" s="156">
        <v>0</v>
      </c>
      <c r="BC30" s="5"/>
      <c r="BD30" s="5"/>
      <c r="BE30" s="155"/>
      <c r="BF30" s="155"/>
      <c r="BG30" s="155"/>
      <c r="BH30" s="5"/>
      <c r="BI30" s="5"/>
      <c r="BJ30" s="5"/>
      <c r="BK30" s="71"/>
      <c r="BL30" s="74"/>
      <c r="BM30" s="130"/>
    </row>
    <row r="31" spans="2:65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173"/>
      <c r="M31" s="174" t="s">
        <v>18</v>
      </c>
      <c r="N31" s="267">
        <f>SUM(N25:N30)</f>
        <v>93481</v>
      </c>
      <c r="U31" s="7"/>
      <c r="V31" s="1"/>
      <c r="W31" s="5"/>
      <c r="X31" s="5"/>
      <c r="Y31" s="5"/>
      <c r="Z31" s="5"/>
      <c r="AA31" s="5"/>
      <c r="AB31" s="5"/>
      <c r="AC31" s="5"/>
      <c r="AD31" s="173"/>
      <c r="AE31" s="174" t="s">
        <v>18</v>
      </c>
      <c r="AF31" s="175">
        <f>SUM(AF25:AF30)</f>
        <v>81327</v>
      </c>
      <c r="AL31" s="7"/>
      <c r="AM31" s="1"/>
      <c r="AN31" s="5"/>
      <c r="AO31" s="5"/>
      <c r="AP31" s="5"/>
      <c r="AQ31" s="5"/>
      <c r="AR31" s="5"/>
      <c r="AS31" s="5"/>
      <c r="AT31" s="5"/>
      <c r="AU31" s="173"/>
      <c r="AV31" s="174" t="s">
        <v>18</v>
      </c>
      <c r="AW31" s="175">
        <f>SUM(AW25:AW30)</f>
        <v>88878.5</v>
      </c>
      <c r="AY31" t="s">
        <v>26</v>
      </c>
    </row>
    <row r="32" spans="2:65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W32" s="5"/>
      <c r="X32" s="5"/>
      <c r="Y32" s="155"/>
      <c r="Z32" s="155"/>
      <c r="AA32" s="155"/>
      <c r="AB32" s="5"/>
      <c r="AC32" s="5"/>
      <c r="AD32" s="5"/>
      <c r="AE32" s="71"/>
      <c r="AF32" s="74"/>
      <c r="AG32" s="130"/>
      <c r="AN32" s="5"/>
      <c r="AO32" s="5"/>
      <c r="AP32" s="155"/>
      <c r="AQ32" s="155"/>
      <c r="AR32" s="155"/>
      <c r="AS32" s="5"/>
      <c r="AT32" s="5"/>
      <c r="AU32" s="5"/>
      <c r="AV32" s="71"/>
      <c r="AW32" s="74"/>
      <c r="AX32" s="130"/>
    </row>
    <row r="33" spans="3:50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U33" s="7"/>
      <c r="V33" s="1"/>
      <c r="W33" s="5"/>
      <c r="X33" s="5"/>
      <c r="Y33" s="5"/>
      <c r="Z33" s="5"/>
      <c r="AA33" s="5"/>
      <c r="AB33" s="5"/>
      <c r="AC33" s="71"/>
      <c r="AD33" s="207"/>
      <c r="AE33" s="208"/>
      <c r="AF33" s="209"/>
      <c r="AL33" s="7"/>
      <c r="AM33" s="1"/>
      <c r="AN33" s="5"/>
      <c r="AO33" s="5"/>
      <c r="AP33" s="5"/>
      <c r="AQ33" s="5"/>
      <c r="AR33" s="5"/>
      <c r="AS33" s="5"/>
      <c r="AT33" s="71"/>
      <c r="AU33" s="207"/>
      <c r="AV33" s="208"/>
      <c r="AW33" s="209"/>
    </row>
    <row r="34" spans="3:50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W34" s="5"/>
      <c r="X34" s="5"/>
      <c r="Y34" s="155"/>
      <c r="Z34" s="155"/>
      <c r="AA34" s="155"/>
      <c r="AB34" s="5"/>
      <c r="AC34" s="71"/>
      <c r="AD34" s="71"/>
      <c r="AE34" s="71"/>
      <c r="AF34" s="74"/>
      <c r="AG34" s="130"/>
      <c r="AN34" s="5"/>
      <c r="AO34" s="5"/>
      <c r="AP34" s="155"/>
      <c r="AQ34" s="155"/>
      <c r="AR34" s="155"/>
      <c r="AS34" s="5"/>
      <c r="AT34" s="71"/>
      <c r="AU34" s="71"/>
      <c r="AV34" s="71"/>
      <c r="AW34" s="74"/>
      <c r="AX34" s="130"/>
    </row>
  </sheetData>
  <mergeCells count="22">
    <mergeCell ref="D2:L2"/>
    <mergeCell ref="J3:L3"/>
    <mergeCell ref="G10:J10"/>
    <mergeCell ref="D22:L22"/>
    <mergeCell ref="G30:J30"/>
    <mergeCell ref="E12:G12"/>
    <mergeCell ref="V2:AD2"/>
    <mergeCell ref="AB3:AD3"/>
    <mergeCell ref="Y10:AB10"/>
    <mergeCell ref="V22:AD22"/>
    <mergeCell ref="Y30:AB30"/>
    <mergeCell ref="AP30:AS30"/>
    <mergeCell ref="BE28:BH28"/>
    <mergeCell ref="AM22:AU22"/>
    <mergeCell ref="BE7:BH7"/>
    <mergeCell ref="AP10:AS10"/>
    <mergeCell ref="BB2:BJ2"/>
    <mergeCell ref="BH3:BJ3"/>
    <mergeCell ref="BB22:BJ22"/>
    <mergeCell ref="BH23:BJ23"/>
    <mergeCell ref="AM2:AU2"/>
    <mergeCell ref="AS3:AU3"/>
  </mergeCells>
  <pageMargins left="0.25" right="0.25" top="0.75" bottom="0.75" header="0.3" footer="0.3"/>
  <pageSetup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Hoja5</vt:lpstr>
      <vt:lpstr>Hoja2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2023-12-26T20:37:26Z</cp:lastPrinted>
  <dcterms:created xsi:type="dcterms:W3CDTF">2023-08-22T02:09:42Z</dcterms:created>
  <dcterms:modified xsi:type="dcterms:W3CDTF">2024-01-04T21:53:37Z</dcterms:modified>
</cp:coreProperties>
</file>