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370" yWindow="960" windowWidth="19275" windowHeight="13635" tabRatio="714" firstSheet="52" activeTab="54"/>
  </bookViews>
  <sheets>
    <sheet name="SEMANA    01    2021   " sheetId="9" r:id="rId1"/>
    <sheet name="SEMANA   02    2021" sheetId="1" r:id="rId2"/>
    <sheet name="SEMANA  03     2021   " sheetId="2" r:id="rId3"/>
    <sheet name="SEMANA   04     2021    " sheetId="10" r:id="rId4"/>
    <sheet name="SEMANA  05    2021    " sheetId="3" r:id="rId5"/>
    <sheet name="SEMANA  06    2021   " sheetId="12" r:id="rId6"/>
    <sheet name="SEMANA    07   2021    " sheetId="13" r:id="rId7"/>
    <sheet name="SEMANA   08    2021     " sheetId="14" r:id="rId8"/>
    <sheet name="SEMANA   09     2021    " sheetId="15" r:id="rId9"/>
    <sheet name="SEMANA  10   2021      " sheetId="16" r:id="rId10"/>
    <sheet name="SEMANA   11    2021     " sheetId="11" r:id="rId11"/>
    <sheet name="SEMANA    12     2021   " sheetId="18" r:id="rId12"/>
    <sheet name="SEMANA  13    2021   " sheetId="19" r:id="rId13"/>
    <sheet name="SEMANA   14    2021    " sheetId="17" r:id="rId14"/>
    <sheet name="SEMANA  15    2 0 2 1      " sheetId="20" r:id="rId15"/>
    <sheet name="SEMANA    16      2021    " sheetId="22" r:id="rId16"/>
    <sheet name="SEMANA   17    2021    " sheetId="21" r:id="rId17"/>
    <sheet name="SEMANA   18    2021     " sheetId="23" r:id="rId18"/>
    <sheet name="SEMANA   19     2021    " sheetId="25" r:id="rId19"/>
    <sheet name="SEMANA   20       2021     " sheetId="24" r:id="rId20"/>
    <sheet name="SEMANA    21      2021    " sheetId="26" r:id="rId21"/>
    <sheet name="SEMANA   22      2021    " sheetId="27" r:id="rId22"/>
    <sheet name="SEMANA    23      2021     " sheetId="28" r:id="rId23"/>
    <sheet name="SEMANA  24    2021    " sheetId="29" r:id="rId24"/>
    <sheet name="SEMANA   25     2021   " sheetId="30" r:id="rId25"/>
    <sheet name="SEMANA    26      2 0 2 1    " sheetId="31" r:id="rId26"/>
    <sheet name="SEMANA   27      2021   " sheetId="32" r:id="rId27"/>
    <sheet name="SEMANA   28   2021   " sheetId="33" r:id="rId28"/>
    <sheet name="SEMANA   29   2021   " sheetId="34" r:id="rId29"/>
    <sheet name="SEMANA  30    2021   " sheetId="35" r:id="rId30"/>
    <sheet name="SEMANA   31    20 21        " sheetId="36" r:id="rId31"/>
    <sheet name="SEMANA   32     2021     " sheetId="37" r:id="rId32"/>
    <sheet name="SEMANA    33    2021     " sheetId="38" r:id="rId33"/>
    <sheet name="SEMANA   34   2021    " sheetId="39" r:id="rId34"/>
    <sheet name="SEMANA  35    2021    " sheetId="40" r:id="rId35"/>
    <sheet name="SEMANA  36       2021    " sheetId="41" r:id="rId36"/>
    <sheet name="SEMANA   37      2021     " sheetId="42" r:id="rId37"/>
    <sheet name="SEMANA  38      2021   " sheetId="43" r:id="rId38"/>
    <sheet name="SEMANA   39     2021    " sheetId="44" r:id="rId39"/>
    <sheet name="SEMANA  40      2021   " sheetId="45" r:id="rId40"/>
    <sheet name="SEMANA   41      2021    " sheetId="46" r:id="rId41"/>
    <sheet name="SEMANA   42      2021      " sheetId="47" r:id="rId42"/>
    <sheet name="SEMANA   43     2021      " sheetId="48" r:id="rId43"/>
    <sheet name="SEMANA    44    2021    " sheetId="49" r:id="rId44"/>
    <sheet name="SEMANA  45     2 0 2 1        " sheetId="50" r:id="rId45"/>
    <sheet name="SEMANA     46    2021     " sheetId="51" r:id="rId46"/>
    <sheet name="SEMANA  47   2021   " sheetId="52" r:id="rId47"/>
    <sheet name="SEMANA   48    2021    " sheetId="53" r:id="rId48"/>
    <sheet name="SEMANA   49     2021" sheetId="54" r:id="rId49"/>
    <sheet name="SEMANA   50     2021    " sheetId="55" r:id="rId50"/>
    <sheet name="SEMANA   51    2 0 2 1    " sheetId="56" r:id="rId51"/>
    <sheet name="SEMANA   52    2 0 2 1    " sheetId="57" r:id="rId52"/>
    <sheet name="SEMANA    53    2 0 2 1        " sheetId="58" r:id="rId53"/>
    <sheet name="SEMANA     23     2022         " sheetId="59" r:id="rId54"/>
    <sheet name="Hoja4" sheetId="4" r:id="rId55"/>
    <sheet name="Hoja6" sheetId="6" r:id="rId56"/>
    <sheet name="Hoja5" sheetId="5" r:id="rId57"/>
    <sheet name="C A S A  " sheetId="7" r:id="rId58"/>
    <sheet name="Hoja8" sheetId="8" r:id="rId5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59" l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O15" i="59"/>
  <c r="N15" i="59"/>
  <c r="L15" i="59"/>
  <c r="I15" i="59"/>
  <c r="AA14" i="59"/>
  <c r="AA16" i="59" s="1"/>
  <c r="Z14" i="59"/>
  <c r="Z16" i="59" s="1"/>
  <c r="Y14" i="59"/>
  <c r="Y16" i="59" s="1"/>
  <c r="X14" i="59"/>
  <c r="X16" i="59" s="1"/>
  <c r="W14" i="59"/>
  <c r="W16" i="59" s="1"/>
  <c r="V14" i="59"/>
  <c r="V16" i="59" s="1"/>
  <c r="U14" i="59"/>
  <c r="U16" i="59" s="1"/>
  <c r="T14" i="59"/>
  <c r="T16" i="59" s="1"/>
  <c r="M14" i="59"/>
  <c r="P14" i="59" s="1"/>
  <c r="H13" i="59"/>
  <c r="M13" i="59" s="1"/>
  <c r="P13" i="59" s="1"/>
  <c r="H12" i="59"/>
  <c r="G12" i="59"/>
  <c r="H11" i="59"/>
  <c r="M11" i="59" s="1"/>
  <c r="P11" i="59" s="1"/>
  <c r="H10" i="59"/>
  <c r="M10" i="59" s="1"/>
  <c r="P10" i="59" s="1"/>
  <c r="H9" i="59"/>
  <c r="M9" i="59" s="1"/>
  <c r="P9" i="59" s="1"/>
  <c r="H8" i="59"/>
  <c r="M8" i="59" s="1"/>
  <c r="P8" i="59" s="1"/>
  <c r="H7" i="59"/>
  <c r="M7" i="59" s="1"/>
  <c r="AB16" i="59" l="1"/>
  <c r="M12" i="59"/>
  <c r="P12" i="59" s="1"/>
  <c r="P7" i="59"/>
  <c r="H15" i="59"/>
  <c r="H13" i="58"/>
  <c r="M13" i="58"/>
  <c r="H14" i="58"/>
  <c r="M14" i="58"/>
  <c r="H9" i="58"/>
  <c r="M9" i="58" s="1"/>
  <c r="H7" i="58"/>
  <c r="M7" i="58"/>
  <c r="B23" i="58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O17" i="58"/>
  <c r="N17" i="58"/>
  <c r="L17" i="58"/>
  <c r="I17" i="58"/>
  <c r="AA16" i="58"/>
  <c r="AA18" i="58" s="1"/>
  <c r="Z16" i="58"/>
  <c r="Z18" i="58" s="1"/>
  <c r="Y16" i="58"/>
  <c r="Y18" i="58" s="1"/>
  <c r="X16" i="58"/>
  <c r="X18" i="58" s="1"/>
  <c r="W16" i="58"/>
  <c r="W18" i="58" s="1"/>
  <c r="V16" i="58"/>
  <c r="V18" i="58" s="1"/>
  <c r="U16" i="58"/>
  <c r="U18" i="58" s="1"/>
  <c r="T16" i="58"/>
  <c r="T18" i="58" s="1"/>
  <c r="M16" i="58"/>
  <c r="P16" i="58" s="1"/>
  <c r="M15" i="58"/>
  <c r="P15" i="58" s="1"/>
  <c r="H15" i="58"/>
  <c r="P14" i="58"/>
  <c r="G14" i="58"/>
  <c r="P13" i="58"/>
  <c r="H12" i="58"/>
  <c r="M12" i="58" s="1"/>
  <c r="P12" i="58" s="1"/>
  <c r="H11" i="58"/>
  <c r="M11" i="58" s="1"/>
  <c r="P11" i="58" s="1"/>
  <c r="H10" i="58"/>
  <c r="M10" i="58" s="1"/>
  <c r="P10" i="58" s="1"/>
  <c r="G9" i="58"/>
  <c r="H8" i="58"/>
  <c r="M8" i="58" s="1"/>
  <c r="P8" i="58" s="1"/>
  <c r="P15" i="59" l="1"/>
  <c r="M15" i="59"/>
  <c r="P18" i="59" s="1"/>
  <c r="AB18" i="58"/>
  <c r="P9" i="58"/>
  <c r="M17" i="58"/>
  <c r="P20" i="58" s="1"/>
  <c r="P7" i="58"/>
  <c r="H17" i="58"/>
  <c r="M14" i="57"/>
  <c r="P14" i="57" s="1"/>
  <c r="H14" i="57"/>
  <c r="M9" i="57"/>
  <c r="H7" i="57"/>
  <c r="B24" i="57"/>
  <c r="B25" i="57" s="1"/>
  <c r="B26" i="57" s="1"/>
  <c r="B27" i="57" s="1"/>
  <c r="B28" i="57" s="1"/>
  <c r="B29" i="57" s="1"/>
  <c r="B30" i="57" s="1"/>
  <c r="B31" i="57" s="1"/>
  <c r="B32" i="57" s="1"/>
  <c r="B33" i="57" s="1"/>
  <c r="B23" i="57"/>
  <c r="O17" i="57"/>
  <c r="N17" i="57"/>
  <c r="L17" i="57"/>
  <c r="I17" i="57"/>
  <c r="AA16" i="57"/>
  <c r="AA18" i="57" s="1"/>
  <c r="Z16" i="57"/>
  <c r="Z18" i="57" s="1"/>
  <c r="Y16" i="57"/>
  <c r="Y18" i="57" s="1"/>
  <c r="X16" i="57"/>
  <c r="X18" i="57" s="1"/>
  <c r="W16" i="57"/>
  <c r="W18" i="57" s="1"/>
  <c r="V16" i="57"/>
  <c r="V18" i="57" s="1"/>
  <c r="U16" i="57"/>
  <c r="U18" i="57" s="1"/>
  <c r="T16" i="57"/>
  <c r="T18" i="57" s="1"/>
  <c r="M16" i="57"/>
  <c r="P16" i="57" s="1"/>
  <c r="M15" i="57"/>
  <c r="P15" i="57" s="1"/>
  <c r="H15" i="57"/>
  <c r="G14" i="57"/>
  <c r="H13" i="57"/>
  <c r="M13" i="57" s="1"/>
  <c r="P13" i="57" s="1"/>
  <c r="M12" i="57"/>
  <c r="P12" i="57" s="1"/>
  <c r="H12" i="57"/>
  <c r="H11" i="57"/>
  <c r="M11" i="57" s="1"/>
  <c r="P11" i="57" s="1"/>
  <c r="H10" i="57"/>
  <c r="M10" i="57" s="1"/>
  <c r="P10" i="57" s="1"/>
  <c r="G9" i="57"/>
  <c r="H9" i="57" s="1"/>
  <c r="P9" i="57" s="1"/>
  <c r="H8" i="57"/>
  <c r="M8" i="57" s="1"/>
  <c r="P8" i="57" s="1"/>
  <c r="M7" i="57"/>
  <c r="P17" i="58" l="1"/>
  <c r="AB18" i="57"/>
  <c r="M17" i="57"/>
  <c r="P20" i="57" s="1"/>
  <c r="H17" i="57"/>
  <c r="P7" i="57"/>
  <c r="P17" i="57" s="1"/>
  <c r="M14" i="56"/>
  <c r="M9" i="56"/>
  <c r="G9" i="56"/>
  <c r="H9" i="56" s="1"/>
  <c r="P9" i="56" s="1"/>
  <c r="B24" i="56"/>
  <c r="B25" i="56" s="1"/>
  <c r="B26" i="56" s="1"/>
  <c r="B27" i="56" s="1"/>
  <c r="B28" i="56" s="1"/>
  <c r="B29" i="56" s="1"/>
  <c r="B30" i="56" s="1"/>
  <c r="B31" i="56" s="1"/>
  <c r="B32" i="56" s="1"/>
  <c r="B33" i="56" s="1"/>
  <c r="B23" i="56"/>
  <c r="O17" i="56"/>
  <c r="N17" i="56"/>
  <c r="L17" i="56"/>
  <c r="I17" i="56"/>
  <c r="AA16" i="56"/>
  <c r="AA18" i="56" s="1"/>
  <c r="Z16" i="56"/>
  <c r="Z18" i="56" s="1"/>
  <c r="Y16" i="56"/>
  <c r="Y18" i="56" s="1"/>
  <c r="X16" i="56"/>
  <c r="X18" i="56" s="1"/>
  <c r="W16" i="56"/>
  <c r="W18" i="56" s="1"/>
  <c r="V16" i="56"/>
  <c r="V18" i="56" s="1"/>
  <c r="U16" i="56"/>
  <c r="U18" i="56" s="1"/>
  <c r="T16" i="56"/>
  <c r="T18" i="56" s="1"/>
  <c r="M16" i="56"/>
  <c r="P16" i="56" s="1"/>
  <c r="H15" i="56"/>
  <c r="M15" i="56" s="1"/>
  <c r="P15" i="56" s="1"/>
  <c r="H14" i="56"/>
  <c r="G14" i="56"/>
  <c r="P14" i="56" s="1"/>
  <c r="H13" i="56"/>
  <c r="M13" i="56" s="1"/>
  <c r="P13" i="56" s="1"/>
  <c r="M12" i="56"/>
  <c r="P12" i="56" s="1"/>
  <c r="H12" i="56"/>
  <c r="H11" i="56"/>
  <c r="M11" i="56" s="1"/>
  <c r="P11" i="56" s="1"/>
  <c r="H10" i="56"/>
  <c r="M10" i="56" s="1"/>
  <c r="P10" i="56" s="1"/>
  <c r="M8" i="56"/>
  <c r="P8" i="56" s="1"/>
  <c r="H8" i="56"/>
  <c r="H7" i="56"/>
  <c r="H17" i="56" l="1"/>
  <c r="AB18" i="56"/>
  <c r="M7" i="56"/>
  <c r="H8" i="7"/>
  <c r="H7" i="7"/>
  <c r="H6" i="7"/>
  <c r="H5" i="7"/>
  <c r="G5" i="7"/>
  <c r="H4" i="7"/>
  <c r="H3" i="7"/>
  <c r="M17" i="56" l="1"/>
  <c r="P20" i="56" s="1"/>
  <c r="P7" i="56"/>
  <c r="P17" i="56" s="1"/>
  <c r="B24" i="55"/>
  <c r="B25" i="55" s="1"/>
  <c r="B26" i="55" s="1"/>
  <c r="B27" i="55" s="1"/>
  <c r="B28" i="55" s="1"/>
  <c r="B29" i="55" s="1"/>
  <c r="B30" i="55" s="1"/>
  <c r="B31" i="55" s="1"/>
  <c r="B32" i="55" s="1"/>
  <c r="B33" i="55" s="1"/>
  <c r="B23" i="55"/>
  <c r="B25" i="54"/>
  <c r="B26" i="54" s="1"/>
  <c r="B27" i="54" s="1"/>
  <c r="B28" i="54" s="1"/>
  <c r="B29" i="54" s="1"/>
  <c r="B30" i="54" s="1"/>
  <c r="B31" i="54" s="1"/>
  <c r="B32" i="54" s="1"/>
  <c r="B33" i="54" s="1"/>
  <c r="B38" i="54" s="1"/>
  <c r="B24" i="54"/>
  <c r="B23" i="54"/>
  <c r="M9" i="55" l="1"/>
  <c r="M14" i="55"/>
  <c r="P14" i="55" s="1"/>
  <c r="M13" i="55"/>
  <c r="P13" i="55" s="1"/>
  <c r="Z18" i="55"/>
  <c r="O17" i="55"/>
  <c r="N17" i="55"/>
  <c r="L17" i="55"/>
  <c r="I17" i="55"/>
  <c r="AA16" i="55"/>
  <c r="AA18" i="55" s="1"/>
  <c r="Z16" i="55"/>
  <c r="Y16" i="55"/>
  <c r="Y18" i="55" s="1"/>
  <c r="X16" i="55"/>
  <c r="X18" i="55" s="1"/>
  <c r="W16" i="55"/>
  <c r="W18" i="55" s="1"/>
  <c r="V16" i="55"/>
  <c r="V18" i="55" s="1"/>
  <c r="U16" i="55"/>
  <c r="U18" i="55" s="1"/>
  <c r="T16" i="55"/>
  <c r="T18" i="55" s="1"/>
  <c r="M16" i="55"/>
  <c r="P16" i="55" s="1"/>
  <c r="H15" i="55"/>
  <c r="M15" i="55" s="1"/>
  <c r="P15" i="55" s="1"/>
  <c r="H14" i="55"/>
  <c r="G14" i="55"/>
  <c r="H13" i="55"/>
  <c r="H12" i="55"/>
  <c r="M12" i="55" s="1"/>
  <c r="P12" i="55" s="1"/>
  <c r="H11" i="55"/>
  <c r="M11" i="55" s="1"/>
  <c r="P11" i="55" s="1"/>
  <c r="H10" i="55"/>
  <c r="M10" i="55" s="1"/>
  <c r="P10" i="55" s="1"/>
  <c r="H9" i="55"/>
  <c r="H8" i="55"/>
  <c r="M8" i="55" s="1"/>
  <c r="P8" i="55" s="1"/>
  <c r="H7" i="55"/>
  <c r="AB18" i="55" l="1"/>
  <c r="P9" i="55"/>
  <c r="H17" i="55"/>
  <c r="M7" i="55"/>
  <c r="M9" i="54"/>
  <c r="M14" i="54"/>
  <c r="M13" i="54"/>
  <c r="O17" i="54"/>
  <c r="N17" i="54"/>
  <c r="L17" i="54"/>
  <c r="I17" i="54"/>
  <c r="AA16" i="54"/>
  <c r="AA18" i="54" s="1"/>
  <c r="Z16" i="54"/>
  <c r="Z18" i="54" s="1"/>
  <c r="Y16" i="54"/>
  <c r="Y18" i="54" s="1"/>
  <c r="X16" i="54"/>
  <c r="X18" i="54" s="1"/>
  <c r="W16" i="54"/>
  <c r="W18" i="54" s="1"/>
  <c r="V16" i="54"/>
  <c r="V18" i="54" s="1"/>
  <c r="U16" i="54"/>
  <c r="U18" i="54" s="1"/>
  <c r="T16" i="54"/>
  <c r="T18" i="54" s="1"/>
  <c r="M16" i="54"/>
  <c r="P16" i="54" s="1"/>
  <c r="M15" i="54"/>
  <c r="P15" i="54" s="1"/>
  <c r="H15" i="54"/>
  <c r="H14" i="54"/>
  <c r="G14" i="54"/>
  <c r="H13" i="54"/>
  <c r="M12" i="54"/>
  <c r="P12" i="54" s="1"/>
  <c r="H12" i="54"/>
  <c r="H11" i="54"/>
  <c r="M11" i="54" s="1"/>
  <c r="P11" i="54" s="1"/>
  <c r="M10" i="54"/>
  <c r="P10" i="54" s="1"/>
  <c r="H10" i="54"/>
  <c r="H9" i="54"/>
  <c r="M8" i="54"/>
  <c r="P8" i="54" s="1"/>
  <c r="H8" i="54"/>
  <c r="H7" i="54"/>
  <c r="M7" i="54" s="1"/>
  <c r="P7" i="55" l="1"/>
  <c r="P17" i="55" s="1"/>
  <c r="M17" i="55"/>
  <c r="P20" i="55" s="1"/>
  <c r="P14" i="54"/>
  <c r="P13" i="54"/>
  <c r="P9" i="54"/>
  <c r="P7" i="54"/>
  <c r="AB18" i="54"/>
  <c r="H17" i="54"/>
  <c r="M14" i="53"/>
  <c r="M9" i="53"/>
  <c r="O17" i="53"/>
  <c r="N17" i="53"/>
  <c r="L17" i="53"/>
  <c r="I17" i="53"/>
  <c r="AA16" i="53"/>
  <c r="AA18" i="53" s="1"/>
  <c r="Z16" i="53"/>
  <c r="Z18" i="53" s="1"/>
  <c r="Y16" i="53"/>
  <c r="Y18" i="53" s="1"/>
  <c r="X16" i="53"/>
  <c r="X18" i="53" s="1"/>
  <c r="W16" i="53"/>
  <c r="W18" i="53" s="1"/>
  <c r="V16" i="53"/>
  <c r="V18" i="53" s="1"/>
  <c r="U16" i="53"/>
  <c r="U18" i="53" s="1"/>
  <c r="T16" i="53"/>
  <c r="T18" i="53" s="1"/>
  <c r="M16" i="53"/>
  <c r="P16" i="53" s="1"/>
  <c r="H15" i="53"/>
  <c r="M15" i="53" s="1"/>
  <c r="P15" i="53" s="1"/>
  <c r="H14" i="53"/>
  <c r="G14" i="53"/>
  <c r="M13" i="53"/>
  <c r="P13" i="53" s="1"/>
  <c r="H13" i="53"/>
  <c r="H12" i="53"/>
  <c r="M12" i="53" s="1"/>
  <c r="P12" i="53" s="1"/>
  <c r="H11" i="53"/>
  <c r="M11" i="53" s="1"/>
  <c r="P11" i="53" s="1"/>
  <c r="H10" i="53"/>
  <c r="M10" i="53" s="1"/>
  <c r="P10" i="53" s="1"/>
  <c r="H9" i="53"/>
  <c r="H8" i="53"/>
  <c r="M8" i="53" s="1"/>
  <c r="P8" i="53" s="1"/>
  <c r="H7" i="53"/>
  <c r="M17" i="54" l="1"/>
  <c r="P20" i="54" s="1"/>
  <c r="P17" i="54"/>
  <c r="P14" i="53"/>
  <c r="P9" i="53"/>
  <c r="H17" i="53"/>
  <c r="AB18" i="53"/>
  <c r="M7" i="53"/>
  <c r="M14" i="52"/>
  <c r="M9" i="52"/>
  <c r="O17" i="52"/>
  <c r="N17" i="52"/>
  <c r="L17" i="52"/>
  <c r="I17" i="52"/>
  <c r="AA16" i="52"/>
  <c r="AA18" i="52" s="1"/>
  <c r="Z16" i="52"/>
  <c r="Z18" i="52" s="1"/>
  <c r="Y16" i="52"/>
  <c r="Y18" i="52" s="1"/>
  <c r="X16" i="52"/>
  <c r="X18" i="52" s="1"/>
  <c r="W16" i="52"/>
  <c r="W18" i="52" s="1"/>
  <c r="V16" i="52"/>
  <c r="V18" i="52" s="1"/>
  <c r="U16" i="52"/>
  <c r="U18" i="52" s="1"/>
  <c r="T16" i="52"/>
  <c r="T18" i="52" s="1"/>
  <c r="M16" i="52"/>
  <c r="P16" i="52" s="1"/>
  <c r="M15" i="52"/>
  <c r="P15" i="52" s="1"/>
  <c r="H15" i="52"/>
  <c r="H14" i="52"/>
  <c r="G14" i="52"/>
  <c r="H13" i="52"/>
  <c r="M13" i="52" s="1"/>
  <c r="P13" i="52" s="1"/>
  <c r="M12" i="52"/>
  <c r="P12" i="52" s="1"/>
  <c r="H12" i="52"/>
  <c r="H11" i="52"/>
  <c r="M11" i="52" s="1"/>
  <c r="P11" i="52" s="1"/>
  <c r="H10" i="52"/>
  <c r="M10" i="52" s="1"/>
  <c r="P10" i="52" s="1"/>
  <c r="H9" i="52"/>
  <c r="H8" i="52"/>
  <c r="M8" i="52" s="1"/>
  <c r="P8" i="52" s="1"/>
  <c r="H7" i="52"/>
  <c r="M7" i="52" s="1"/>
  <c r="P7" i="53" l="1"/>
  <c r="P17" i="53" s="1"/>
  <c r="M17" i="53"/>
  <c r="P20" i="53" s="1"/>
  <c r="P14" i="52"/>
  <c r="H17" i="52"/>
  <c r="P7" i="52"/>
  <c r="AB18" i="52"/>
  <c r="P9" i="52"/>
  <c r="M14" i="51"/>
  <c r="M13" i="51"/>
  <c r="H13" i="51"/>
  <c r="M9" i="51"/>
  <c r="M17" i="52" l="1"/>
  <c r="P20" i="52" s="1"/>
  <c r="P17" i="52"/>
  <c r="O17" i="51"/>
  <c r="N17" i="51"/>
  <c r="L17" i="51"/>
  <c r="I17" i="51"/>
  <c r="AA16" i="51"/>
  <c r="AA18" i="51" s="1"/>
  <c r="Z16" i="51"/>
  <c r="Z18" i="51" s="1"/>
  <c r="Y16" i="51"/>
  <c r="Y18" i="51" s="1"/>
  <c r="X16" i="51"/>
  <c r="X18" i="51" s="1"/>
  <c r="W16" i="51"/>
  <c r="W18" i="51" s="1"/>
  <c r="V16" i="51"/>
  <c r="V18" i="51" s="1"/>
  <c r="U16" i="51"/>
  <c r="U18" i="51" s="1"/>
  <c r="T16" i="51"/>
  <c r="T18" i="51" s="1"/>
  <c r="P16" i="51"/>
  <c r="M16" i="51"/>
  <c r="H15" i="51"/>
  <c r="M15" i="51" s="1"/>
  <c r="P15" i="51" s="1"/>
  <c r="H14" i="51"/>
  <c r="P14" i="51" s="1"/>
  <c r="G14" i="51"/>
  <c r="P13" i="51"/>
  <c r="P12" i="51"/>
  <c r="M12" i="51"/>
  <c r="H12" i="51"/>
  <c r="M11" i="51"/>
  <c r="P11" i="51" s="1"/>
  <c r="H11" i="51"/>
  <c r="H10" i="51"/>
  <c r="M10" i="51" s="1"/>
  <c r="P10" i="51" s="1"/>
  <c r="H9" i="51"/>
  <c r="P9" i="51" s="1"/>
  <c r="P8" i="51"/>
  <c r="M8" i="51"/>
  <c r="H8" i="51"/>
  <c r="M7" i="51"/>
  <c r="P7" i="51" s="1"/>
  <c r="H7" i="51"/>
  <c r="AB18" i="51" l="1"/>
  <c r="H17" i="51"/>
  <c r="P17" i="51"/>
  <c r="M17" i="51"/>
  <c r="P20" i="51" s="1"/>
  <c r="M14" i="50"/>
  <c r="H13" i="50"/>
  <c r="M13" i="50" s="1"/>
  <c r="P13" i="50" s="1"/>
  <c r="M9" i="50"/>
  <c r="Z18" i="50"/>
  <c r="O17" i="50"/>
  <c r="N17" i="50"/>
  <c r="L17" i="50"/>
  <c r="I17" i="50"/>
  <c r="AA16" i="50"/>
  <c r="AA18" i="50" s="1"/>
  <c r="Z16" i="50"/>
  <c r="Y16" i="50"/>
  <c r="Y18" i="50" s="1"/>
  <c r="X16" i="50"/>
  <c r="X18" i="50" s="1"/>
  <c r="W16" i="50"/>
  <c r="W18" i="50" s="1"/>
  <c r="V16" i="50"/>
  <c r="V18" i="50" s="1"/>
  <c r="U16" i="50"/>
  <c r="U18" i="50" s="1"/>
  <c r="T16" i="50"/>
  <c r="T18" i="50" s="1"/>
  <c r="P16" i="50"/>
  <c r="M16" i="50"/>
  <c r="P15" i="50"/>
  <c r="M15" i="50"/>
  <c r="H15" i="50"/>
  <c r="H14" i="50"/>
  <c r="G14" i="50"/>
  <c r="H12" i="50"/>
  <c r="M12" i="50" s="1"/>
  <c r="P12" i="50" s="1"/>
  <c r="P11" i="50"/>
  <c r="M11" i="50"/>
  <c r="H11" i="50"/>
  <c r="H10" i="50"/>
  <c r="M10" i="50" s="1"/>
  <c r="P10" i="50" s="1"/>
  <c r="H9" i="50"/>
  <c r="H8" i="50"/>
  <c r="M8" i="50" s="1"/>
  <c r="P8" i="50" s="1"/>
  <c r="P7" i="50"/>
  <c r="M7" i="50"/>
  <c r="H7" i="50"/>
  <c r="P14" i="50" l="1"/>
  <c r="H17" i="50"/>
  <c r="P9" i="50"/>
  <c r="M17" i="50"/>
  <c r="P20" i="50" s="1"/>
  <c r="AB18" i="50"/>
  <c r="M9" i="49"/>
  <c r="P17" i="50" l="1"/>
  <c r="G14" i="49"/>
  <c r="H9" i="49"/>
  <c r="P9" i="49" s="1"/>
  <c r="Z18" i="49"/>
  <c r="V18" i="49"/>
  <c r="O17" i="49"/>
  <c r="N17" i="49"/>
  <c r="L17" i="49"/>
  <c r="I17" i="49"/>
  <c r="AA16" i="49"/>
  <c r="AA18" i="49" s="1"/>
  <c r="Z16" i="49"/>
  <c r="Y16" i="49"/>
  <c r="Y18" i="49" s="1"/>
  <c r="X16" i="49"/>
  <c r="X18" i="49" s="1"/>
  <c r="W16" i="49"/>
  <c r="W18" i="49" s="1"/>
  <c r="V16" i="49"/>
  <c r="U16" i="49"/>
  <c r="U18" i="49" s="1"/>
  <c r="T16" i="49"/>
  <c r="T18" i="49" s="1"/>
  <c r="M16" i="49"/>
  <c r="P16" i="49" s="1"/>
  <c r="M15" i="49"/>
  <c r="P15" i="49" s="1"/>
  <c r="H15" i="49"/>
  <c r="H14" i="49"/>
  <c r="H13" i="49"/>
  <c r="M13" i="49" s="1"/>
  <c r="P13" i="49" s="1"/>
  <c r="H12" i="49"/>
  <c r="M12" i="49" s="1"/>
  <c r="P12" i="49" s="1"/>
  <c r="H11" i="49"/>
  <c r="M11" i="49" s="1"/>
  <c r="P11" i="49" s="1"/>
  <c r="H10" i="49"/>
  <c r="M10" i="49" s="1"/>
  <c r="P10" i="49" s="1"/>
  <c r="H8" i="49"/>
  <c r="P7" i="49"/>
  <c r="M7" i="49"/>
  <c r="H7" i="49"/>
  <c r="M14" i="49" l="1"/>
  <c r="P14" i="49" s="1"/>
  <c r="H17" i="49"/>
  <c r="AB18" i="49"/>
  <c r="M8" i="49"/>
  <c r="P8" i="49" s="1"/>
  <c r="G14" i="48"/>
  <c r="H9" i="48"/>
  <c r="M9" i="48"/>
  <c r="P9" i="48" s="1"/>
  <c r="Y18" i="48"/>
  <c r="O17" i="48"/>
  <c r="N17" i="48"/>
  <c r="L17" i="48"/>
  <c r="I17" i="48"/>
  <c r="AA16" i="48"/>
  <c r="AA18" i="48" s="1"/>
  <c r="Z16" i="48"/>
  <c r="Z18" i="48" s="1"/>
  <c r="Y16" i="48"/>
  <c r="X16" i="48"/>
  <c r="X18" i="48" s="1"/>
  <c r="W16" i="48"/>
  <c r="W18" i="48" s="1"/>
  <c r="V16" i="48"/>
  <c r="V18" i="48" s="1"/>
  <c r="U16" i="48"/>
  <c r="U18" i="48" s="1"/>
  <c r="T16" i="48"/>
  <c r="T18" i="48" s="1"/>
  <c r="P16" i="48"/>
  <c r="M16" i="48"/>
  <c r="H15" i="48"/>
  <c r="M15" i="48" s="1"/>
  <c r="P15" i="48" s="1"/>
  <c r="H14" i="48"/>
  <c r="H13" i="48"/>
  <c r="M13" i="48" s="1"/>
  <c r="P13" i="48" s="1"/>
  <c r="P12" i="48"/>
  <c r="M12" i="48"/>
  <c r="H12" i="48"/>
  <c r="M11" i="48"/>
  <c r="P11" i="48" s="1"/>
  <c r="H11" i="48"/>
  <c r="H10" i="48"/>
  <c r="M10" i="48" s="1"/>
  <c r="P10" i="48" s="1"/>
  <c r="P8" i="48"/>
  <c r="M8" i="48"/>
  <c r="H8" i="48"/>
  <c r="M7" i="48"/>
  <c r="H7" i="48"/>
  <c r="P17" i="49" l="1"/>
  <c r="M17" i="49"/>
  <c r="P20" i="49" s="1"/>
  <c r="AB18" i="48"/>
  <c r="M14" i="48"/>
  <c r="P14" i="48" s="1"/>
  <c r="H17" i="48"/>
  <c r="P7" i="48"/>
  <c r="M14" i="47"/>
  <c r="H9" i="47"/>
  <c r="Z18" i="47"/>
  <c r="O17" i="47"/>
  <c r="N17" i="47"/>
  <c r="L17" i="47"/>
  <c r="I17" i="47"/>
  <c r="AA16" i="47"/>
  <c r="AA18" i="47" s="1"/>
  <c r="Z16" i="47"/>
  <c r="Y16" i="47"/>
  <c r="Y18" i="47" s="1"/>
  <c r="X16" i="47"/>
  <c r="X18" i="47" s="1"/>
  <c r="W16" i="47"/>
  <c r="W18" i="47" s="1"/>
  <c r="V16" i="47"/>
  <c r="V18" i="47" s="1"/>
  <c r="U16" i="47"/>
  <c r="U18" i="47" s="1"/>
  <c r="T16" i="47"/>
  <c r="T18" i="47" s="1"/>
  <c r="M16" i="47"/>
  <c r="P16" i="47" s="1"/>
  <c r="H15" i="47"/>
  <c r="M15" i="47" s="1"/>
  <c r="P15" i="47" s="1"/>
  <c r="H14" i="47"/>
  <c r="G14" i="47"/>
  <c r="M13" i="47"/>
  <c r="P13" i="47" s="1"/>
  <c r="H13" i="47"/>
  <c r="H12" i="47"/>
  <c r="M12" i="47" s="1"/>
  <c r="P12" i="47" s="1"/>
  <c r="H11" i="47"/>
  <c r="M11" i="47" s="1"/>
  <c r="P11" i="47" s="1"/>
  <c r="H10" i="47"/>
  <c r="M10" i="47" s="1"/>
  <c r="P10" i="47" s="1"/>
  <c r="M9" i="47"/>
  <c r="P9" i="47" s="1"/>
  <c r="H8" i="47"/>
  <c r="M8" i="47" s="1"/>
  <c r="P8" i="47" s="1"/>
  <c r="H7" i="47"/>
  <c r="P17" i="48" l="1"/>
  <c r="M17" i="48"/>
  <c r="P20" i="48" s="1"/>
  <c r="P14" i="47"/>
  <c r="H17" i="47"/>
  <c r="AB18" i="47"/>
  <c r="M7" i="47"/>
  <c r="M14" i="46"/>
  <c r="AA18" i="46"/>
  <c r="Z18" i="46"/>
  <c r="O17" i="46"/>
  <c r="N17" i="46"/>
  <c r="L17" i="46"/>
  <c r="I17" i="46"/>
  <c r="AA16" i="46"/>
  <c r="Z16" i="46"/>
  <c r="Y16" i="46"/>
  <c r="Y18" i="46" s="1"/>
  <c r="X16" i="46"/>
  <c r="X18" i="46" s="1"/>
  <c r="W16" i="46"/>
  <c r="W18" i="46" s="1"/>
  <c r="V16" i="46"/>
  <c r="V18" i="46" s="1"/>
  <c r="U16" i="46"/>
  <c r="U18" i="46" s="1"/>
  <c r="T16" i="46"/>
  <c r="T18" i="46" s="1"/>
  <c r="M16" i="46"/>
  <c r="P16" i="46" s="1"/>
  <c r="H15" i="46"/>
  <c r="M15" i="46" s="1"/>
  <c r="P15" i="46" s="1"/>
  <c r="H14" i="46"/>
  <c r="G14" i="46"/>
  <c r="M13" i="46"/>
  <c r="P13" i="46" s="1"/>
  <c r="H13" i="46"/>
  <c r="H12" i="46"/>
  <c r="M12" i="46" s="1"/>
  <c r="P12" i="46" s="1"/>
  <c r="H11" i="46"/>
  <c r="M11" i="46" s="1"/>
  <c r="P11" i="46" s="1"/>
  <c r="H10" i="46"/>
  <c r="M10" i="46" s="1"/>
  <c r="P10" i="46" s="1"/>
  <c r="H9" i="46"/>
  <c r="M9" i="46" s="1"/>
  <c r="P9" i="46" s="1"/>
  <c r="H8" i="46"/>
  <c r="M8" i="46" s="1"/>
  <c r="P8" i="46" s="1"/>
  <c r="H7" i="46"/>
  <c r="P7" i="47" l="1"/>
  <c r="P17" i="47" s="1"/>
  <c r="M17" i="47"/>
  <c r="P20" i="47" s="1"/>
  <c r="AB18" i="46"/>
  <c r="P14" i="46"/>
  <c r="H17" i="46"/>
  <c r="M7" i="46"/>
  <c r="H9" i="45"/>
  <c r="P7" i="46" l="1"/>
  <c r="P17" i="46" s="1"/>
  <c r="M17" i="46"/>
  <c r="P20" i="46" s="1"/>
  <c r="M14" i="45"/>
  <c r="M9" i="45"/>
  <c r="P9" i="45" s="1"/>
  <c r="O17" i="45"/>
  <c r="N17" i="45"/>
  <c r="L17" i="45"/>
  <c r="I17" i="45"/>
  <c r="AA16" i="45"/>
  <c r="AA18" i="45" s="1"/>
  <c r="Z16" i="45"/>
  <c r="Z18" i="45" s="1"/>
  <c r="Y16" i="45"/>
  <c r="Y18" i="45" s="1"/>
  <c r="X16" i="45"/>
  <c r="X18" i="45" s="1"/>
  <c r="W16" i="45"/>
  <c r="W18" i="45" s="1"/>
  <c r="V16" i="45"/>
  <c r="V18" i="45" s="1"/>
  <c r="U16" i="45"/>
  <c r="U18" i="45" s="1"/>
  <c r="T16" i="45"/>
  <c r="T18" i="45" s="1"/>
  <c r="P16" i="45"/>
  <c r="M16" i="45"/>
  <c r="M15" i="45"/>
  <c r="P15" i="45" s="1"/>
  <c r="H15" i="45"/>
  <c r="H14" i="45"/>
  <c r="G14" i="45"/>
  <c r="H13" i="45"/>
  <c r="M13" i="45" s="1"/>
  <c r="P13" i="45" s="1"/>
  <c r="P12" i="45"/>
  <c r="M12" i="45"/>
  <c r="H12" i="45"/>
  <c r="P11" i="45"/>
  <c r="M11" i="45"/>
  <c r="H11" i="45"/>
  <c r="H10" i="45"/>
  <c r="M10" i="45" s="1"/>
  <c r="P10" i="45" s="1"/>
  <c r="P8" i="45"/>
  <c r="M8" i="45"/>
  <c r="H8" i="45"/>
  <c r="P7" i="45"/>
  <c r="M7" i="45"/>
  <c r="H7" i="45"/>
  <c r="P14" i="45" l="1"/>
  <c r="M17" i="45"/>
  <c r="P20" i="45" s="1"/>
  <c r="AB18" i="45"/>
  <c r="P17" i="45"/>
  <c r="H17" i="45"/>
  <c r="M14" i="44"/>
  <c r="H9" i="44"/>
  <c r="M9" i="44" s="1"/>
  <c r="P9" i="44" s="1"/>
  <c r="O17" i="44"/>
  <c r="N17" i="44"/>
  <c r="L17" i="44"/>
  <c r="I17" i="44"/>
  <c r="AA16" i="44"/>
  <c r="AA18" i="44" s="1"/>
  <c r="Z16" i="44"/>
  <c r="Z18" i="44" s="1"/>
  <c r="Y16" i="44"/>
  <c r="Y18" i="44" s="1"/>
  <c r="X16" i="44"/>
  <c r="X18" i="44" s="1"/>
  <c r="W16" i="44"/>
  <c r="W18" i="44" s="1"/>
  <c r="V16" i="44"/>
  <c r="V18" i="44" s="1"/>
  <c r="U16" i="44"/>
  <c r="U18" i="44" s="1"/>
  <c r="T16" i="44"/>
  <c r="T18" i="44" s="1"/>
  <c r="P16" i="44"/>
  <c r="M16" i="44"/>
  <c r="H15" i="44"/>
  <c r="M15" i="44" s="1"/>
  <c r="P15" i="44" s="1"/>
  <c r="H14" i="44"/>
  <c r="G14" i="44"/>
  <c r="P14" i="44" s="1"/>
  <c r="M13" i="44"/>
  <c r="P13" i="44" s="1"/>
  <c r="H13" i="44"/>
  <c r="H12" i="44"/>
  <c r="M12" i="44" s="1"/>
  <c r="P12" i="44" s="1"/>
  <c r="M11" i="44"/>
  <c r="P11" i="44" s="1"/>
  <c r="H11" i="44"/>
  <c r="H10" i="44"/>
  <c r="M10" i="44" s="1"/>
  <c r="P10" i="44" s="1"/>
  <c r="H8" i="44"/>
  <c r="M8" i="44" s="1"/>
  <c r="P8" i="44" s="1"/>
  <c r="M7" i="44"/>
  <c r="P7" i="44" s="1"/>
  <c r="H7" i="44"/>
  <c r="H17" i="44" l="1"/>
  <c r="P17" i="44"/>
  <c r="AB18" i="44"/>
  <c r="M17" i="44"/>
  <c r="P20" i="44" s="1"/>
  <c r="G14" i="43"/>
  <c r="H9" i="43"/>
  <c r="M9" i="43"/>
  <c r="P9" i="43" s="1"/>
  <c r="AA18" i="43"/>
  <c r="O17" i="43"/>
  <c r="N17" i="43"/>
  <c r="L17" i="43"/>
  <c r="I17" i="43"/>
  <c r="AA16" i="43"/>
  <c r="Z16" i="43"/>
  <c r="Z18" i="43" s="1"/>
  <c r="Y16" i="43"/>
  <c r="Y18" i="43" s="1"/>
  <c r="X16" i="43"/>
  <c r="X18" i="43" s="1"/>
  <c r="W16" i="43"/>
  <c r="W18" i="43" s="1"/>
  <c r="V16" i="43"/>
  <c r="V18" i="43" s="1"/>
  <c r="U16" i="43"/>
  <c r="U18" i="43" s="1"/>
  <c r="T16" i="43"/>
  <c r="T18" i="43" s="1"/>
  <c r="M16" i="43"/>
  <c r="P16" i="43" s="1"/>
  <c r="H15" i="43"/>
  <c r="M15" i="43" s="1"/>
  <c r="P15" i="43" s="1"/>
  <c r="H14" i="43"/>
  <c r="H13" i="43"/>
  <c r="M13" i="43" s="1"/>
  <c r="P13" i="43" s="1"/>
  <c r="H12" i="43"/>
  <c r="M12" i="43" s="1"/>
  <c r="P12" i="43" s="1"/>
  <c r="H11" i="43"/>
  <c r="M11" i="43" s="1"/>
  <c r="P11" i="43" s="1"/>
  <c r="M10" i="43"/>
  <c r="P10" i="43" s="1"/>
  <c r="H10" i="43"/>
  <c r="H8" i="43"/>
  <c r="M8" i="43" s="1"/>
  <c r="P8" i="43" s="1"/>
  <c r="H7" i="43"/>
  <c r="AB18" i="43" l="1"/>
  <c r="M14" i="43"/>
  <c r="P14" i="43" s="1"/>
  <c r="H17" i="43"/>
  <c r="M7" i="43"/>
  <c r="H9" i="42"/>
  <c r="M9" i="42"/>
  <c r="P9" i="42" s="1"/>
  <c r="G14" i="42"/>
  <c r="Y18" i="42"/>
  <c r="O17" i="42"/>
  <c r="N17" i="42"/>
  <c r="L17" i="42"/>
  <c r="I17" i="42"/>
  <c r="AA16" i="42"/>
  <c r="AA18" i="42" s="1"/>
  <c r="Z16" i="42"/>
  <c r="Z18" i="42" s="1"/>
  <c r="Y16" i="42"/>
  <c r="X16" i="42"/>
  <c r="X18" i="42" s="1"/>
  <c r="W16" i="42"/>
  <c r="W18" i="42" s="1"/>
  <c r="V16" i="42"/>
  <c r="V18" i="42" s="1"/>
  <c r="U16" i="42"/>
  <c r="U18" i="42" s="1"/>
  <c r="T16" i="42"/>
  <c r="T18" i="42" s="1"/>
  <c r="M16" i="42"/>
  <c r="P16" i="42" s="1"/>
  <c r="M15" i="42"/>
  <c r="P15" i="42" s="1"/>
  <c r="H15" i="42"/>
  <c r="H14" i="42"/>
  <c r="H13" i="42"/>
  <c r="M13" i="42" s="1"/>
  <c r="P13" i="42" s="1"/>
  <c r="H12" i="42"/>
  <c r="M12" i="42" s="1"/>
  <c r="P12" i="42" s="1"/>
  <c r="M11" i="42"/>
  <c r="P11" i="42" s="1"/>
  <c r="H11" i="42"/>
  <c r="H10" i="42"/>
  <c r="M10" i="42" s="1"/>
  <c r="P10" i="42" s="1"/>
  <c r="H8" i="42"/>
  <c r="M8" i="42" s="1"/>
  <c r="P8" i="42" s="1"/>
  <c r="M7" i="42"/>
  <c r="H7" i="42"/>
  <c r="M17" i="43" l="1"/>
  <c r="P20" i="43" s="1"/>
  <c r="P7" i="43"/>
  <c r="P17" i="43" s="1"/>
  <c r="AB18" i="42"/>
  <c r="M14" i="42"/>
  <c r="P14" i="42" s="1"/>
  <c r="M17" i="42"/>
  <c r="P20" i="42" s="1"/>
  <c r="H17" i="42"/>
  <c r="P7" i="42"/>
  <c r="P17" i="42" s="1"/>
  <c r="H9" i="41"/>
  <c r="M9" i="41" s="1"/>
  <c r="P9" i="41" s="1"/>
  <c r="U18" i="41"/>
  <c r="O17" i="41"/>
  <c r="N17" i="41"/>
  <c r="L17" i="41"/>
  <c r="I17" i="41"/>
  <c r="AA16" i="41"/>
  <c r="AA18" i="41" s="1"/>
  <c r="Z16" i="41"/>
  <c r="Z18" i="41" s="1"/>
  <c r="Y16" i="41"/>
  <c r="Y18" i="41" s="1"/>
  <c r="X16" i="41"/>
  <c r="X18" i="41" s="1"/>
  <c r="W16" i="41"/>
  <c r="W18" i="41" s="1"/>
  <c r="V16" i="41"/>
  <c r="V18" i="41" s="1"/>
  <c r="U16" i="41"/>
  <c r="T16" i="41"/>
  <c r="T18" i="41" s="1"/>
  <c r="P16" i="41"/>
  <c r="M16" i="41"/>
  <c r="H15" i="41"/>
  <c r="M15" i="41" s="1"/>
  <c r="P15" i="41" s="1"/>
  <c r="H14" i="41"/>
  <c r="M14" i="41" s="1"/>
  <c r="P14" i="41" s="1"/>
  <c r="H13" i="41"/>
  <c r="M13" i="41" s="1"/>
  <c r="P13" i="41" s="1"/>
  <c r="H12" i="41"/>
  <c r="M12" i="41" s="1"/>
  <c r="P12" i="41" s="1"/>
  <c r="M11" i="41"/>
  <c r="P11" i="41" s="1"/>
  <c r="H11" i="41"/>
  <c r="H10" i="41"/>
  <c r="M10" i="41" s="1"/>
  <c r="P10" i="41" s="1"/>
  <c r="H8" i="41"/>
  <c r="M8" i="41" s="1"/>
  <c r="P8" i="41" s="1"/>
  <c r="M7" i="41"/>
  <c r="P7" i="41" s="1"/>
  <c r="H7" i="41"/>
  <c r="P17" i="41" l="1"/>
  <c r="AB18" i="41"/>
  <c r="M17" i="41"/>
  <c r="P20" i="41" s="1"/>
  <c r="H17" i="41"/>
  <c r="M17" i="40"/>
  <c r="G14" i="40"/>
  <c r="M14" i="40" s="1"/>
  <c r="P14" i="40" s="1"/>
  <c r="H9" i="40"/>
  <c r="M9" i="40" s="1"/>
  <c r="P9" i="40" s="1"/>
  <c r="O17" i="40"/>
  <c r="N17" i="40"/>
  <c r="L17" i="40"/>
  <c r="I17" i="40"/>
  <c r="AA16" i="40"/>
  <c r="AA18" i="40" s="1"/>
  <c r="Z16" i="40"/>
  <c r="Z18" i="40" s="1"/>
  <c r="Y16" i="40"/>
  <c r="Y18" i="40" s="1"/>
  <c r="X16" i="40"/>
  <c r="X18" i="40" s="1"/>
  <c r="W16" i="40"/>
  <c r="W18" i="40" s="1"/>
  <c r="V16" i="40"/>
  <c r="V18" i="40" s="1"/>
  <c r="U16" i="40"/>
  <c r="U18" i="40" s="1"/>
  <c r="T16" i="40"/>
  <c r="T18" i="40" s="1"/>
  <c r="M16" i="40"/>
  <c r="P16" i="40" s="1"/>
  <c r="H15" i="40"/>
  <c r="M15" i="40" s="1"/>
  <c r="P15" i="40" s="1"/>
  <c r="H14" i="40"/>
  <c r="M13" i="40"/>
  <c r="P13" i="40" s="1"/>
  <c r="H13" i="40"/>
  <c r="H12" i="40"/>
  <c r="M12" i="40" s="1"/>
  <c r="P12" i="40" s="1"/>
  <c r="H11" i="40"/>
  <c r="M11" i="40" s="1"/>
  <c r="P11" i="40" s="1"/>
  <c r="H10" i="40"/>
  <c r="M10" i="40" s="1"/>
  <c r="P10" i="40" s="1"/>
  <c r="H8" i="40"/>
  <c r="M8" i="40" s="1"/>
  <c r="P8" i="40" s="1"/>
  <c r="H7" i="40"/>
  <c r="AB18" i="40" l="1"/>
  <c r="H17" i="40"/>
  <c r="M7" i="40"/>
  <c r="M14" i="39"/>
  <c r="H9" i="39"/>
  <c r="M9" i="39" s="1"/>
  <c r="P9" i="39" s="1"/>
  <c r="Y18" i="39"/>
  <c r="V18" i="39"/>
  <c r="O17" i="39"/>
  <c r="N17" i="39"/>
  <c r="L17" i="39"/>
  <c r="I17" i="39"/>
  <c r="AA16" i="39"/>
  <c r="AA18" i="39" s="1"/>
  <c r="Z16" i="39"/>
  <c r="Z18" i="39" s="1"/>
  <c r="Y16" i="39"/>
  <c r="X16" i="39"/>
  <c r="X18" i="39" s="1"/>
  <c r="W16" i="39"/>
  <c r="W18" i="39" s="1"/>
  <c r="V16" i="39"/>
  <c r="U16" i="39"/>
  <c r="U18" i="39" s="1"/>
  <c r="T16" i="39"/>
  <c r="T18" i="39" s="1"/>
  <c r="M16" i="39"/>
  <c r="P16" i="39" s="1"/>
  <c r="M15" i="39"/>
  <c r="P15" i="39" s="1"/>
  <c r="H15" i="39"/>
  <c r="H14" i="39"/>
  <c r="G14" i="39"/>
  <c r="H13" i="39"/>
  <c r="M13" i="39" s="1"/>
  <c r="P13" i="39" s="1"/>
  <c r="H12" i="39"/>
  <c r="M12" i="39" s="1"/>
  <c r="P12" i="39" s="1"/>
  <c r="P11" i="39"/>
  <c r="M11" i="39"/>
  <c r="H11" i="39"/>
  <c r="M10" i="39"/>
  <c r="P10" i="39" s="1"/>
  <c r="H10" i="39"/>
  <c r="H8" i="39"/>
  <c r="M8" i="39" s="1"/>
  <c r="P8" i="39" s="1"/>
  <c r="P7" i="39"/>
  <c r="M7" i="39"/>
  <c r="H7" i="39"/>
  <c r="P7" i="40" l="1"/>
  <c r="P17" i="40" s="1"/>
  <c r="P20" i="40"/>
  <c r="P14" i="39"/>
  <c r="M17" i="39"/>
  <c r="P20" i="39" s="1"/>
  <c r="AB18" i="39"/>
  <c r="P17" i="39"/>
  <c r="H17" i="39"/>
  <c r="M14" i="38"/>
  <c r="H9" i="38"/>
  <c r="M9" i="38" s="1"/>
  <c r="P9" i="38" s="1"/>
  <c r="W18" i="38"/>
  <c r="O17" i="38"/>
  <c r="N17" i="38"/>
  <c r="L17" i="38"/>
  <c r="I17" i="38"/>
  <c r="AA16" i="38"/>
  <c r="AA18" i="38" s="1"/>
  <c r="Z16" i="38"/>
  <c r="Z18" i="38" s="1"/>
  <c r="Y16" i="38"/>
  <c r="Y18" i="38" s="1"/>
  <c r="X16" i="38"/>
  <c r="X18" i="38" s="1"/>
  <c r="W16" i="38"/>
  <c r="V16" i="38"/>
  <c r="V18" i="38" s="1"/>
  <c r="U16" i="38"/>
  <c r="U18" i="38" s="1"/>
  <c r="T16" i="38"/>
  <c r="T18" i="38" s="1"/>
  <c r="M16" i="38"/>
  <c r="P16" i="38" s="1"/>
  <c r="H15" i="38"/>
  <c r="M15" i="38" s="1"/>
  <c r="P15" i="38" s="1"/>
  <c r="H14" i="38"/>
  <c r="G14" i="38"/>
  <c r="M13" i="38"/>
  <c r="P13" i="38" s="1"/>
  <c r="H13" i="38"/>
  <c r="H12" i="38"/>
  <c r="M12" i="38" s="1"/>
  <c r="P12" i="38" s="1"/>
  <c r="H11" i="38"/>
  <c r="M11" i="38" s="1"/>
  <c r="P11" i="38" s="1"/>
  <c r="H10" i="38"/>
  <c r="M10" i="38" s="1"/>
  <c r="P10" i="38" s="1"/>
  <c r="H8" i="38"/>
  <c r="M8" i="38" s="1"/>
  <c r="P8" i="38" s="1"/>
  <c r="H7" i="38"/>
  <c r="AB18" i="38" l="1"/>
  <c r="P14" i="38"/>
  <c r="H17" i="38"/>
  <c r="M7" i="38"/>
  <c r="M14" i="37"/>
  <c r="H9" i="37"/>
  <c r="H10" i="37"/>
  <c r="M10" i="37" s="1"/>
  <c r="P10" i="37" s="1"/>
  <c r="O17" i="37"/>
  <c r="N17" i="37"/>
  <c r="L17" i="37"/>
  <c r="I17" i="37"/>
  <c r="AA16" i="37"/>
  <c r="AA18" i="37" s="1"/>
  <c r="Z16" i="37"/>
  <c r="Z18" i="37" s="1"/>
  <c r="Y16" i="37"/>
  <c r="Y18" i="37" s="1"/>
  <c r="X16" i="37"/>
  <c r="X18" i="37" s="1"/>
  <c r="W16" i="37"/>
  <c r="W18" i="37" s="1"/>
  <c r="V16" i="37"/>
  <c r="V18" i="37" s="1"/>
  <c r="U16" i="37"/>
  <c r="U18" i="37" s="1"/>
  <c r="T16" i="37"/>
  <c r="T18" i="37" s="1"/>
  <c r="M16" i="37"/>
  <c r="P16" i="37" s="1"/>
  <c r="M15" i="37"/>
  <c r="P15" i="37" s="1"/>
  <c r="H15" i="37"/>
  <c r="H14" i="37"/>
  <c r="G14" i="37"/>
  <c r="H13" i="37"/>
  <c r="M13" i="37" s="1"/>
  <c r="P13" i="37" s="1"/>
  <c r="H12" i="37"/>
  <c r="M12" i="37" s="1"/>
  <c r="P12" i="37" s="1"/>
  <c r="H11" i="37"/>
  <c r="M11" i="37" s="1"/>
  <c r="P11" i="37" s="1"/>
  <c r="M9" i="37"/>
  <c r="P9" i="37" s="1"/>
  <c r="H8" i="37"/>
  <c r="M8" i="37" s="1"/>
  <c r="P8" i="37" s="1"/>
  <c r="H7" i="37"/>
  <c r="P7" i="38" l="1"/>
  <c r="P17" i="38" s="1"/>
  <c r="M17" i="38"/>
  <c r="P20" i="38" s="1"/>
  <c r="AB18" i="37"/>
  <c r="P14" i="37"/>
  <c r="H17" i="37"/>
  <c r="M7" i="37"/>
  <c r="M14" i="36"/>
  <c r="G14" i="36"/>
  <c r="P14" i="36" s="1"/>
  <c r="H9" i="36"/>
  <c r="M9" i="36"/>
  <c r="P9" i="36" s="1"/>
  <c r="W18" i="36"/>
  <c r="O17" i="36"/>
  <c r="N17" i="36"/>
  <c r="L17" i="36"/>
  <c r="I17" i="36"/>
  <c r="AA16" i="36"/>
  <c r="AA18" i="36" s="1"/>
  <c r="Z16" i="36"/>
  <c r="Z18" i="36" s="1"/>
  <c r="Y16" i="36"/>
  <c r="Y18" i="36" s="1"/>
  <c r="X16" i="36"/>
  <c r="X18" i="36" s="1"/>
  <c r="W16" i="36"/>
  <c r="V16" i="36"/>
  <c r="V18" i="36" s="1"/>
  <c r="U16" i="36"/>
  <c r="U18" i="36" s="1"/>
  <c r="T16" i="36"/>
  <c r="T18" i="36" s="1"/>
  <c r="M16" i="36"/>
  <c r="P16" i="36" s="1"/>
  <c r="H15" i="36"/>
  <c r="M15" i="36" s="1"/>
  <c r="P15" i="36" s="1"/>
  <c r="H14" i="36"/>
  <c r="H13" i="36"/>
  <c r="M13" i="36" s="1"/>
  <c r="P13" i="36" s="1"/>
  <c r="H12" i="36"/>
  <c r="M12" i="36" s="1"/>
  <c r="P12" i="36" s="1"/>
  <c r="H11" i="36"/>
  <c r="M11" i="36" s="1"/>
  <c r="P11" i="36" s="1"/>
  <c r="M10" i="36"/>
  <c r="P10" i="36" s="1"/>
  <c r="H10" i="36"/>
  <c r="H8" i="36"/>
  <c r="M8" i="36" s="1"/>
  <c r="P8" i="36" s="1"/>
  <c r="H7" i="36"/>
  <c r="M17" i="37" l="1"/>
  <c r="P20" i="37" s="1"/>
  <c r="P7" i="37"/>
  <c r="P17" i="37" s="1"/>
  <c r="H17" i="36"/>
  <c r="AB18" i="36"/>
  <c r="M7" i="36"/>
  <c r="M14" i="35"/>
  <c r="P14" i="35" s="1"/>
  <c r="H9" i="35"/>
  <c r="M9" i="35" s="1"/>
  <c r="P9" i="35" s="1"/>
  <c r="Z18" i="35"/>
  <c r="O17" i="35"/>
  <c r="N17" i="35"/>
  <c r="L17" i="35"/>
  <c r="I17" i="35"/>
  <c r="AA16" i="35"/>
  <c r="AA18" i="35" s="1"/>
  <c r="Z16" i="35"/>
  <c r="Y16" i="35"/>
  <c r="Y18" i="35" s="1"/>
  <c r="X16" i="35"/>
  <c r="X18" i="35" s="1"/>
  <c r="W16" i="35"/>
  <c r="W18" i="35" s="1"/>
  <c r="V16" i="35"/>
  <c r="V18" i="35" s="1"/>
  <c r="U16" i="35"/>
  <c r="U18" i="35" s="1"/>
  <c r="T16" i="35"/>
  <c r="T18" i="35" s="1"/>
  <c r="P16" i="35"/>
  <c r="M16" i="35"/>
  <c r="H15" i="35"/>
  <c r="M15" i="35" s="1"/>
  <c r="P15" i="35" s="1"/>
  <c r="H14" i="35"/>
  <c r="M13" i="35"/>
  <c r="P13" i="35" s="1"/>
  <c r="H13" i="35"/>
  <c r="H12" i="35"/>
  <c r="M12" i="35" s="1"/>
  <c r="P12" i="35" s="1"/>
  <c r="M11" i="35"/>
  <c r="P11" i="35" s="1"/>
  <c r="H11" i="35"/>
  <c r="H10" i="35"/>
  <c r="M10" i="35" s="1"/>
  <c r="P10" i="35" s="1"/>
  <c r="H8" i="35"/>
  <c r="M8" i="35" s="1"/>
  <c r="P8" i="35" s="1"/>
  <c r="M7" i="35"/>
  <c r="P7" i="35" s="1"/>
  <c r="H7" i="35"/>
  <c r="M14" i="34"/>
  <c r="H9" i="34"/>
  <c r="M9" i="34" s="1"/>
  <c r="P9" i="34" s="1"/>
  <c r="Z18" i="34"/>
  <c r="O17" i="34"/>
  <c r="N17" i="34"/>
  <c r="L17" i="34"/>
  <c r="I17" i="34"/>
  <c r="AA16" i="34"/>
  <c r="AA18" i="34" s="1"/>
  <c r="Z16" i="34"/>
  <c r="Y16" i="34"/>
  <c r="Y18" i="34" s="1"/>
  <c r="X16" i="34"/>
  <c r="X18" i="34" s="1"/>
  <c r="W16" i="34"/>
  <c r="W18" i="34" s="1"/>
  <c r="V16" i="34"/>
  <c r="V18" i="34" s="1"/>
  <c r="U16" i="34"/>
  <c r="U18" i="34" s="1"/>
  <c r="T16" i="34"/>
  <c r="T18" i="34" s="1"/>
  <c r="P16" i="34"/>
  <c r="M16" i="34"/>
  <c r="H15" i="34"/>
  <c r="M15" i="34" s="1"/>
  <c r="P15" i="34" s="1"/>
  <c r="H14" i="34"/>
  <c r="G14" i="34"/>
  <c r="P14" i="34" s="1"/>
  <c r="M13" i="34"/>
  <c r="P13" i="34" s="1"/>
  <c r="H13" i="34"/>
  <c r="H12" i="34"/>
  <c r="M12" i="34" s="1"/>
  <c r="P12" i="34" s="1"/>
  <c r="M11" i="34"/>
  <c r="P11" i="34" s="1"/>
  <c r="H11" i="34"/>
  <c r="H10" i="34"/>
  <c r="M10" i="34" s="1"/>
  <c r="P10" i="34" s="1"/>
  <c r="H8" i="34"/>
  <c r="M7" i="34"/>
  <c r="P7" i="34" s="1"/>
  <c r="H7" i="34"/>
  <c r="H9" i="33"/>
  <c r="M14" i="33"/>
  <c r="V18" i="33"/>
  <c r="O17" i="33"/>
  <c r="N17" i="33"/>
  <c r="L17" i="33"/>
  <c r="I17" i="33"/>
  <c r="AA16" i="33"/>
  <c r="AA18" i="33" s="1"/>
  <c r="Z16" i="33"/>
  <c r="Z18" i="33" s="1"/>
  <c r="Y16" i="33"/>
  <c r="Y18" i="33" s="1"/>
  <c r="X16" i="33"/>
  <c r="X18" i="33" s="1"/>
  <c r="W16" i="33"/>
  <c r="W18" i="33" s="1"/>
  <c r="V16" i="33"/>
  <c r="U16" i="33"/>
  <c r="U18" i="33" s="1"/>
  <c r="T16" i="33"/>
  <c r="T18" i="33" s="1"/>
  <c r="M16" i="33"/>
  <c r="P16" i="33" s="1"/>
  <c r="H15" i="33"/>
  <c r="M15" i="33" s="1"/>
  <c r="P15" i="33" s="1"/>
  <c r="H14" i="33"/>
  <c r="G14" i="33"/>
  <c r="P14" i="33" s="1"/>
  <c r="M13" i="33"/>
  <c r="P13" i="33" s="1"/>
  <c r="H13" i="33"/>
  <c r="H12" i="33"/>
  <c r="M12" i="33" s="1"/>
  <c r="P12" i="33" s="1"/>
  <c r="H11" i="33"/>
  <c r="M11" i="33" s="1"/>
  <c r="P11" i="33" s="1"/>
  <c r="H10" i="33"/>
  <c r="M10" i="33" s="1"/>
  <c r="P10" i="33" s="1"/>
  <c r="M9" i="33"/>
  <c r="P9" i="33" s="1"/>
  <c r="H8" i="33"/>
  <c r="M8" i="33" s="1"/>
  <c r="P8" i="33" s="1"/>
  <c r="H7" i="33"/>
  <c r="M9" i="32"/>
  <c r="P9" i="32" s="1"/>
  <c r="M14" i="32"/>
  <c r="H9" i="32"/>
  <c r="O17" i="32"/>
  <c r="N17" i="32"/>
  <c r="L17" i="32"/>
  <c r="I17" i="32"/>
  <c r="AA16" i="32"/>
  <c r="AA18" i="32" s="1"/>
  <c r="Z16" i="32"/>
  <c r="Z18" i="32" s="1"/>
  <c r="Y16" i="32"/>
  <c r="Y18" i="32" s="1"/>
  <c r="X16" i="32"/>
  <c r="X18" i="32" s="1"/>
  <c r="W16" i="32"/>
  <c r="W18" i="32" s="1"/>
  <c r="V16" i="32"/>
  <c r="V18" i="32" s="1"/>
  <c r="U16" i="32"/>
  <c r="U18" i="32" s="1"/>
  <c r="T16" i="32"/>
  <c r="T18" i="32" s="1"/>
  <c r="P16" i="32"/>
  <c r="M16" i="32"/>
  <c r="M15" i="32"/>
  <c r="P15" i="32" s="1"/>
  <c r="H15" i="32"/>
  <c r="H14" i="32"/>
  <c r="G14" i="32"/>
  <c r="H13" i="32"/>
  <c r="M13" i="32" s="1"/>
  <c r="P13" i="32" s="1"/>
  <c r="H12" i="32"/>
  <c r="M12" i="32" s="1"/>
  <c r="P12" i="32" s="1"/>
  <c r="P11" i="32"/>
  <c r="M11" i="32"/>
  <c r="H11" i="32"/>
  <c r="H10" i="32"/>
  <c r="M10" i="32" s="1"/>
  <c r="P10" i="32" s="1"/>
  <c r="H8" i="32"/>
  <c r="M8" i="32" s="1"/>
  <c r="P8" i="32" s="1"/>
  <c r="P7" i="32"/>
  <c r="M7" i="32"/>
  <c r="H7" i="32"/>
  <c r="M9" i="31"/>
  <c r="H14" i="31"/>
  <c r="M14" i="31"/>
  <c r="W18" i="31"/>
  <c r="U18" i="31"/>
  <c r="O17" i="31"/>
  <c r="N17" i="31"/>
  <c r="L17" i="31"/>
  <c r="I17" i="31"/>
  <c r="AA16" i="31"/>
  <c r="AA18" i="31" s="1"/>
  <c r="Z16" i="31"/>
  <c r="Z18" i="31" s="1"/>
  <c r="Y16" i="31"/>
  <c r="Y18" i="31" s="1"/>
  <c r="X16" i="31"/>
  <c r="X18" i="31" s="1"/>
  <c r="W16" i="31"/>
  <c r="V16" i="31"/>
  <c r="V18" i="31" s="1"/>
  <c r="U16" i="31"/>
  <c r="T16" i="31"/>
  <c r="T18" i="31" s="1"/>
  <c r="M16" i="31"/>
  <c r="P16" i="31" s="1"/>
  <c r="M15" i="31"/>
  <c r="P15" i="31" s="1"/>
  <c r="H15" i="31"/>
  <c r="P14" i="31"/>
  <c r="G14" i="31"/>
  <c r="H13" i="31"/>
  <c r="M13" i="31" s="1"/>
  <c r="P13" i="31" s="1"/>
  <c r="H12" i="31"/>
  <c r="M12" i="31" s="1"/>
  <c r="P12" i="31" s="1"/>
  <c r="H11" i="31"/>
  <c r="M11" i="31" s="1"/>
  <c r="P11" i="31" s="1"/>
  <c r="H10" i="31"/>
  <c r="M10" i="31" s="1"/>
  <c r="P10" i="31" s="1"/>
  <c r="H9" i="31"/>
  <c r="P9" i="31" s="1"/>
  <c r="H8" i="31"/>
  <c r="M8" i="31" s="1"/>
  <c r="P8" i="31" s="1"/>
  <c r="H7" i="31"/>
  <c r="M7" i="31" s="1"/>
  <c r="M14" i="30"/>
  <c r="W18" i="30"/>
  <c r="O17" i="30"/>
  <c r="N17" i="30"/>
  <c r="L17" i="30"/>
  <c r="I17" i="30"/>
  <c r="AA16" i="30"/>
  <c r="AA18" i="30" s="1"/>
  <c r="Z16" i="30"/>
  <c r="Z18" i="30" s="1"/>
  <c r="Y16" i="30"/>
  <c r="Y18" i="30" s="1"/>
  <c r="X16" i="30"/>
  <c r="X18" i="30" s="1"/>
  <c r="W16" i="30"/>
  <c r="V16" i="30"/>
  <c r="V18" i="30" s="1"/>
  <c r="U16" i="30"/>
  <c r="U18" i="30" s="1"/>
  <c r="T16" i="30"/>
  <c r="T18" i="30" s="1"/>
  <c r="M16" i="30"/>
  <c r="P16" i="30" s="1"/>
  <c r="H15" i="30"/>
  <c r="M15" i="30" s="1"/>
  <c r="P15" i="30" s="1"/>
  <c r="H14" i="30"/>
  <c r="G14" i="30"/>
  <c r="P13" i="30"/>
  <c r="M13" i="30"/>
  <c r="H13" i="30"/>
  <c r="M12" i="30"/>
  <c r="P12" i="30" s="1"/>
  <c r="H12" i="30"/>
  <c r="H11" i="30"/>
  <c r="M11" i="30" s="1"/>
  <c r="P11" i="30" s="1"/>
  <c r="H10" i="30"/>
  <c r="M10" i="30" s="1"/>
  <c r="P10" i="30" s="1"/>
  <c r="H9" i="30"/>
  <c r="M9" i="30" s="1"/>
  <c r="P9" i="30" s="1"/>
  <c r="M8" i="30"/>
  <c r="P8" i="30" s="1"/>
  <c r="H8" i="30"/>
  <c r="H7" i="30"/>
  <c r="H17" i="30" s="1"/>
  <c r="M14" i="29"/>
  <c r="H14" i="29"/>
  <c r="H9" i="29"/>
  <c r="M9" i="29" s="1"/>
  <c r="P9" i="29" s="1"/>
  <c r="X18" i="29"/>
  <c r="O17" i="29"/>
  <c r="N17" i="29"/>
  <c r="L17" i="29"/>
  <c r="I17" i="29"/>
  <c r="AA16" i="29"/>
  <c r="AA18" i="29" s="1"/>
  <c r="Z16" i="29"/>
  <c r="Z18" i="29" s="1"/>
  <c r="Y16" i="29"/>
  <c r="Y18" i="29" s="1"/>
  <c r="X16" i="29"/>
  <c r="W16" i="29"/>
  <c r="W18" i="29" s="1"/>
  <c r="V16" i="29"/>
  <c r="V18" i="29" s="1"/>
  <c r="U16" i="29"/>
  <c r="U18" i="29" s="1"/>
  <c r="T16" i="29"/>
  <c r="T18" i="29" s="1"/>
  <c r="M16" i="29"/>
  <c r="P16" i="29" s="1"/>
  <c r="H15" i="29"/>
  <c r="M15" i="29" s="1"/>
  <c r="P15" i="29" s="1"/>
  <c r="G14" i="29"/>
  <c r="H13" i="29"/>
  <c r="M13" i="29" s="1"/>
  <c r="P13" i="29" s="1"/>
  <c r="M12" i="29"/>
  <c r="P12" i="29" s="1"/>
  <c r="H12" i="29"/>
  <c r="H11" i="29"/>
  <c r="M11" i="29" s="1"/>
  <c r="P11" i="29" s="1"/>
  <c r="H10" i="29"/>
  <c r="M10" i="29" s="1"/>
  <c r="P10" i="29" s="1"/>
  <c r="M8" i="29"/>
  <c r="P8" i="29" s="1"/>
  <c r="H8" i="29"/>
  <c r="H7" i="29"/>
  <c r="M14" i="28"/>
  <c r="G14" i="28"/>
  <c r="G14" i="26"/>
  <c r="X18" i="28"/>
  <c r="U18" i="28"/>
  <c r="O17" i="28"/>
  <c r="N17" i="28"/>
  <c r="L17" i="28"/>
  <c r="I17" i="28"/>
  <c r="AA16" i="28"/>
  <c r="AA18" i="28" s="1"/>
  <c r="Z16" i="28"/>
  <c r="Z18" i="28" s="1"/>
  <c r="Y16" i="28"/>
  <c r="Y18" i="28" s="1"/>
  <c r="X16" i="28"/>
  <c r="W16" i="28"/>
  <c r="W18" i="28" s="1"/>
  <c r="V16" i="28"/>
  <c r="V18" i="28" s="1"/>
  <c r="U16" i="28"/>
  <c r="T16" i="28"/>
  <c r="T18" i="28" s="1"/>
  <c r="P16" i="28"/>
  <c r="M16" i="28"/>
  <c r="H15" i="28"/>
  <c r="M15" i="28" s="1"/>
  <c r="P15" i="28" s="1"/>
  <c r="H14" i="28"/>
  <c r="H13" i="28"/>
  <c r="M13" i="28" s="1"/>
  <c r="P13" i="28" s="1"/>
  <c r="M12" i="28"/>
  <c r="P12" i="28" s="1"/>
  <c r="H12" i="28"/>
  <c r="H11" i="28"/>
  <c r="M11" i="28" s="1"/>
  <c r="P11" i="28" s="1"/>
  <c r="H10" i="28"/>
  <c r="M10" i="28" s="1"/>
  <c r="P10" i="28" s="1"/>
  <c r="H9" i="28"/>
  <c r="M9" i="28" s="1"/>
  <c r="P9" i="28" s="1"/>
  <c r="M8" i="28"/>
  <c r="P8" i="28" s="1"/>
  <c r="H8" i="28"/>
  <c r="H7" i="28"/>
  <c r="H17" i="28" s="1"/>
  <c r="M14" i="27"/>
  <c r="O17" i="27"/>
  <c r="N17" i="27"/>
  <c r="L17" i="27"/>
  <c r="I17" i="27"/>
  <c r="AA16" i="27"/>
  <c r="AA18" i="27" s="1"/>
  <c r="Z16" i="27"/>
  <c r="Z18" i="27" s="1"/>
  <c r="Y16" i="27"/>
  <c r="Y18" i="27" s="1"/>
  <c r="X16" i="27"/>
  <c r="X18" i="27" s="1"/>
  <c r="W16" i="27"/>
  <c r="W18" i="27" s="1"/>
  <c r="V16" i="27"/>
  <c r="V18" i="27" s="1"/>
  <c r="U16" i="27"/>
  <c r="U18" i="27" s="1"/>
  <c r="T16" i="27"/>
  <c r="T18" i="27" s="1"/>
  <c r="P16" i="27"/>
  <c r="M16" i="27"/>
  <c r="H15" i="27"/>
  <c r="M15" i="27" s="1"/>
  <c r="P15" i="27" s="1"/>
  <c r="H14" i="27"/>
  <c r="H13" i="27"/>
  <c r="M13" i="27" s="1"/>
  <c r="P13" i="27" s="1"/>
  <c r="H12" i="27"/>
  <c r="M12" i="27" s="1"/>
  <c r="P12" i="27" s="1"/>
  <c r="M11" i="27"/>
  <c r="P11" i="27" s="1"/>
  <c r="H11" i="27"/>
  <c r="H10" i="27"/>
  <c r="M10" i="27" s="1"/>
  <c r="P10" i="27" s="1"/>
  <c r="H9" i="27"/>
  <c r="M9" i="27" s="1"/>
  <c r="P9" i="27" s="1"/>
  <c r="H8" i="27"/>
  <c r="M8" i="27" s="1"/>
  <c r="P8" i="27" s="1"/>
  <c r="M7" i="27"/>
  <c r="H7" i="27"/>
  <c r="H11" i="26"/>
  <c r="H9" i="26"/>
  <c r="M17" i="36" l="1"/>
  <c r="P20" i="36" s="1"/>
  <c r="P7" i="36"/>
  <c r="P17" i="36" s="1"/>
  <c r="H17" i="35"/>
  <c r="AB18" i="35"/>
  <c r="P17" i="35"/>
  <c r="M17" i="35"/>
  <c r="P20" i="35" s="1"/>
  <c r="AB18" i="34"/>
  <c r="H17" i="34"/>
  <c r="M8" i="34"/>
  <c r="P8" i="34" s="1"/>
  <c r="P17" i="34" s="1"/>
  <c r="AB18" i="33"/>
  <c r="H17" i="33"/>
  <c r="M7" i="33"/>
  <c r="P14" i="32"/>
  <c r="P17" i="32" s="1"/>
  <c r="AB18" i="32"/>
  <c r="H17" i="32"/>
  <c r="AB18" i="31"/>
  <c r="M17" i="31"/>
  <c r="P20" i="31" s="1"/>
  <c r="P7" i="31"/>
  <c r="P17" i="31" s="1"/>
  <c r="H17" i="31"/>
  <c r="P14" i="30"/>
  <c r="AB18" i="30"/>
  <c r="M7" i="30"/>
  <c r="P14" i="29"/>
  <c r="H17" i="29"/>
  <c r="AB18" i="29"/>
  <c r="M7" i="29"/>
  <c r="P14" i="28"/>
  <c r="AB18" i="28"/>
  <c r="M7" i="28"/>
  <c r="P14" i="27"/>
  <c r="M17" i="27"/>
  <c r="P20" i="27" s="1"/>
  <c r="AB18" i="27"/>
  <c r="P7" i="27"/>
  <c r="H17" i="27"/>
  <c r="M14" i="26"/>
  <c r="O17" i="26"/>
  <c r="N17" i="26"/>
  <c r="L17" i="26"/>
  <c r="I17" i="26"/>
  <c r="AA16" i="26"/>
  <c r="AA18" i="26" s="1"/>
  <c r="Z16" i="26"/>
  <c r="Z18" i="26" s="1"/>
  <c r="Y16" i="26"/>
  <c r="Y18" i="26" s="1"/>
  <c r="X16" i="26"/>
  <c r="X18" i="26" s="1"/>
  <c r="W16" i="26"/>
  <c r="W18" i="26" s="1"/>
  <c r="V16" i="26"/>
  <c r="V18" i="26" s="1"/>
  <c r="U16" i="26"/>
  <c r="U18" i="26" s="1"/>
  <c r="T16" i="26"/>
  <c r="T18" i="26" s="1"/>
  <c r="M16" i="26"/>
  <c r="P16" i="26" s="1"/>
  <c r="H15" i="26"/>
  <c r="M15" i="26" s="1"/>
  <c r="P15" i="26" s="1"/>
  <c r="H14" i="26"/>
  <c r="H13" i="26"/>
  <c r="M13" i="26" s="1"/>
  <c r="P13" i="26" s="1"/>
  <c r="H12" i="26"/>
  <c r="M12" i="26" s="1"/>
  <c r="P12" i="26" s="1"/>
  <c r="M11" i="26"/>
  <c r="P11" i="26" s="1"/>
  <c r="H10" i="26"/>
  <c r="M10" i="26" s="1"/>
  <c r="H8" i="26"/>
  <c r="M8" i="26" s="1"/>
  <c r="P8" i="26" s="1"/>
  <c r="M7" i="26"/>
  <c r="H7" i="26"/>
  <c r="H9" i="24"/>
  <c r="M9" i="24" s="1"/>
  <c r="P9" i="24" s="1"/>
  <c r="M14" i="24"/>
  <c r="P14" i="24" s="1"/>
  <c r="H11" i="24"/>
  <c r="M11" i="24" s="1"/>
  <c r="P11" i="24" s="1"/>
  <c r="O17" i="24"/>
  <c r="N17" i="24"/>
  <c r="L17" i="24"/>
  <c r="I17" i="24"/>
  <c r="AA16" i="24"/>
  <c r="AA18" i="24" s="1"/>
  <c r="Z16" i="24"/>
  <c r="Z18" i="24" s="1"/>
  <c r="Y16" i="24"/>
  <c r="Y18" i="24" s="1"/>
  <c r="X16" i="24"/>
  <c r="X18" i="24" s="1"/>
  <c r="W16" i="24"/>
  <c r="W18" i="24" s="1"/>
  <c r="V16" i="24"/>
  <c r="V18" i="24" s="1"/>
  <c r="U16" i="24"/>
  <c r="U18" i="24" s="1"/>
  <c r="T16" i="24"/>
  <c r="T18" i="24" s="1"/>
  <c r="M16" i="24"/>
  <c r="P16" i="24" s="1"/>
  <c r="P15" i="24"/>
  <c r="M15" i="24"/>
  <c r="H15" i="24"/>
  <c r="H14" i="24"/>
  <c r="G14" i="24"/>
  <c r="M13" i="24"/>
  <c r="P13" i="24" s="1"/>
  <c r="H13" i="24"/>
  <c r="H12" i="24"/>
  <c r="M12" i="24" s="1"/>
  <c r="P12" i="24" s="1"/>
  <c r="M10" i="24"/>
  <c r="P10" i="24" s="1"/>
  <c r="H10" i="24"/>
  <c r="H8" i="24"/>
  <c r="M8" i="24" s="1"/>
  <c r="P8" i="24" s="1"/>
  <c r="H7" i="24"/>
  <c r="H9" i="25"/>
  <c r="M9" i="25" s="1"/>
  <c r="P9" i="25" s="1"/>
  <c r="M14" i="25"/>
  <c r="H12" i="25"/>
  <c r="O17" i="25"/>
  <c r="N17" i="25"/>
  <c r="L17" i="25"/>
  <c r="I17" i="25"/>
  <c r="AA16" i="25"/>
  <c r="AA18" i="25" s="1"/>
  <c r="Z16" i="25"/>
  <c r="Z18" i="25" s="1"/>
  <c r="Y16" i="25"/>
  <c r="Y18" i="25" s="1"/>
  <c r="X16" i="25"/>
  <c r="X18" i="25" s="1"/>
  <c r="W16" i="25"/>
  <c r="W18" i="25" s="1"/>
  <c r="V16" i="25"/>
  <c r="V18" i="25" s="1"/>
  <c r="U16" i="25"/>
  <c r="U18" i="25" s="1"/>
  <c r="T16" i="25"/>
  <c r="T18" i="25" s="1"/>
  <c r="P16" i="25"/>
  <c r="M16" i="25"/>
  <c r="H15" i="25"/>
  <c r="M15" i="25" s="1"/>
  <c r="P15" i="25" s="1"/>
  <c r="H14" i="25"/>
  <c r="G14" i="25"/>
  <c r="P14" i="25" s="1"/>
  <c r="H13" i="25"/>
  <c r="M13" i="25" s="1"/>
  <c r="P13" i="25" s="1"/>
  <c r="M12" i="25"/>
  <c r="P12" i="25" s="1"/>
  <c r="M11" i="25"/>
  <c r="P11" i="25" s="1"/>
  <c r="H11" i="25"/>
  <c r="H10" i="25"/>
  <c r="M10" i="25" s="1"/>
  <c r="P10" i="25" s="1"/>
  <c r="H8" i="25"/>
  <c r="M8" i="25" s="1"/>
  <c r="P8" i="25" s="1"/>
  <c r="H7" i="25"/>
  <c r="M16" i="23"/>
  <c r="H11" i="23"/>
  <c r="H12" i="23"/>
  <c r="M12" i="23"/>
  <c r="P12" i="23" s="1"/>
  <c r="H9" i="23"/>
  <c r="M9" i="23" s="1"/>
  <c r="P9" i="23" s="1"/>
  <c r="O19" i="23"/>
  <c r="N19" i="23"/>
  <c r="L19" i="23"/>
  <c r="I19" i="23"/>
  <c r="AA18" i="23"/>
  <c r="AA20" i="23" s="1"/>
  <c r="Z18" i="23"/>
  <c r="Z20" i="23" s="1"/>
  <c r="Y18" i="23"/>
  <c r="Y20" i="23" s="1"/>
  <c r="X18" i="23"/>
  <c r="X20" i="23" s="1"/>
  <c r="W18" i="23"/>
  <c r="W20" i="23" s="1"/>
  <c r="V18" i="23"/>
  <c r="V20" i="23" s="1"/>
  <c r="U18" i="23"/>
  <c r="U20" i="23" s="1"/>
  <c r="T18" i="23"/>
  <c r="T20" i="23" s="1"/>
  <c r="P18" i="23"/>
  <c r="M18" i="23"/>
  <c r="H17" i="23"/>
  <c r="M17" i="23" s="1"/>
  <c r="P17" i="23" s="1"/>
  <c r="H16" i="23"/>
  <c r="G16" i="23"/>
  <c r="H15" i="23"/>
  <c r="M15" i="23" s="1"/>
  <c r="P15" i="23" s="1"/>
  <c r="H14" i="23"/>
  <c r="M14" i="23" s="1"/>
  <c r="P14" i="23" s="1"/>
  <c r="M13" i="23"/>
  <c r="P13" i="23" s="1"/>
  <c r="H13" i="23"/>
  <c r="M11" i="23"/>
  <c r="P11" i="23" s="1"/>
  <c r="H10" i="23"/>
  <c r="M10" i="23" s="1"/>
  <c r="P10" i="23" s="1"/>
  <c r="H8" i="23"/>
  <c r="M8" i="23" s="1"/>
  <c r="P8" i="23" s="1"/>
  <c r="H7" i="23"/>
  <c r="M16" i="21"/>
  <c r="H9" i="21"/>
  <c r="M9" i="21" s="1"/>
  <c r="P9" i="21" s="1"/>
  <c r="O19" i="21"/>
  <c r="N19" i="21"/>
  <c r="L19" i="21"/>
  <c r="I19" i="21"/>
  <c r="AA18" i="21"/>
  <c r="AA20" i="21" s="1"/>
  <c r="Z18" i="21"/>
  <c r="Z20" i="21" s="1"/>
  <c r="Y18" i="21"/>
  <c r="Y20" i="21" s="1"/>
  <c r="X18" i="21"/>
  <c r="X20" i="21" s="1"/>
  <c r="W18" i="21"/>
  <c r="W20" i="21" s="1"/>
  <c r="V18" i="21"/>
  <c r="V20" i="21" s="1"/>
  <c r="U18" i="21"/>
  <c r="U20" i="21" s="1"/>
  <c r="T18" i="21"/>
  <c r="T20" i="21" s="1"/>
  <c r="P18" i="21"/>
  <c r="M18" i="21"/>
  <c r="M17" i="21"/>
  <c r="P17" i="21" s="1"/>
  <c r="H17" i="21"/>
  <c r="H16" i="21"/>
  <c r="G16" i="21"/>
  <c r="H15" i="21"/>
  <c r="M15" i="21" s="1"/>
  <c r="P15" i="21" s="1"/>
  <c r="H14" i="21"/>
  <c r="M14" i="21" s="1"/>
  <c r="P14" i="21" s="1"/>
  <c r="P13" i="21"/>
  <c r="M13" i="21"/>
  <c r="H13" i="21"/>
  <c r="H12" i="21"/>
  <c r="M12" i="21" s="1"/>
  <c r="P12" i="21" s="1"/>
  <c r="H11" i="21"/>
  <c r="M11" i="21" s="1"/>
  <c r="P11" i="21" s="1"/>
  <c r="H10" i="21"/>
  <c r="M10" i="21" s="1"/>
  <c r="P10" i="21" s="1"/>
  <c r="M8" i="21"/>
  <c r="P8" i="21" s="1"/>
  <c r="H8" i="21"/>
  <c r="H7" i="21"/>
  <c r="M7" i="21" s="1"/>
  <c r="H9" i="22"/>
  <c r="M9" i="22"/>
  <c r="P9" i="22" s="1"/>
  <c r="V20" i="22"/>
  <c r="O19" i="22"/>
  <c r="N19" i="22"/>
  <c r="L19" i="22"/>
  <c r="I19" i="22"/>
  <c r="AA18" i="22"/>
  <c r="AA20" i="22" s="1"/>
  <c r="Z18" i="22"/>
  <c r="Z20" i="22" s="1"/>
  <c r="Y18" i="22"/>
  <c r="Y20" i="22" s="1"/>
  <c r="X18" i="22"/>
  <c r="X20" i="22" s="1"/>
  <c r="W18" i="22"/>
  <c r="W20" i="22" s="1"/>
  <c r="V18" i="22"/>
  <c r="U18" i="22"/>
  <c r="U20" i="22" s="1"/>
  <c r="T18" i="22"/>
  <c r="T20" i="22" s="1"/>
  <c r="M18" i="22"/>
  <c r="P18" i="22" s="1"/>
  <c r="P17" i="22"/>
  <c r="M17" i="22"/>
  <c r="H17" i="22"/>
  <c r="M16" i="22"/>
  <c r="P16" i="22" s="1"/>
  <c r="H16" i="22"/>
  <c r="G16" i="22"/>
  <c r="M15" i="22"/>
  <c r="P15" i="22" s="1"/>
  <c r="H15" i="22"/>
  <c r="H14" i="22"/>
  <c r="M14" i="22" s="1"/>
  <c r="P14" i="22" s="1"/>
  <c r="H13" i="22"/>
  <c r="M13" i="22" s="1"/>
  <c r="P13" i="22" s="1"/>
  <c r="P12" i="22"/>
  <c r="M12" i="22"/>
  <c r="H12" i="22"/>
  <c r="M11" i="22"/>
  <c r="P11" i="22" s="1"/>
  <c r="H11" i="22"/>
  <c r="H10" i="22"/>
  <c r="M10" i="22" s="1"/>
  <c r="P10" i="22" s="1"/>
  <c r="P8" i="22"/>
  <c r="M8" i="22"/>
  <c r="H8" i="22"/>
  <c r="M7" i="22"/>
  <c r="H7" i="22"/>
  <c r="H16" i="20"/>
  <c r="H9" i="20"/>
  <c r="M9" i="20" s="1"/>
  <c r="P9" i="20" s="1"/>
  <c r="X20" i="20"/>
  <c r="O19" i="20"/>
  <c r="N19" i="20"/>
  <c r="L19" i="20"/>
  <c r="I19" i="20"/>
  <c r="AA18" i="20"/>
  <c r="AA20" i="20" s="1"/>
  <c r="Z18" i="20"/>
  <c r="Z20" i="20" s="1"/>
  <c r="Y18" i="20"/>
  <c r="Y20" i="20" s="1"/>
  <c r="X18" i="20"/>
  <c r="W18" i="20"/>
  <c r="W20" i="20" s="1"/>
  <c r="V18" i="20"/>
  <c r="V20" i="20" s="1"/>
  <c r="U18" i="20"/>
  <c r="U20" i="20" s="1"/>
  <c r="T18" i="20"/>
  <c r="T20" i="20" s="1"/>
  <c r="P18" i="20"/>
  <c r="M18" i="20"/>
  <c r="H17" i="20"/>
  <c r="M17" i="20" s="1"/>
  <c r="P17" i="20" s="1"/>
  <c r="G16" i="20"/>
  <c r="H15" i="20"/>
  <c r="M15" i="20" s="1"/>
  <c r="P15" i="20" s="1"/>
  <c r="H14" i="20"/>
  <c r="M14" i="20" s="1"/>
  <c r="P14" i="20" s="1"/>
  <c r="M13" i="20"/>
  <c r="P13" i="20" s="1"/>
  <c r="H13" i="20"/>
  <c r="H12" i="20"/>
  <c r="M12" i="20" s="1"/>
  <c r="P12" i="20" s="1"/>
  <c r="H11" i="20"/>
  <c r="M11" i="20" s="1"/>
  <c r="P11" i="20" s="1"/>
  <c r="H10" i="20"/>
  <c r="M10" i="20" s="1"/>
  <c r="P10" i="20" s="1"/>
  <c r="H8" i="20"/>
  <c r="M8" i="20" s="1"/>
  <c r="P8" i="20" s="1"/>
  <c r="H7" i="20"/>
  <c r="H16" i="17"/>
  <c r="M16" i="17" s="1"/>
  <c r="P16" i="17" s="1"/>
  <c r="G16" i="17"/>
  <c r="H9" i="17"/>
  <c r="M9" i="17" s="1"/>
  <c r="P9" i="17" s="1"/>
  <c r="O19" i="17"/>
  <c r="N19" i="17"/>
  <c r="L19" i="17"/>
  <c r="I19" i="17"/>
  <c r="AA18" i="17"/>
  <c r="AA20" i="17" s="1"/>
  <c r="Z18" i="17"/>
  <c r="Z20" i="17" s="1"/>
  <c r="Y18" i="17"/>
  <c r="Y20" i="17" s="1"/>
  <c r="X18" i="17"/>
  <c r="X20" i="17" s="1"/>
  <c r="W18" i="17"/>
  <c r="W20" i="17" s="1"/>
  <c r="V18" i="17"/>
  <c r="V20" i="17" s="1"/>
  <c r="U18" i="17"/>
  <c r="U20" i="17" s="1"/>
  <c r="T18" i="17"/>
  <c r="T20" i="17" s="1"/>
  <c r="P18" i="17"/>
  <c r="M18" i="17"/>
  <c r="P17" i="17"/>
  <c r="M17" i="17"/>
  <c r="H17" i="17"/>
  <c r="P15" i="17"/>
  <c r="M15" i="17"/>
  <c r="H15" i="17"/>
  <c r="M14" i="17"/>
  <c r="P14" i="17" s="1"/>
  <c r="H14" i="17"/>
  <c r="P13" i="17"/>
  <c r="M13" i="17"/>
  <c r="H13" i="17"/>
  <c r="M12" i="17"/>
  <c r="P12" i="17" s="1"/>
  <c r="H12" i="17"/>
  <c r="P11" i="17"/>
  <c r="M11" i="17"/>
  <c r="H11" i="17"/>
  <c r="H10" i="17"/>
  <c r="M10" i="17" s="1"/>
  <c r="P10" i="17" s="1"/>
  <c r="M8" i="17"/>
  <c r="H8" i="17"/>
  <c r="P7" i="17"/>
  <c r="M7" i="17"/>
  <c r="H7" i="17"/>
  <c r="H14" i="18"/>
  <c r="H9" i="19"/>
  <c r="M9" i="19"/>
  <c r="P9" i="19" s="1"/>
  <c r="H14" i="19"/>
  <c r="M14" i="19" s="1"/>
  <c r="P14" i="19" s="1"/>
  <c r="O19" i="19"/>
  <c r="N19" i="19"/>
  <c r="L19" i="19"/>
  <c r="I19" i="19"/>
  <c r="AA18" i="19"/>
  <c r="AA20" i="19" s="1"/>
  <c r="Z18" i="19"/>
  <c r="Z20" i="19" s="1"/>
  <c r="Y18" i="19"/>
  <c r="Y20" i="19" s="1"/>
  <c r="X18" i="19"/>
  <c r="X20" i="19" s="1"/>
  <c r="W18" i="19"/>
  <c r="W20" i="19" s="1"/>
  <c r="V18" i="19"/>
  <c r="V20" i="19" s="1"/>
  <c r="U18" i="19"/>
  <c r="U20" i="19" s="1"/>
  <c r="T18" i="19"/>
  <c r="T20" i="19" s="1"/>
  <c r="M18" i="19"/>
  <c r="P18" i="19" s="1"/>
  <c r="H17" i="19"/>
  <c r="M17" i="19" s="1"/>
  <c r="P17" i="19" s="1"/>
  <c r="H16" i="19"/>
  <c r="M16" i="19" s="1"/>
  <c r="P16" i="19" s="1"/>
  <c r="M15" i="19"/>
  <c r="P15" i="19" s="1"/>
  <c r="H15" i="19"/>
  <c r="H13" i="19"/>
  <c r="M13" i="19" s="1"/>
  <c r="P13" i="19" s="1"/>
  <c r="H12" i="19"/>
  <c r="M12" i="19" s="1"/>
  <c r="P12" i="19" s="1"/>
  <c r="M11" i="19"/>
  <c r="P11" i="19" s="1"/>
  <c r="H11" i="19"/>
  <c r="H10" i="19"/>
  <c r="M10" i="19" s="1"/>
  <c r="P10" i="19" s="1"/>
  <c r="H8" i="19"/>
  <c r="M8" i="19" s="1"/>
  <c r="P8" i="19" s="1"/>
  <c r="M7" i="19"/>
  <c r="H7" i="19"/>
  <c r="M17" i="34" l="1"/>
  <c r="P20" i="34" s="1"/>
  <c r="P7" i="33"/>
  <c r="P17" i="33" s="1"/>
  <c r="M17" i="33"/>
  <c r="P20" i="33" s="1"/>
  <c r="M17" i="32"/>
  <c r="P20" i="32" s="1"/>
  <c r="P7" i="30"/>
  <c r="P17" i="30" s="1"/>
  <c r="M17" i="30"/>
  <c r="P20" i="30" s="1"/>
  <c r="P7" i="29"/>
  <c r="P17" i="29" s="1"/>
  <c r="M17" i="29"/>
  <c r="P20" i="29" s="1"/>
  <c r="P7" i="28"/>
  <c r="P17" i="28" s="1"/>
  <c r="M17" i="28"/>
  <c r="P20" i="28" s="1"/>
  <c r="P17" i="27"/>
  <c r="P10" i="26"/>
  <c r="P17" i="26" s="1"/>
  <c r="M17" i="26"/>
  <c r="AB18" i="26"/>
  <c r="P14" i="26"/>
  <c r="H17" i="26"/>
  <c r="M9" i="26"/>
  <c r="P9" i="26" s="1"/>
  <c r="P7" i="26"/>
  <c r="H17" i="24"/>
  <c r="AB18" i="24"/>
  <c r="M7" i="24"/>
  <c r="H17" i="25"/>
  <c r="M7" i="25"/>
  <c r="M17" i="25" s="1"/>
  <c r="P20" i="25" s="1"/>
  <c r="AB18" i="25"/>
  <c r="P16" i="23"/>
  <c r="H19" i="23"/>
  <c r="AB20" i="23"/>
  <c r="M7" i="23"/>
  <c r="P16" i="21"/>
  <c r="AB20" i="21"/>
  <c r="P7" i="21"/>
  <c r="H19" i="21"/>
  <c r="H19" i="22"/>
  <c r="M19" i="22"/>
  <c r="P22" i="22" s="1"/>
  <c r="AB20" i="22"/>
  <c r="P7" i="22"/>
  <c r="P19" i="22" s="1"/>
  <c r="AB20" i="20"/>
  <c r="M16" i="20"/>
  <c r="P16" i="20" s="1"/>
  <c r="H19" i="20"/>
  <c r="M7" i="20"/>
  <c r="AB20" i="17"/>
  <c r="H19" i="17"/>
  <c r="M19" i="17"/>
  <c r="P22" i="17" s="1"/>
  <c r="P8" i="17"/>
  <c r="P19" i="17" s="1"/>
  <c r="M19" i="19"/>
  <c r="P22" i="19" s="1"/>
  <c r="AB20" i="19"/>
  <c r="P7" i="19"/>
  <c r="P19" i="19" s="1"/>
  <c r="H19" i="19"/>
  <c r="Y18" i="11"/>
  <c r="H13" i="18"/>
  <c r="M13" i="18" s="1"/>
  <c r="P13" i="18" s="1"/>
  <c r="Z20" i="18"/>
  <c r="O19" i="18"/>
  <c r="N19" i="18"/>
  <c r="L19" i="18"/>
  <c r="I19" i="18"/>
  <c r="AA18" i="18"/>
  <c r="AA20" i="18" s="1"/>
  <c r="Z18" i="18"/>
  <c r="Y18" i="18"/>
  <c r="Y20" i="18" s="1"/>
  <c r="X18" i="18"/>
  <c r="X20" i="18" s="1"/>
  <c r="W18" i="18"/>
  <c r="W20" i="18" s="1"/>
  <c r="V18" i="18"/>
  <c r="V20" i="18" s="1"/>
  <c r="U18" i="18"/>
  <c r="U20" i="18" s="1"/>
  <c r="T18" i="18"/>
  <c r="T20" i="18" s="1"/>
  <c r="P18" i="18"/>
  <c r="M18" i="18"/>
  <c r="H17" i="18"/>
  <c r="M17" i="18" s="1"/>
  <c r="P17" i="18" s="1"/>
  <c r="M16" i="18"/>
  <c r="P16" i="18" s="1"/>
  <c r="H16" i="18"/>
  <c r="H15" i="18"/>
  <c r="M15" i="18" s="1"/>
  <c r="P15" i="18" s="1"/>
  <c r="M14" i="18"/>
  <c r="P14" i="18" s="1"/>
  <c r="M12" i="18"/>
  <c r="P12" i="18" s="1"/>
  <c r="H12" i="18"/>
  <c r="H11" i="18"/>
  <c r="M11" i="18" s="1"/>
  <c r="P11" i="18" s="1"/>
  <c r="M10" i="18"/>
  <c r="P10" i="18" s="1"/>
  <c r="H10" i="18"/>
  <c r="H9" i="18"/>
  <c r="M9" i="18" s="1"/>
  <c r="P9" i="18" s="1"/>
  <c r="M8" i="18"/>
  <c r="P8" i="18" s="1"/>
  <c r="H8" i="18"/>
  <c r="H7" i="18"/>
  <c r="T18" i="11"/>
  <c r="T20" i="11" s="1"/>
  <c r="U18" i="11"/>
  <c r="U20" i="11" s="1"/>
  <c r="V18" i="11"/>
  <c r="V20" i="11" s="1"/>
  <c r="W18" i="11"/>
  <c r="X18" i="11"/>
  <c r="X20" i="11" s="1"/>
  <c r="Y20" i="11"/>
  <c r="Z18" i="11"/>
  <c r="AA18" i="11"/>
  <c r="P17" i="11"/>
  <c r="M17" i="11"/>
  <c r="H17" i="11"/>
  <c r="O19" i="11"/>
  <c r="N19" i="11"/>
  <c r="L19" i="11"/>
  <c r="I19" i="11"/>
  <c r="AA20" i="11"/>
  <c r="Z20" i="11"/>
  <c r="W20" i="11"/>
  <c r="M18" i="11"/>
  <c r="P18" i="11" s="1"/>
  <c r="H16" i="11"/>
  <c r="M16" i="11" s="1"/>
  <c r="P16" i="11" s="1"/>
  <c r="H15" i="11"/>
  <c r="M15" i="11" s="1"/>
  <c r="P15" i="11" s="1"/>
  <c r="H14" i="11"/>
  <c r="M14" i="11" s="1"/>
  <c r="P14" i="11" s="1"/>
  <c r="H13" i="11"/>
  <c r="M13" i="11" s="1"/>
  <c r="P13" i="11" s="1"/>
  <c r="H12" i="11"/>
  <c r="M12" i="11" s="1"/>
  <c r="P12" i="11" s="1"/>
  <c r="H11" i="11"/>
  <c r="M11" i="11" s="1"/>
  <c r="P11" i="11" s="1"/>
  <c r="H10" i="11"/>
  <c r="M10" i="11" s="1"/>
  <c r="P10" i="11" s="1"/>
  <c r="H9" i="11"/>
  <c r="M9" i="11" s="1"/>
  <c r="P9" i="11" s="1"/>
  <c r="H8" i="11"/>
  <c r="M8" i="11" s="1"/>
  <c r="P8" i="11" s="1"/>
  <c r="H7" i="11"/>
  <c r="M7" i="11" s="1"/>
  <c r="H16" i="16"/>
  <c r="M16" i="16" s="1"/>
  <c r="M9" i="16"/>
  <c r="P20" i="26" l="1"/>
  <c r="P7" i="24"/>
  <c r="P17" i="24" s="1"/>
  <c r="M17" i="24"/>
  <c r="P20" i="24" s="1"/>
  <c r="P7" i="25"/>
  <c r="P17" i="25" s="1"/>
  <c r="P7" i="23"/>
  <c r="P19" i="23" s="1"/>
  <c r="M19" i="23"/>
  <c r="P22" i="23" s="1"/>
  <c r="P19" i="21"/>
  <c r="M19" i="21"/>
  <c r="P22" i="21" s="1"/>
  <c r="P7" i="20"/>
  <c r="P19" i="20" s="1"/>
  <c r="M19" i="20"/>
  <c r="P22" i="20" s="1"/>
  <c r="H19" i="18"/>
  <c r="AB20" i="18"/>
  <c r="M7" i="18"/>
  <c r="AB20" i="11"/>
  <c r="P7" i="11"/>
  <c r="P19" i="11" s="1"/>
  <c r="M19" i="11"/>
  <c r="P22" i="11" s="1"/>
  <c r="H19" i="11"/>
  <c r="P16" i="16"/>
  <c r="H9" i="16"/>
  <c r="P9" i="16" s="1"/>
  <c r="O18" i="16"/>
  <c r="N18" i="16"/>
  <c r="L18" i="16"/>
  <c r="I18" i="16"/>
  <c r="AA17" i="16"/>
  <c r="AA19" i="16" s="1"/>
  <c r="Z17" i="16"/>
  <c r="Z19" i="16" s="1"/>
  <c r="Y17" i="16"/>
  <c r="Y19" i="16" s="1"/>
  <c r="X17" i="16"/>
  <c r="X19" i="16" s="1"/>
  <c r="W17" i="16"/>
  <c r="W19" i="16" s="1"/>
  <c r="V17" i="16"/>
  <c r="V19" i="16" s="1"/>
  <c r="U17" i="16"/>
  <c r="U19" i="16" s="1"/>
  <c r="T17" i="16"/>
  <c r="T19" i="16" s="1"/>
  <c r="M17" i="16"/>
  <c r="P17" i="16" s="1"/>
  <c r="H15" i="16"/>
  <c r="M15" i="16" s="1"/>
  <c r="P15" i="16" s="1"/>
  <c r="H14" i="16"/>
  <c r="M14" i="16" s="1"/>
  <c r="P14" i="16" s="1"/>
  <c r="H13" i="16"/>
  <c r="M13" i="16" s="1"/>
  <c r="P13" i="16" s="1"/>
  <c r="M12" i="16"/>
  <c r="P12" i="16" s="1"/>
  <c r="H12" i="16"/>
  <c r="H11" i="16"/>
  <c r="M11" i="16" s="1"/>
  <c r="P11" i="16" s="1"/>
  <c r="H10" i="16"/>
  <c r="M10" i="16" s="1"/>
  <c r="P10" i="16" s="1"/>
  <c r="M8" i="16"/>
  <c r="P8" i="16" s="1"/>
  <c r="H8" i="16"/>
  <c r="H7" i="16"/>
  <c r="H9" i="15"/>
  <c r="M9" i="15" s="1"/>
  <c r="P9" i="15" s="1"/>
  <c r="O18" i="15"/>
  <c r="N18" i="15"/>
  <c r="L18" i="15"/>
  <c r="I18" i="15"/>
  <c r="AA17" i="15"/>
  <c r="AA19" i="15" s="1"/>
  <c r="Z17" i="15"/>
  <c r="Z19" i="15" s="1"/>
  <c r="Y17" i="15"/>
  <c r="Y19" i="15" s="1"/>
  <c r="X17" i="15"/>
  <c r="X19" i="15" s="1"/>
  <c r="W17" i="15"/>
  <c r="W19" i="15" s="1"/>
  <c r="V17" i="15"/>
  <c r="V19" i="15" s="1"/>
  <c r="U17" i="15"/>
  <c r="U19" i="15" s="1"/>
  <c r="T17" i="15"/>
  <c r="T19" i="15" s="1"/>
  <c r="P17" i="15"/>
  <c r="M17" i="15"/>
  <c r="H16" i="15"/>
  <c r="M16" i="15" s="1"/>
  <c r="P16" i="15" s="1"/>
  <c r="H15" i="15"/>
  <c r="M15" i="15" s="1"/>
  <c r="P15" i="15" s="1"/>
  <c r="H14" i="15"/>
  <c r="M14" i="15" s="1"/>
  <c r="P14" i="15" s="1"/>
  <c r="H13" i="15"/>
  <c r="M13" i="15" s="1"/>
  <c r="P13" i="15" s="1"/>
  <c r="H12" i="15"/>
  <c r="M12" i="15" s="1"/>
  <c r="P12" i="15" s="1"/>
  <c r="H11" i="15"/>
  <c r="M11" i="15" s="1"/>
  <c r="P11" i="15" s="1"/>
  <c r="M10" i="15"/>
  <c r="P10" i="15" s="1"/>
  <c r="H10" i="15"/>
  <c r="H8" i="15"/>
  <c r="M8" i="15" s="1"/>
  <c r="P8" i="15" s="1"/>
  <c r="H7" i="15"/>
  <c r="M7" i="15" s="1"/>
  <c r="P16" i="14"/>
  <c r="M16" i="14"/>
  <c r="H16" i="14"/>
  <c r="H14" i="14"/>
  <c r="M14" i="14" s="1"/>
  <c r="P14" i="14" s="1"/>
  <c r="H9" i="14"/>
  <c r="O19" i="14"/>
  <c r="N19" i="14"/>
  <c r="L19" i="14"/>
  <c r="I19" i="14"/>
  <c r="AA18" i="14"/>
  <c r="AA20" i="14" s="1"/>
  <c r="Z18" i="14"/>
  <c r="Z20" i="14" s="1"/>
  <c r="Y18" i="14"/>
  <c r="Y20" i="14" s="1"/>
  <c r="X18" i="14"/>
  <c r="X20" i="14" s="1"/>
  <c r="W18" i="14"/>
  <c r="W20" i="14" s="1"/>
  <c r="V18" i="14"/>
  <c r="V20" i="14" s="1"/>
  <c r="U18" i="14"/>
  <c r="U20" i="14" s="1"/>
  <c r="T18" i="14"/>
  <c r="T20" i="14" s="1"/>
  <c r="M18" i="14"/>
  <c r="P18" i="14" s="1"/>
  <c r="H17" i="14"/>
  <c r="M17" i="14" s="1"/>
  <c r="P17" i="14" s="1"/>
  <c r="H15" i="14"/>
  <c r="M15" i="14" s="1"/>
  <c r="P15" i="14" s="1"/>
  <c r="H13" i="14"/>
  <c r="M13" i="14" s="1"/>
  <c r="P13" i="14" s="1"/>
  <c r="H12" i="14"/>
  <c r="M12" i="14" s="1"/>
  <c r="P12" i="14" s="1"/>
  <c r="H11" i="14"/>
  <c r="M11" i="14" s="1"/>
  <c r="P11" i="14" s="1"/>
  <c r="H10" i="14"/>
  <c r="M10" i="14" s="1"/>
  <c r="P10" i="14" s="1"/>
  <c r="M9" i="14"/>
  <c r="P9" i="14" s="1"/>
  <c r="H8" i="14"/>
  <c r="M8" i="14" s="1"/>
  <c r="P8" i="14" s="1"/>
  <c r="H7" i="14"/>
  <c r="M7" i="14" s="1"/>
  <c r="H14" i="13"/>
  <c r="M14" i="13" s="1"/>
  <c r="P14" i="13" s="1"/>
  <c r="H11" i="13"/>
  <c r="M11" i="13" s="1"/>
  <c r="P11" i="13" s="1"/>
  <c r="M9" i="13"/>
  <c r="O18" i="13"/>
  <c r="N18" i="13"/>
  <c r="L18" i="13"/>
  <c r="I18" i="13"/>
  <c r="AA17" i="13"/>
  <c r="AA19" i="13" s="1"/>
  <c r="Z17" i="13"/>
  <c r="Z19" i="13" s="1"/>
  <c r="Y17" i="13"/>
  <c r="Y19" i="13" s="1"/>
  <c r="X17" i="13"/>
  <c r="X19" i="13" s="1"/>
  <c r="W17" i="13"/>
  <c r="W19" i="13" s="1"/>
  <c r="V17" i="13"/>
  <c r="V19" i="13" s="1"/>
  <c r="U17" i="13"/>
  <c r="U19" i="13" s="1"/>
  <c r="T17" i="13"/>
  <c r="T19" i="13" s="1"/>
  <c r="M17" i="13"/>
  <c r="P17" i="13" s="1"/>
  <c r="H16" i="13"/>
  <c r="M16" i="13" s="1"/>
  <c r="P16" i="13" s="1"/>
  <c r="H15" i="13"/>
  <c r="M15" i="13" s="1"/>
  <c r="P15" i="13" s="1"/>
  <c r="H13" i="13"/>
  <c r="M13" i="13" s="1"/>
  <c r="P13" i="13" s="1"/>
  <c r="H12" i="13"/>
  <c r="M12" i="13" s="1"/>
  <c r="P12" i="13" s="1"/>
  <c r="M10" i="13"/>
  <c r="P10" i="13" s="1"/>
  <c r="H10" i="13"/>
  <c r="H9" i="13"/>
  <c r="H8" i="13"/>
  <c r="M8" i="13" s="1"/>
  <c r="P8" i="13" s="1"/>
  <c r="H7" i="13"/>
  <c r="M7" i="13" s="1"/>
  <c r="H12" i="12"/>
  <c r="M9" i="12"/>
  <c r="H11" i="12"/>
  <c r="M11" i="12"/>
  <c r="P11" i="12" s="1"/>
  <c r="H13" i="12"/>
  <c r="M13" i="12"/>
  <c r="P13" i="12" s="1"/>
  <c r="H14" i="12"/>
  <c r="M14" i="12"/>
  <c r="P14" i="12" s="1"/>
  <c r="V19" i="12"/>
  <c r="O18" i="12"/>
  <c r="N18" i="12"/>
  <c r="L18" i="12"/>
  <c r="I18" i="12"/>
  <c r="AA17" i="12"/>
  <c r="AA19" i="12" s="1"/>
  <c r="Z17" i="12"/>
  <c r="Z19" i="12" s="1"/>
  <c r="Y17" i="12"/>
  <c r="Y19" i="12" s="1"/>
  <c r="X17" i="12"/>
  <c r="X19" i="12" s="1"/>
  <c r="W17" i="12"/>
  <c r="W19" i="12" s="1"/>
  <c r="V17" i="12"/>
  <c r="U17" i="12"/>
  <c r="U19" i="12" s="1"/>
  <c r="T17" i="12"/>
  <c r="T19" i="12" s="1"/>
  <c r="P17" i="12"/>
  <c r="M17" i="12"/>
  <c r="H16" i="12"/>
  <c r="M16" i="12" s="1"/>
  <c r="P16" i="12" s="1"/>
  <c r="H15" i="12"/>
  <c r="M15" i="12" s="1"/>
  <c r="P15" i="12" s="1"/>
  <c r="M12" i="12"/>
  <c r="P12" i="12" s="1"/>
  <c r="H10" i="12"/>
  <c r="M10" i="12" s="1"/>
  <c r="P10" i="12" s="1"/>
  <c r="H9" i="12"/>
  <c r="P9" i="12" s="1"/>
  <c r="H8" i="12"/>
  <c r="M8" i="12" s="1"/>
  <c r="P8" i="12" s="1"/>
  <c r="H7" i="12"/>
  <c r="M7" i="12" s="1"/>
  <c r="M9" i="3"/>
  <c r="AA19" i="3"/>
  <c r="Z19" i="3"/>
  <c r="O18" i="3"/>
  <c r="N18" i="3"/>
  <c r="L18" i="3"/>
  <c r="I18" i="3"/>
  <c r="AA17" i="3"/>
  <c r="Z17" i="3"/>
  <c r="Y17" i="3"/>
  <c r="Y19" i="3" s="1"/>
  <c r="X17" i="3"/>
  <c r="X19" i="3" s="1"/>
  <c r="W17" i="3"/>
  <c r="W19" i="3" s="1"/>
  <c r="V17" i="3"/>
  <c r="V19" i="3" s="1"/>
  <c r="U17" i="3"/>
  <c r="U19" i="3" s="1"/>
  <c r="T17" i="3"/>
  <c r="T19" i="3" s="1"/>
  <c r="M17" i="3"/>
  <c r="P17" i="3" s="1"/>
  <c r="H16" i="3"/>
  <c r="M16" i="3" s="1"/>
  <c r="P16" i="3" s="1"/>
  <c r="M15" i="3"/>
  <c r="P15" i="3" s="1"/>
  <c r="H15" i="3"/>
  <c r="H14" i="3"/>
  <c r="M14" i="3" s="1"/>
  <c r="P14" i="3" s="1"/>
  <c r="H13" i="3"/>
  <c r="M13" i="3" s="1"/>
  <c r="P13" i="3" s="1"/>
  <c r="H12" i="3"/>
  <c r="M12" i="3" s="1"/>
  <c r="P12" i="3" s="1"/>
  <c r="M11" i="3"/>
  <c r="P11" i="3" s="1"/>
  <c r="H11" i="3"/>
  <c r="H10" i="3"/>
  <c r="M10" i="3" s="1"/>
  <c r="P10" i="3" s="1"/>
  <c r="H9" i="3"/>
  <c r="H8" i="3"/>
  <c r="M8" i="3" s="1"/>
  <c r="P8" i="3" s="1"/>
  <c r="M7" i="3"/>
  <c r="H7" i="3"/>
  <c r="H18" i="3" s="1"/>
  <c r="M9" i="10"/>
  <c r="H16" i="10"/>
  <c r="M16" i="10" s="1"/>
  <c r="P16" i="10" s="1"/>
  <c r="O18" i="10"/>
  <c r="N18" i="10"/>
  <c r="L18" i="10"/>
  <c r="I18" i="10"/>
  <c r="AA17" i="10"/>
  <c r="AA19" i="10" s="1"/>
  <c r="Z17" i="10"/>
  <c r="Z19" i="10" s="1"/>
  <c r="Y17" i="10"/>
  <c r="Y19" i="10" s="1"/>
  <c r="X17" i="10"/>
  <c r="X19" i="10" s="1"/>
  <c r="W17" i="10"/>
  <c r="W19" i="10" s="1"/>
  <c r="V17" i="10"/>
  <c r="V19" i="10" s="1"/>
  <c r="U17" i="10"/>
  <c r="U19" i="10" s="1"/>
  <c r="T17" i="10"/>
  <c r="T19" i="10" s="1"/>
  <c r="M17" i="10"/>
  <c r="P17" i="10" s="1"/>
  <c r="M15" i="10"/>
  <c r="P15" i="10" s="1"/>
  <c r="H15" i="10"/>
  <c r="H14" i="10"/>
  <c r="M14" i="10" s="1"/>
  <c r="P14" i="10" s="1"/>
  <c r="H13" i="10"/>
  <c r="M13" i="10" s="1"/>
  <c r="P13" i="10" s="1"/>
  <c r="H12" i="10"/>
  <c r="M12" i="10" s="1"/>
  <c r="P12" i="10" s="1"/>
  <c r="M11" i="10"/>
  <c r="P11" i="10" s="1"/>
  <c r="H11" i="10"/>
  <c r="H10" i="10"/>
  <c r="M10" i="10" s="1"/>
  <c r="P10" i="10" s="1"/>
  <c r="H9" i="10"/>
  <c r="H8" i="10"/>
  <c r="M8" i="10" s="1"/>
  <c r="P8" i="10" s="1"/>
  <c r="M7" i="10"/>
  <c r="H7" i="10"/>
  <c r="AA17" i="2"/>
  <c r="Z17" i="2"/>
  <c r="Y17" i="2"/>
  <c r="X17" i="2"/>
  <c r="U17" i="2"/>
  <c r="V17" i="2"/>
  <c r="W17" i="2"/>
  <c r="T17" i="2"/>
  <c r="H11" i="2"/>
  <c r="H9" i="2"/>
  <c r="M16" i="2"/>
  <c r="P16" i="2" s="1"/>
  <c r="H16" i="2"/>
  <c r="P7" i="18" l="1"/>
  <c r="P19" i="18" s="1"/>
  <c r="M19" i="18"/>
  <c r="P22" i="18" s="1"/>
  <c r="H18" i="16"/>
  <c r="AB19" i="16"/>
  <c r="M7" i="16"/>
  <c r="M18" i="15"/>
  <c r="P21" i="15" s="1"/>
  <c r="P7" i="15"/>
  <c r="P18" i="15" s="1"/>
  <c r="AB19" i="15"/>
  <c r="H18" i="15"/>
  <c r="M19" i="14"/>
  <c r="P22" i="14" s="1"/>
  <c r="P7" i="14"/>
  <c r="P19" i="14" s="1"/>
  <c r="AB20" i="14"/>
  <c r="H19" i="14"/>
  <c r="AB19" i="13"/>
  <c r="P9" i="13"/>
  <c r="M18" i="13"/>
  <c r="P21" i="13" s="1"/>
  <c r="P7" i="13"/>
  <c r="P18" i="13" s="1"/>
  <c r="H18" i="13"/>
  <c r="AB19" i="12"/>
  <c r="P7" i="12"/>
  <c r="P18" i="12" s="1"/>
  <c r="M18" i="12"/>
  <c r="P21" i="12" s="1"/>
  <c r="H18" i="12"/>
  <c r="AB19" i="3"/>
  <c r="P9" i="3"/>
  <c r="M18" i="3"/>
  <c r="P21" i="3" s="1"/>
  <c r="P7" i="3"/>
  <c r="P9" i="10"/>
  <c r="H18" i="10"/>
  <c r="M18" i="10"/>
  <c r="P21" i="10" s="1"/>
  <c r="AB19" i="10"/>
  <c r="P7" i="10"/>
  <c r="P18" i="10" s="1"/>
  <c r="O19" i="9"/>
  <c r="N19" i="9"/>
  <c r="L19" i="9"/>
  <c r="I19" i="9"/>
  <c r="AA18" i="9"/>
  <c r="AA20" i="9" s="1"/>
  <c r="Z18" i="9"/>
  <c r="Z20" i="9" s="1"/>
  <c r="Y18" i="9"/>
  <c r="Y20" i="9" s="1"/>
  <c r="X18" i="9"/>
  <c r="X20" i="9" s="1"/>
  <c r="W18" i="9"/>
  <c r="W20" i="9" s="1"/>
  <c r="V18" i="9"/>
  <c r="V20" i="9" s="1"/>
  <c r="U18" i="9"/>
  <c r="U20" i="9" s="1"/>
  <c r="T18" i="9"/>
  <c r="T20" i="9" s="1"/>
  <c r="M18" i="9"/>
  <c r="P18" i="9" s="1"/>
  <c r="M17" i="9"/>
  <c r="P17" i="9" s="1"/>
  <c r="H17" i="9"/>
  <c r="H16" i="9"/>
  <c r="M16" i="9" s="1"/>
  <c r="P16" i="9" s="1"/>
  <c r="H15" i="9"/>
  <c r="M15" i="9" s="1"/>
  <c r="P15" i="9" s="1"/>
  <c r="H14" i="9"/>
  <c r="M14" i="9" s="1"/>
  <c r="P14" i="9" s="1"/>
  <c r="H13" i="9"/>
  <c r="M13" i="9" s="1"/>
  <c r="P13" i="9" s="1"/>
  <c r="H12" i="9"/>
  <c r="M12" i="9" s="1"/>
  <c r="P12" i="9" s="1"/>
  <c r="H11" i="9"/>
  <c r="M11" i="9" s="1"/>
  <c r="P11" i="9" s="1"/>
  <c r="H10" i="9"/>
  <c r="M10" i="9" s="1"/>
  <c r="P10" i="9" s="1"/>
  <c r="M9" i="9"/>
  <c r="P9" i="9" s="1"/>
  <c r="H9" i="9"/>
  <c r="H8" i="9"/>
  <c r="H7" i="9"/>
  <c r="M7" i="9" s="1"/>
  <c r="M18" i="16" l="1"/>
  <c r="P21" i="16" s="1"/>
  <c r="P7" i="16"/>
  <c r="P18" i="16" s="1"/>
  <c r="P18" i="3"/>
  <c r="H19" i="9"/>
  <c r="AB20" i="9"/>
  <c r="M8" i="9"/>
  <c r="P8" i="9" s="1"/>
  <c r="P7" i="9"/>
  <c r="M19" i="9" l="1"/>
  <c r="P22" i="9" s="1"/>
  <c r="P19" i="9"/>
  <c r="O18" i="2"/>
  <c r="N18" i="2"/>
  <c r="L18" i="2"/>
  <c r="I18" i="2"/>
  <c r="AA19" i="2"/>
  <c r="Z19" i="2"/>
  <c r="Y19" i="2"/>
  <c r="X19" i="2"/>
  <c r="W19" i="2"/>
  <c r="V19" i="2"/>
  <c r="U19" i="2"/>
  <c r="T19" i="2"/>
  <c r="M17" i="2"/>
  <c r="P17" i="2" s="1"/>
  <c r="H15" i="2"/>
  <c r="M15" i="2" s="1"/>
  <c r="P15" i="2" s="1"/>
  <c r="H14" i="2"/>
  <c r="M14" i="2" s="1"/>
  <c r="P14" i="2" s="1"/>
  <c r="H13" i="2"/>
  <c r="M13" i="2" s="1"/>
  <c r="P13" i="2" s="1"/>
  <c r="H12" i="2"/>
  <c r="M12" i="2" s="1"/>
  <c r="P12" i="2" s="1"/>
  <c r="M11" i="2"/>
  <c r="P11" i="2" s="1"/>
  <c r="H10" i="2"/>
  <c r="M10" i="2" s="1"/>
  <c r="P10" i="2" s="1"/>
  <c r="M9" i="2"/>
  <c r="P9" i="2" s="1"/>
  <c r="H8" i="2"/>
  <c r="M8" i="2" s="1"/>
  <c r="P8" i="2" s="1"/>
  <c r="H7" i="2"/>
  <c r="H10" i="1"/>
  <c r="H18" i="2" l="1"/>
  <c r="M7" i="2"/>
  <c r="P7" i="2" s="1"/>
  <c r="P18" i="2" s="1"/>
  <c r="AB19" i="2"/>
  <c r="M18" i="2"/>
  <c r="P21" i="2" s="1"/>
  <c r="H14" i="1"/>
  <c r="H15" i="1"/>
  <c r="H16" i="1"/>
  <c r="H17" i="1"/>
  <c r="D10" i="6"/>
  <c r="D9" i="6"/>
  <c r="D8" i="6"/>
  <c r="D7" i="6"/>
  <c r="D6" i="6"/>
  <c r="D5" i="6"/>
  <c r="D4" i="6"/>
  <c r="D3" i="6"/>
  <c r="G13" i="5"/>
  <c r="G12" i="5"/>
  <c r="G11" i="5"/>
  <c r="G10" i="5"/>
  <c r="G9" i="5"/>
  <c r="G8" i="5"/>
  <c r="G7" i="5"/>
  <c r="G6" i="5"/>
  <c r="G14" i="5" l="1"/>
  <c r="O20" i="1"/>
  <c r="N20" i="1"/>
  <c r="L20" i="1"/>
  <c r="I20" i="1"/>
  <c r="AA19" i="1"/>
  <c r="AA21" i="1" s="1"/>
  <c r="Z19" i="1"/>
  <c r="Z21" i="1" s="1"/>
  <c r="Y19" i="1"/>
  <c r="Y21" i="1" s="1"/>
  <c r="X19" i="1"/>
  <c r="X21" i="1" s="1"/>
  <c r="W19" i="1"/>
  <c r="W21" i="1" s="1"/>
  <c r="V19" i="1"/>
  <c r="V21" i="1" s="1"/>
  <c r="U19" i="1"/>
  <c r="U21" i="1" s="1"/>
  <c r="T19" i="1"/>
  <c r="T21" i="1" s="1"/>
  <c r="M19" i="1"/>
  <c r="P19" i="1" s="1"/>
  <c r="M17" i="1"/>
  <c r="P17" i="1" s="1"/>
  <c r="M16" i="1"/>
  <c r="P16" i="1" s="1"/>
  <c r="M15" i="1"/>
  <c r="P15" i="1" s="1"/>
  <c r="M14" i="1"/>
  <c r="P14" i="1" s="1"/>
  <c r="H13" i="1"/>
  <c r="M13" i="1" s="1"/>
  <c r="P13" i="1" s="1"/>
  <c r="H12" i="1"/>
  <c r="M12" i="1" s="1"/>
  <c r="P12" i="1" s="1"/>
  <c r="H11" i="1"/>
  <c r="M11" i="1" s="1"/>
  <c r="P11" i="1" s="1"/>
  <c r="M10" i="1"/>
  <c r="P10" i="1" s="1"/>
  <c r="H9" i="1"/>
  <c r="M9" i="1" s="1"/>
  <c r="P9" i="1" s="1"/>
  <c r="H8" i="1"/>
  <c r="M8" i="1" s="1"/>
  <c r="P8" i="1" s="1"/>
  <c r="H7" i="1"/>
  <c r="M7" i="1" s="1"/>
  <c r="H20" i="1" l="1"/>
  <c r="M20" i="1"/>
  <c r="P23" i="1" s="1"/>
  <c r="AB21" i="1"/>
  <c r="P7" i="1"/>
  <c r="P20" i="1" s="1"/>
</calcChain>
</file>

<file path=xl/sharedStrings.xml><?xml version="1.0" encoding="utf-8"?>
<sst xmlns="http://schemas.openxmlformats.org/spreadsheetml/2006/main" count="2621" uniqueCount="124">
  <si>
    <t xml:space="preserve"> </t>
  </si>
  <si>
    <t>RELACION DE PERSONAL CASA SRA NORMA LEDO</t>
  </si>
  <si>
    <t>FECHA DE INGRESO</t>
  </si>
  <si>
    <t>SUELDO DIARIO</t>
  </si>
  <si>
    <t>DIAS K TRABAJAN</t>
  </si>
  <si>
    <t>DIA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</si>
  <si>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</si>
  <si>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</si>
  <si>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</si>
  <si>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</si>
  <si>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</si>
  <si>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</si>
  <si>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</si>
  <si>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</si>
  <si>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</si>
  <si>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</si>
  <si>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</si>
  <si>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</si>
  <si>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</si>
  <si>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</si>
  <si>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>CECILIA PORTILLO GARRIDO</t>
  </si>
  <si>
    <t>AGOSTO-,2013</t>
  </si>
  <si>
    <t>Sab-Dom</t>
  </si>
  <si>
    <t xml:space="preserve"> LEOPOLDO ALVARADO GARCIA</t>
  </si>
  <si>
    <t>JUSTINA REYES LEAL</t>
  </si>
  <si>
    <t>20 FEB.,2017</t>
  </si>
  <si>
    <t>.</t>
  </si>
  <si>
    <t>MISS.  CLAUDIA PRIETO VARGAS</t>
  </si>
  <si>
    <t>ROSALIA TELLEZ RIVERA</t>
  </si>
  <si>
    <t>JULIO.,2008</t>
  </si>
  <si>
    <t>VICTOR TELLEZ RIVERA</t>
  </si>
  <si>
    <t>05 MARZO.,2012</t>
  </si>
  <si>
    <t>JAVIER GARCIA  CABRERA</t>
  </si>
  <si>
    <t>27 JULIO.,2015</t>
  </si>
  <si>
    <t>IRANA TLAMAXCO GARRIDO</t>
  </si>
  <si>
    <t>13-ENERO .,2020</t>
  </si>
  <si>
    <t>TEODORA ARELLANO PEREZ</t>
  </si>
  <si>
    <t xml:space="preserve">MARISOL  GARCIA CASTAÑEDA </t>
  </si>
  <si>
    <t>TOTAL DE NOMINA</t>
  </si>
  <si>
    <t>Miss.  CLAUDIA PRIETO VARGAS</t>
  </si>
  <si>
    <t>X</t>
  </si>
  <si>
    <t xml:space="preserve">PERSONAL DE SERVICIO  EN CASA </t>
  </si>
  <si>
    <t>08-JULIO.,2008</t>
  </si>
  <si>
    <t>CINDY AGUILAR SANCHEZ</t>
  </si>
  <si>
    <t>8-ENERO.,2021</t>
  </si>
  <si>
    <t xml:space="preserve">CINDY  AGUILAR SANCHEZ </t>
  </si>
  <si>
    <t xml:space="preserve">SEMANA #  01    DEL      28    AL   03   ENERO                  2 0 2 1 </t>
  </si>
  <si>
    <t xml:space="preserve">SEMANA #  02    DEL      04    AL   10   ENERO                  2 0 2 1 </t>
  </si>
  <si>
    <t xml:space="preserve">SEMANA #  03   DEL      11    AL   17   ENERO                  2 0 2 1 </t>
  </si>
  <si>
    <t xml:space="preserve">SEMANA #  04   DEL      18    AL   24   ENERO                  2 0 2 1 </t>
  </si>
  <si>
    <t>ANALLELI  ARENAS OLAYA</t>
  </si>
  <si>
    <t xml:space="preserve">SEMANA #  05   DEL      25    AL   31   ENERO                  2 0 2 1 </t>
  </si>
  <si>
    <t xml:space="preserve">SEMANA #  06   DEL      01    AL     07  FEBRERO                 2 0 2 1 </t>
  </si>
  <si>
    <t xml:space="preserve">SEMANA #  07   DEL      08    AL     14   FEBRERO                 2 0 2 1 </t>
  </si>
  <si>
    <t xml:space="preserve">SEMANA #  08   DEL      15    AL     21   FEBRERO                 2 0 2 1 </t>
  </si>
  <si>
    <t>ALEJANDRA BAUTISTA SALAZAR</t>
  </si>
  <si>
    <t>8-JULIO.,2008</t>
  </si>
  <si>
    <t xml:space="preserve">SEMANA #  09   DEL      22    AL     28   FEBRERO                 2 0 2 1 </t>
  </si>
  <si>
    <t xml:space="preserve">SEMANA #  10   DEL      01   AL     07         MARZO       2 0 2 1 </t>
  </si>
  <si>
    <t xml:space="preserve">SEMANA #  11   DEL      08   AL     14         MARZO       2 0 2 1 </t>
  </si>
  <si>
    <t>BEATRIZ ARENAS OLAYA</t>
  </si>
  <si>
    <t>IRANA     YA NO TRABAJO SE ACCIDENTO EL 30 DE ENERO 2021</t>
  </si>
  <si>
    <t xml:space="preserve">SEMANA #  12   DEL      15   AL     21         MARZO       2 0 2 1 </t>
  </si>
  <si>
    <t xml:space="preserve">SEMANA #  13   DEL      22   AL     28        MARZO       2 0 2 1 </t>
  </si>
  <si>
    <t xml:space="preserve">SEMANA #  14   DEL      29   AL     04   ABRIL       2 0 2 1 </t>
  </si>
  <si>
    <t xml:space="preserve">SEMANA #  15   DEL      05   AL     11   ABRIL       2 0 2 1 </t>
  </si>
  <si>
    <t xml:space="preserve">SEMANA #  16   DEL      12   AL     18   ABRIL       2 0 2 1 </t>
  </si>
  <si>
    <t xml:space="preserve">SEMANA #  17   DEL      19   AL     25   ABRIL       2 0 2 1 </t>
  </si>
  <si>
    <t xml:space="preserve">SEMANA #  18   DEL      26   AL     02   MAYO       2 0 2 1 </t>
  </si>
  <si>
    <t xml:space="preserve">SEMANA #  19   DEL     03   AL     09   MAYO       2 0 2 1 </t>
  </si>
  <si>
    <t xml:space="preserve">                                                                                                                                          </t>
  </si>
  <si>
    <t xml:space="preserve">SEMANA #  20   DEL     10   AL     16   MAYO       2 0 2 1 </t>
  </si>
  <si>
    <t xml:space="preserve">SEMANA #  21  DEL     17   AL     23   MAYO       2 0 2 1 </t>
  </si>
  <si>
    <t xml:space="preserve">SEMANA #  22  DEL     24   AL    30    MAYO       2 0 2 1 </t>
  </si>
  <si>
    <t>SR. FELIX</t>
  </si>
  <si>
    <t xml:space="preserve">SEMANA #  23  DEL     31   AL   06  JUNIO       2 0 2 1 </t>
  </si>
  <si>
    <t xml:space="preserve">SEMANA #  24  DEL     07   AL   13  JUNIO       2 0 2 1 </t>
  </si>
  <si>
    <t xml:space="preserve">TEODORA ARELLANO PEREZ </t>
  </si>
  <si>
    <t>Maria Margarita AGUILAR AQUINO</t>
  </si>
  <si>
    <t>Ma.  Margarita AGUILAR AQUINO</t>
  </si>
  <si>
    <t xml:space="preserve">SEMANA #  25  DEL     14   AL   20  JUNIO       2 0 2 1 </t>
  </si>
  <si>
    <t xml:space="preserve">SEMANA #  26  DEL     21   AL   27  JUNIO       2 0 2 1 </t>
  </si>
  <si>
    <t xml:space="preserve">SEMANA #  27  DEL     28   AL   04  JULIO       2 0 2 1 </t>
  </si>
  <si>
    <t xml:space="preserve">SEMANA #  28  DEL     05   AL   11  JULIO       2 0 2 1 </t>
  </si>
  <si>
    <t xml:space="preserve">SEMANA #  29  DEL     12   AL   18  JULIO       2 0 2 1 </t>
  </si>
  <si>
    <t xml:space="preserve">SEMANA #  30     DEL     19   AL   25  JULIO       2 0 2 1 </t>
  </si>
  <si>
    <t xml:space="preserve">SEMANA #  31     DEL     26   AL   01   AGOSTO        2 0 2 1 </t>
  </si>
  <si>
    <t xml:space="preserve">SEMANA #  32     DEL     02   AL   08   AGOSTO        2 0 2 1 </t>
  </si>
  <si>
    <t xml:space="preserve">VICTOR </t>
  </si>
  <si>
    <t xml:space="preserve">FALTAS  4  INCAPACIDADES  2 DIAS </t>
  </si>
  <si>
    <t>VICTOR</t>
  </si>
  <si>
    <t xml:space="preserve">FALTO EL DIA   4 DE AGOSTO </t>
  </si>
  <si>
    <t xml:space="preserve">SEMANA #  33     DEL     09   AL   15   AGOSTO        2 0 2 1 </t>
  </si>
  <si>
    <t xml:space="preserve">SEMANA #  34     DEL     16   AL   22   AGOSTO        2 0 2 1 </t>
  </si>
  <si>
    <t xml:space="preserve">SEMANA #  35     DEL     23   AL   29   AGOSTO        2 0 2 1 </t>
  </si>
  <si>
    <t xml:space="preserve">SEMANA #  36     DEL     30   AL  05 SEPTIEMBRE       2 0 2 1 </t>
  </si>
  <si>
    <t xml:space="preserve">SEMANA #  37     DEL     06   AL  12    SEPTIEMBRE       2 0 2 1 </t>
  </si>
  <si>
    <t xml:space="preserve">SEMANA #  38     DEL     13   AL  19    SEPTIEMBRE       2 0 2 1 </t>
  </si>
  <si>
    <t xml:space="preserve">SEMANA #  39     DEL     20   AL  26    SEPTIEMBRE       2 0 2 1 </t>
  </si>
  <si>
    <t>HORAS EXTRA</t>
  </si>
  <si>
    <t xml:space="preserve">SEMANA #  40     DEL     27   AL  03    OCTUBRE       2 0 2 1 </t>
  </si>
  <si>
    <t xml:space="preserve">SEMANA #  41     DEL     04   AL  10    OCTUBRE       2 0 2 1 </t>
  </si>
  <si>
    <t xml:space="preserve">SEMANA #  42     DEL     11   AL  17   OCTUBRE       2 0 2 1 </t>
  </si>
  <si>
    <t xml:space="preserve">SEMANA #  43     DEL     18   AL  24   OCTUBRE       2 0 2 1 </t>
  </si>
  <si>
    <t xml:space="preserve">SEMANA #  44     DEL     25   AL  31   OCTUBRE       2 0 2 1 </t>
  </si>
  <si>
    <t xml:space="preserve">SEMANA #  45     DEL     01   AL  07   NOVIEMBRE       2 0 2 1 </t>
  </si>
  <si>
    <t xml:space="preserve">SEMANA #  46     DEL     08   AL  14   NOVIEMBRE       2 0 2 1 </t>
  </si>
  <si>
    <t xml:space="preserve">SEMANA #  47     DEL     15   AL  21   NOVIEMBRE       2 0 2 1 </t>
  </si>
  <si>
    <t xml:space="preserve">SEMANA #  48     DEL     22   AL  28   NOVIEMBRE       2 0 2 1 </t>
  </si>
  <si>
    <t xml:space="preserve">SEMANA #  49     DEL     29   AL  05  DICIEMBRE        2 0 2 1 </t>
  </si>
  <si>
    <t xml:space="preserve">SEMANA #  50     DEL     06   AL  12  DICIEMBRE        2 0 2 1 </t>
  </si>
  <si>
    <t>prestamo de  5,500.00   esta semana primer descuento</t>
  </si>
  <si>
    <t xml:space="preserve">PERSONAL  CASA </t>
  </si>
  <si>
    <t>SUELDO SEMANAL</t>
  </si>
  <si>
    <t xml:space="preserve">AGUILAR AQUINO MARIA MARGARITA </t>
  </si>
  <si>
    <t>ALVARADO GARCIA  JOSE LEOPOLDO</t>
  </si>
  <si>
    <t xml:space="preserve"> ARELLANO PEREZ  TEODORA</t>
  </si>
  <si>
    <t>BAUTISTA SALAZAR  ALEJANDRA</t>
  </si>
  <si>
    <t>CASTAÑEDA RODRIGUEZ  Ma. DEL ROSARIO</t>
  </si>
  <si>
    <t xml:space="preserve"> REYES LEAL  JUSTINA</t>
  </si>
  <si>
    <t xml:space="preserve">SEMANA #  51     DEL     13   AL  19  DICIEMBRE        2 0 2 1 </t>
  </si>
  <si>
    <t xml:space="preserve">SEMANA #  52     DEL     20   AL  26  DICIEMBRE        2 0 2 1 </t>
  </si>
  <si>
    <t xml:space="preserve">SEMANA #  53    DEL     27   AL  02    E N E R O        2 0 2 2 </t>
  </si>
  <si>
    <t xml:space="preserve">SEMANA #  23    DEL      06    AL     12   JUNIO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</si>
</sst>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  <numFmt numFmtId="165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6"/>
      <color theme="1"/>
      <name val="Script MT Bold"/>
      <family val="4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8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/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7" fontId="5" fillId="0" borderId="23" xfId="0" applyNumberFormat="1" applyFont="1" applyBorder="1"/>
    <xf numFmtId="164" fontId="15" fillId="0" borderId="22" xfId="0" applyNumberFormat="1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164" fontId="2" fillId="0" borderId="24" xfId="0" applyNumberFormat="1" applyFont="1" applyBorder="1"/>
    <xf numFmtId="164" fontId="2" fillId="0" borderId="25" xfId="0" applyNumberFormat="1" applyFont="1" applyBorder="1"/>
    <xf numFmtId="164" fontId="16" fillId="8" borderId="26" xfId="0" applyNumberFormat="1" applyFont="1" applyFill="1" applyBorder="1"/>
    <xf numFmtId="164" fontId="16" fillId="8" borderId="27" xfId="0" applyNumberFormat="1" applyFont="1" applyFill="1" applyBorder="1"/>
    <xf numFmtId="44" fontId="16" fillId="0" borderId="27" xfId="1" applyFont="1" applyBorder="1"/>
    <xf numFmtId="164" fontId="17" fillId="0" borderId="27" xfId="0" applyNumberFormat="1" applyFont="1" applyBorder="1"/>
    <xf numFmtId="44" fontId="15" fillId="0" borderId="28" xfId="1" applyFont="1" applyFill="1" applyBorder="1"/>
    <xf numFmtId="44" fontId="16" fillId="0" borderId="29" xfId="1" applyFont="1" applyFill="1" applyBorder="1"/>
    <xf numFmtId="164" fontId="15" fillId="0" borderId="30" xfId="0" applyNumberFormat="1" applyFont="1" applyBorder="1"/>
    <xf numFmtId="0" fontId="18" fillId="0" borderId="31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15" fontId="14" fillId="2" borderId="23" xfId="0" applyNumberFormat="1" applyFont="1" applyFill="1" applyBorder="1" applyAlignment="1">
      <alignment horizontal="center"/>
    </xf>
    <xf numFmtId="164" fontId="7" fillId="9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32" xfId="0" applyNumberFormat="1" applyFont="1" applyBorder="1"/>
    <xf numFmtId="164" fontId="16" fillId="8" borderId="33" xfId="0" applyNumberFormat="1" applyFont="1" applyFill="1" applyBorder="1"/>
    <xf numFmtId="164" fontId="15" fillId="0" borderId="34" xfId="0" applyNumberFormat="1" applyFont="1" applyBorder="1"/>
    <xf numFmtId="8" fontId="21" fillId="0" borderId="0" xfId="0" applyNumberFormat="1" applyFont="1"/>
    <xf numFmtId="0" fontId="21" fillId="0" borderId="0" xfId="0" applyFont="1"/>
    <xf numFmtId="0" fontId="6" fillId="0" borderId="22" xfId="0" applyFont="1" applyBorder="1" applyAlignment="1">
      <alignment wrapText="1"/>
    </xf>
    <xf numFmtId="0" fontId="14" fillId="0" borderId="35" xfId="0" applyFont="1" applyBorder="1" applyAlignment="1">
      <alignment wrapText="1"/>
    </xf>
    <xf numFmtId="164" fontId="15" fillId="0" borderId="36" xfId="0" applyNumberFormat="1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164" fontId="2" fillId="0" borderId="36" xfId="0" applyNumberFormat="1" applyFont="1" applyBorder="1"/>
    <xf numFmtId="164" fontId="22" fillId="0" borderId="37" xfId="0" applyNumberFormat="1" applyFont="1" applyBorder="1"/>
    <xf numFmtId="164" fontId="22" fillId="0" borderId="38" xfId="0" applyNumberFormat="1" applyFont="1" applyBorder="1"/>
    <xf numFmtId="44" fontId="16" fillId="0" borderId="38" xfId="1" applyFont="1" applyBorder="1"/>
    <xf numFmtId="44" fontId="15" fillId="0" borderId="39" xfId="1" applyFont="1" applyFill="1" applyBorder="1"/>
    <xf numFmtId="0" fontId="2" fillId="0" borderId="31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44" fontId="2" fillId="0" borderId="22" xfId="1" applyFont="1" applyBorder="1"/>
    <xf numFmtId="164" fontId="23" fillId="0" borderId="33" xfId="0" applyNumberFormat="1" applyFont="1" applyBorder="1"/>
    <xf numFmtId="164" fontId="23" fillId="0" borderId="27" xfId="0" applyNumberFormat="1" applyFont="1" applyBorder="1"/>
    <xf numFmtId="44" fontId="24" fillId="0" borderId="27" xfId="1" applyFont="1" applyBorder="1"/>
    <xf numFmtId="44" fontId="0" fillId="0" borderId="40" xfId="1" applyFont="1" applyBorder="1"/>
    <xf numFmtId="44" fontId="16" fillId="0" borderId="41" xfId="1" applyFont="1" applyBorder="1"/>
    <xf numFmtId="164" fontId="15" fillId="0" borderId="42" xfId="0" applyNumberFormat="1" applyFont="1" applyBorder="1"/>
    <xf numFmtId="0" fontId="25" fillId="0" borderId="43" xfId="0" applyFont="1" applyBorder="1" applyAlignment="1">
      <alignment horizontal="center"/>
    </xf>
    <xf numFmtId="0" fontId="19" fillId="0" borderId="0" xfId="0" applyFont="1" applyAlignment="1">
      <alignment wrapText="1"/>
    </xf>
    <xf numFmtId="0" fontId="2" fillId="0" borderId="36" xfId="0" applyFont="1" applyBorder="1" applyAlignment="1">
      <alignment horizontal="center"/>
    </xf>
    <xf numFmtId="164" fontId="26" fillId="0" borderId="36" xfId="0" applyNumberFormat="1" applyFont="1" applyBorder="1"/>
    <xf numFmtId="164" fontId="16" fillId="8" borderId="44" xfId="0" applyNumberFormat="1" applyFont="1" applyFill="1" applyBorder="1"/>
    <xf numFmtId="164" fontId="16" fillId="8" borderId="38" xfId="0" applyNumberFormat="1" applyFont="1" applyFill="1" applyBorder="1"/>
    <xf numFmtId="44" fontId="16" fillId="9" borderId="38" xfId="1" applyFont="1" applyFill="1" applyBorder="1"/>
    <xf numFmtId="44" fontId="15" fillId="2" borderId="45" xfId="1" applyFont="1" applyFill="1" applyBorder="1"/>
    <xf numFmtId="44" fontId="16" fillId="0" borderId="46" xfId="1" applyFont="1" applyFill="1" applyBorder="1"/>
    <xf numFmtId="164" fontId="15" fillId="0" borderId="14" xfId="0" applyNumberFormat="1" applyFont="1" applyBorder="1"/>
    <xf numFmtId="0" fontId="18" fillId="0" borderId="47" xfId="0" applyFont="1" applyBorder="1" applyAlignment="1">
      <alignment horizontal="center"/>
    </xf>
    <xf numFmtId="0" fontId="5" fillId="0" borderId="35" xfId="0" applyFont="1" applyBorder="1"/>
    <xf numFmtId="164" fontId="27" fillId="8" borderId="44" xfId="0" applyNumberFormat="1" applyFont="1" applyFill="1" applyBorder="1"/>
    <xf numFmtId="164" fontId="27" fillId="8" borderId="38" xfId="0" applyNumberFormat="1" applyFont="1" applyFill="1" applyBorder="1"/>
    <xf numFmtId="44" fontId="16" fillId="5" borderId="38" xfId="1" applyFont="1" applyFill="1" applyBorder="1"/>
    <xf numFmtId="44" fontId="2" fillId="0" borderId="28" xfId="1" applyFont="1" applyBorder="1"/>
    <xf numFmtId="164" fontId="15" fillId="0" borderId="48" xfId="0" applyNumberFormat="1" applyFont="1" applyBorder="1"/>
    <xf numFmtId="0" fontId="18" fillId="0" borderId="49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" fontId="14" fillId="0" borderId="23" xfId="0" applyNumberFormat="1" applyFont="1" applyBorder="1"/>
    <xf numFmtId="164" fontId="16" fillId="0" borderId="22" xfId="0" applyNumberFormat="1" applyFont="1" applyBorder="1"/>
    <xf numFmtId="44" fontId="16" fillId="0" borderId="22" xfId="1" applyFont="1" applyBorder="1"/>
    <xf numFmtId="17" fontId="28" fillId="0" borderId="22" xfId="0" applyNumberFormat="1" applyFont="1" applyBorder="1" applyAlignment="1">
      <alignment wrapText="1"/>
    </xf>
    <xf numFmtId="164" fontId="17" fillId="0" borderId="22" xfId="0" applyNumberFormat="1" applyFont="1" applyBorder="1"/>
    <xf numFmtId="0" fontId="2" fillId="0" borderId="50" xfId="0" applyFont="1" applyBorder="1" applyAlignment="1">
      <alignment horizontal="center"/>
    </xf>
    <xf numFmtId="44" fontId="29" fillId="0" borderId="0" xfId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4" xfId="0" applyFont="1" applyBorder="1"/>
    <xf numFmtId="15" fontId="6" fillId="0" borderId="24" xfId="0" applyNumberFormat="1" applyFont="1" applyBorder="1" applyAlignment="1">
      <alignment horizontal="center"/>
    </xf>
    <xf numFmtId="164" fontId="15" fillId="0" borderId="24" xfId="0" applyNumberFormat="1" applyFont="1" applyBorder="1" applyAlignment="1">
      <alignment horizontal="center"/>
    </xf>
    <xf numFmtId="164" fontId="16" fillId="0" borderId="26" xfId="0" applyNumberFormat="1" applyFont="1" applyBorder="1"/>
    <xf numFmtId="164" fontId="16" fillId="0" borderId="27" xfId="0" applyNumberFormat="1" applyFont="1" applyBorder="1"/>
    <xf numFmtId="44" fontId="2" fillId="0" borderId="51" xfId="1" applyFont="1" applyFill="1" applyBorder="1"/>
    <xf numFmtId="0" fontId="2" fillId="0" borderId="52" xfId="0" applyFont="1" applyBorder="1" applyAlignment="1">
      <alignment horizontal="center"/>
    </xf>
    <xf numFmtId="15" fontId="6" fillId="7" borderId="22" xfId="0" applyNumberFormat="1" applyFont="1" applyFill="1" applyBorder="1" applyAlignment="1">
      <alignment horizontal="center"/>
    </xf>
    <xf numFmtId="164" fontId="15" fillId="7" borderId="22" xfId="0" applyNumberFormat="1" applyFont="1" applyFill="1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164" fontId="0" fillId="0" borderId="0" xfId="0" applyNumberFormat="1" applyAlignment="1">
      <alignment horizontal="center"/>
    </xf>
    <xf numFmtId="0" fontId="23" fillId="0" borderId="0" xfId="0" applyFont="1"/>
    <xf numFmtId="44" fontId="23" fillId="0" borderId="0" xfId="1" applyFont="1"/>
    <xf numFmtId="164" fontId="17" fillId="0" borderId="38" xfId="0" applyNumberFormat="1" applyFont="1" applyBorder="1"/>
    <xf numFmtId="44" fontId="2" fillId="0" borderId="24" xfId="1" applyFont="1" applyBorder="1"/>
    <xf numFmtId="44" fontId="16" fillId="0" borderId="24" xfId="1" applyFont="1" applyBorder="1"/>
    <xf numFmtId="0" fontId="14" fillId="0" borderId="53" xfId="0" applyFont="1" applyBorder="1"/>
    <xf numFmtId="0" fontId="5" fillId="0" borderId="54" xfId="0" applyFont="1" applyBorder="1"/>
    <xf numFmtId="164" fontId="2" fillId="0" borderId="55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right"/>
    </xf>
    <xf numFmtId="164" fontId="7" fillId="0" borderId="56" xfId="0" applyNumberFormat="1" applyFont="1" applyBorder="1"/>
    <xf numFmtId="164" fontId="19" fillId="0" borderId="57" xfId="0" applyNumberFormat="1" applyFont="1" applyBorder="1"/>
    <xf numFmtId="164" fontId="19" fillId="0" borderId="57" xfId="1" applyNumberFormat="1" applyFont="1" applyBorder="1"/>
    <xf numFmtId="164" fontId="7" fillId="6" borderId="57" xfId="0" applyNumberFormat="1" applyFont="1" applyFill="1" applyBorder="1"/>
    <xf numFmtId="164" fontId="15" fillId="0" borderId="57" xfId="0" applyNumberFormat="1" applyFont="1" applyBorder="1"/>
    <xf numFmtId="164" fontId="7" fillId="0" borderId="58" xfId="0" applyNumberFormat="1" applyFont="1" applyBorder="1"/>
    <xf numFmtId="164" fontId="15" fillId="0" borderId="59" xfId="0" applyNumberFormat="1" applyFont="1" applyBorder="1"/>
    <xf numFmtId="0" fontId="14" fillId="0" borderId="60" xfId="0" applyFont="1" applyBorder="1"/>
    <xf numFmtId="0" fontId="5" fillId="0" borderId="19" xfId="0" applyFont="1" applyBorder="1"/>
    <xf numFmtId="0" fontId="2" fillId="0" borderId="61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2" fillId="0" borderId="0" xfId="0" applyFont="1"/>
    <xf numFmtId="0" fontId="33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3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4" fillId="0" borderId="0" xfId="1" applyFont="1"/>
    <xf numFmtId="0" fontId="35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0" fontId="36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0" fontId="14" fillId="0" borderId="0" xfId="0" applyFont="1"/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21" fillId="0" borderId="0" xfId="1" applyFont="1" applyFill="1"/>
    <xf numFmtId="164" fontId="3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/>
    <xf numFmtId="0" fontId="41" fillId="0" borderId="22" xfId="0" applyFont="1" applyBorder="1"/>
    <xf numFmtId="0" fontId="42" fillId="0" borderId="22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44" fontId="42" fillId="0" borderId="22" xfId="1" applyFont="1" applyBorder="1"/>
    <xf numFmtId="0" fontId="41" fillId="0" borderId="0" xfId="0" applyFont="1"/>
    <xf numFmtId="44" fontId="43" fillId="2" borderId="7" xfId="1" applyFont="1" applyFill="1" applyBorder="1"/>
    <xf numFmtId="0" fontId="42" fillId="0" borderId="59" xfId="0" applyFont="1" applyBorder="1"/>
    <xf numFmtId="17" fontId="28" fillId="0" borderId="35" xfId="0" applyNumberFormat="1" applyFont="1" applyBorder="1" applyAlignment="1">
      <alignment wrapText="1"/>
    </xf>
    <xf numFmtId="0" fontId="14" fillId="0" borderId="23" xfId="0" applyFont="1" applyBorder="1" applyAlignment="1">
      <alignment wrapText="1"/>
    </xf>
    <xf numFmtId="15" fontId="6" fillId="0" borderId="35" xfId="0" applyNumberFormat="1" applyFont="1" applyBorder="1" applyAlignment="1">
      <alignment horizontal="left"/>
    </xf>
    <xf numFmtId="15" fontId="6" fillId="0" borderId="22" xfId="0" applyNumberFormat="1" applyFont="1" applyBorder="1" applyAlignment="1">
      <alignment horizontal="left"/>
    </xf>
    <xf numFmtId="0" fontId="14" fillId="0" borderId="24" xfId="0" applyFont="1" applyBorder="1"/>
    <xf numFmtId="16" fontId="14" fillId="0" borderId="0" xfId="0" applyNumberFormat="1" applyFont="1"/>
    <xf numFmtId="44" fontId="2" fillId="0" borderId="48" xfId="1" applyFont="1" applyFill="1" applyBorder="1"/>
    <xf numFmtId="44" fontId="16" fillId="0" borderId="48" xfId="1" applyFont="1" applyFill="1" applyBorder="1"/>
    <xf numFmtId="164" fontId="15" fillId="0" borderId="0" xfId="0" applyNumberFormat="1" applyFont="1" applyBorder="1"/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5" fillId="11" borderId="24" xfId="0" applyFont="1" applyFill="1" applyBorder="1" applyAlignment="1">
      <alignment horizontal="center"/>
    </xf>
    <xf numFmtId="165" fontId="15" fillId="11" borderId="24" xfId="0" applyNumberFormat="1" applyFont="1" applyFill="1" applyBorder="1" applyAlignment="1">
      <alignment horizontal="center"/>
    </xf>
    <xf numFmtId="165" fontId="15" fillId="0" borderId="24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 wrapText="1"/>
    </xf>
    <xf numFmtId="164" fontId="15" fillId="12" borderId="22" xfId="0" applyNumberFormat="1" applyFont="1" applyFill="1" applyBorder="1" applyAlignment="1">
      <alignment horizontal="center"/>
    </xf>
    <xf numFmtId="0" fontId="15" fillId="12" borderId="22" xfId="0" applyFont="1" applyFill="1" applyBorder="1" applyAlignment="1">
      <alignment horizontal="center"/>
    </xf>
    <xf numFmtId="164" fontId="16" fillId="0" borderId="48" xfId="0" applyNumberFormat="1" applyFont="1" applyBorder="1"/>
    <xf numFmtId="44" fontId="16" fillId="0" borderId="48" xfId="1" applyFont="1" applyBorder="1"/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44" fontId="16" fillId="0" borderId="0" xfId="1" applyFont="1" applyBorder="1"/>
    <xf numFmtId="0" fontId="15" fillId="0" borderId="22" xfId="0" applyFont="1" applyFill="1" applyBorder="1" applyAlignment="1">
      <alignment horizontal="center"/>
    </xf>
    <xf numFmtId="0" fontId="6" fillId="13" borderId="53" xfId="0" applyFont="1" applyFill="1" applyBorder="1"/>
    <xf numFmtId="0" fontId="6" fillId="13" borderId="54" xfId="0" applyFont="1" applyFill="1" applyBorder="1"/>
    <xf numFmtId="164" fontId="2" fillId="13" borderId="55" xfId="0" applyNumberFormat="1" applyFont="1" applyFill="1" applyBorder="1" applyAlignment="1">
      <alignment horizontal="center"/>
    </xf>
    <xf numFmtId="0" fontId="6" fillId="13" borderId="22" xfId="0" applyFont="1" applyFill="1" applyBorder="1" applyAlignment="1">
      <alignment wrapText="1"/>
    </xf>
    <xf numFmtId="164" fontId="17" fillId="0" borderId="19" xfId="0" applyNumberFormat="1" applyFont="1" applyBorder="1" applyAlignment="1">
      <alignment vertical="center"/>
    </xf>
    <xf numFmtId="0" fontId="15" fillId="0" borderId="13" xfId="0" applyFont="1" applyBorder="1" applyAlignment="1">
      <alignment horizontal="center" vertical="center" wrapText="1"/>
    </xf>
    <xf numFmtId="44" fontId="15" fillId="6" borderId="28" xfId="1" applyFont="1" applyFill="1" applyBorder="1"/>
    <xf numFmtId="0" fontId="6" fillId="6" borderId="22" xfId="0" applyFont="1" applyFill="1" applyBorder="1" applyAlignment="1">
      <alignment wrapText="1"/>
    </xf>
    <xf numFmtId="17" fontId="28" fillId="6" borderId="22" xfId="0" applyNumberFormat="1" applyFont="1" applyFill="1" applyBorder="1" applyAlignment="1">
      <alignment wrapText="1"/>
    </xf>
    <xf numFmtId="164" fontId="15" fillId="6" borderId="22" xfId="0" applyNumberFormat="1" applyFont="1" applyFill="1" applyBorder="1" applyAlignment="1">
      <alignment horizontal="center"/>
    </xf>
    <xf numFmtId="0" fontId="15" fillId="6" borderId="22" xfId="0" applyFont="1" applyFill="1" applyBorder="1" applyAlignment="1">
      <alignment horizontal="center"/>
    </xf>
    <xf numFmtId="164" fontId="2" fillId="6" borderId="22" xfId="0" applyNumberFormat="1" applyFont="1" applyFill="1" applyBorder="1"/>
    <xf numFmtId="44" fontId="15" fillId="0" borderId="45" xfId="1" applyFont="1" applyFill="1" applyBorder="1"/>
    <xf numFmtId="0" fontId="6" fillId="6" borderId="22" xfId="0" applyFont="1" applyFill="1" applyBorder="1"/>
    <xf numFmtId="15" fontId="6" fillId="6" borderId="22" xfId="0" applyNumberFormat="1" applyFont="1" applyFill="1" applyBorder="1" applyAlignment="1">
      <alignment horizontal="center"/>
    </xf>
    <xf numFmtId="164" fontId="2" fillId="6" borderId="32" xfId="0" applyNumberFormat="1" applyFont="1" applyFill="1" applyBorder="1"/>
    <xf numFmtId="0" fontId="15" fillId="14" borderId="22" xfId="0" applyFont="1" applyFill="1" applyBorder="1" applyAlignment="1">
      <alignment horizontal="center"/>
    </xf>
    <xf numFmtId="44" fontId="2" fillId="14" borderId="22" xfId="1" applyFont="1" applyFill="1" applyBorder="1"/>
    <xf numFmtId="164" fontId="2" fillId="14" borderId="32" xfId="0" applyNumberFormat="1" applyFont="1" applyFill="1" applyBorder="1"/>
    <xf numFmtId="0" fontId="6" fillId="0" borderId="22" xfId="0" applyFont="1" applyBorder="1" applyAlignment="1">
      <alignment vertical="center"/>
    </xf>
    <xf numFmtId="44" fontId="2" fillId="15" borderId="48" xfId="1" applyFont="1" applyFill="1" applyBorder="1"/>
    <xf numFmtId="0" fontId="32" fillId="6" borderId="0" xfId="0" applyFont="1" applyFill="1"/>
    <xf numFmtId="0" fontId="11" fillId="6" borderId="0" xfId="0" applyFont="1" applyFill="1" applyAlignment="1">
      <alignment vertical="center"/>
    </xf>
    <xf numFmtId="0" fontId="44" fillId="6" borderId="0" xfId="0" applyFont="1" applyFill="1"/>
    <xf numFmtId="0" fontId="44" fillId="6" borderId="0" xfId="0" applyFont="1" applyFill="1" applyAlignment="1">
      <alignment horizontal="center"/>
    </xf>
    <xf numFmtId="0" fontId="44" fillId="6" borderId="0" xfId="0" applyFont="1" applyFill="1" applyAlignment="1">
      <alignment horizontal="center" vertical="center"/>
    </xf>
    <xf numFmtId="0" fontId="44" fillId="6" borderId="0" xfId="0" applyFont="1" applyFill="1" applyAlignment="1">
      <alignment vertical="center"/>
    </xf>
    <xf numFmtId="0" fontId="33" fillId="6" borderId="0" xfId="0" applyFont="1" applyFill="1" applyAlignment="1">
      <alignment vertical="center"/>
    </xf>
    <xf numFmtId="0" fontId="45" fillId="6" borderId="0" xfId="0" applyFont="1" applyFill="1"/>
    <xf numFmtId="0" fontId="45" fillId="6" borderId="0" xfId="0" applyFont="1" applyFill="1" applyAlignment="1">
      <alignment horizontal="center" vertical="center"/>
    </xf>
    <xf numFmtId="0" fontId="45" fillId="6" borderId="0" xfId="0" applyFont="1" applyFill="1" applyAlignment="1">
      <alignment vertical="center"/>
    </xf>
    <xf numFmtId="0" fontId="0" fillId="0" borderId="0" xfId="0" applyBorder="1"/>
    <xf numFmtId="0" fontId="6" fillId="0" borderId="0" xfId="0" applyFont="1" applyBorder="1"/>
    <xf numFmtId="0" fontId="15" fillId="6" borderId="36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44" fontId="14" fillId="0" borderId="0" xfId="1" applyFont="1"/>
    <xf numFmtId="44" fontId="5" fillId="0" borderId="0" xfId="1" applyFont="1"/>
    <xf numFmtId="44" fontId="14" fillId="2" borderId="0" xfId="1" applyFont="1" applyFill="1"/>
    <xf numFmtId="44" fontId="5" fillId="0" borderId="0" xfId="0" applyNumberFormat="1" applyFont="1"/>
    <xf numFmtId="16" fontId="15" fillId="0" borderId="0" xfId="0" applyNumberFormat="1" applyFont="1" applyAlignment="1">
      <alignment horizontal="center"/>
    </xf>
    <xf numFmtId="16" fontId="14" fillId="0" borderId="0" xfId="0" applyNumberFormat="1" applyFont="1" applyAlignment="1">
      <alignment horizontal="center"/>
    </xf>
    <xf numFmtId="16" fontId="10" fillId="0" borderId="0" xfId="1" applyNumberFormat="1" applyFont="1" applyFill="1" applyAlignment="1">
      <alignment horizontal="center"/>
    </xf>
    <xf numFmtId="0" fontId="21" fillId="0" borderId="7" xfId="0" applyFont="1" applyBorder="1" applyAlignment="1">
      <alignment horizontal="center"/>
    </xf>
    <xf numFmtId="0" fontId="0" fillId="0" borderId="7" xfId="0" applyBorder="1"/>
    <xf numFmtId="0" fontId="10" fillId="0" borderId="62" xfId="0" applyFont="1" applyBorder="1" applyAlignment="1">
      <alignment horizontal="center" wrapText="1"/>
    </xf>
    <xf numFmtId="15" fontId="6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2" xfId="0" applyNumberFormat="1" applyFont="1" applyBorder="1"/>
    <xf numFmtId="15" fontId="14" fillId="2" borderId="22" xfId="0" applyNumberFormat="1" applyFont="1" applyFill="1" applyBorder="1" applyAlignment="1">
      <alignment horizontal="center"/>
    </xf>
    <xf numFmtId="0" fontId="6" fillId="0" borderId="63" xfId="0" applyFont="1" applyBorder="1"/>
    <xf numFmtId="15" fontId="6" fillId="0" borderId="64" xfId="0" applyNumberFormat="1" applyFont="1" applyFill="1" applyBorder="1" applyAlignment="1">
      <alignment horizontal="center"/>
    </xf>
    <xf numFmtId="164" fontId="15" fillId="0" borderId="63" xfId="0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4" fontId="2" fillId="0" borderId="63" xfId="0" applyNumberFormat="1" applyFont="1" applyBorder="1"/>
    <xf numFmtId="164" fontId="15" fillId="0" borderId="18" xfId="0" applyNumberFormat="1" applyFont="1" applyBorder="1"/>
    <xf numFmtId="0" fontId="14" fillId="0" borderId="22" xfId="0" applyFont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/>
    <xf numFmtId="15" fontId="6" fillId="0" borderId="0" xfId="0" applyNumberFormat="1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0" fontId="6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15" fontId="14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FF66FF"/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505574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7048500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H1" workbookViewId="0">
      <selection activeCell="O12" sqref="O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46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9.5" thickTop="1" x14ac:dyDescent="0.3">
      <c r="A8" s="31">
        <v>2</v>
      </c>
      <c r="B8" s="44" t="s">
        <v>20</v>
      </c>
      <c r="C8" s="45" t="s">
        <v>21</v>
      </c>
      <c r="D8" s="46">
        <v>400</v>
      </c>
      <c r="E8" s="47">
        <v>5</v>
      </c>
      <c r="F8" s="200">
        <v>1</v>
      </c>
      <c r="G8" s="48">
        <v>300</v>
      </c>
      <c r="H8" s="49">
        <f>D8*E8+D8*F8</f>
        <v>2400</v>
      </c>
      <c r="I8" s="50">
        <v>-338</v>
      </c>
      <c r="J8" s="51"/>
      <c r="K8" s="51"/>
      <c r="L8" s="52"/>
      <c r="M8" s="53">
        <f>I8+H8+G8-L8</f>
        <v>2362</v>
      </c>
      <c r="N8" s="54">
        <v>0</v>
      </c>
      <c r="O8" s="55">
        <v>0</v>
      </c>
      <c r="P8" s="56">
        <f>M8-O8</f>
        <v>2362</v>
      </c>
      <c r="Q8" s="57" t="s">
        <v>22</v>
      </c>
      <c r="R8" s="58"/>
      <c r="S8" s="59"/>
      <c r="T8">
        <v>4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2</v>
      </c>
    </row>
    <row r="9" spans="1:28" ht="21" x14ac:dyDescent="0.35">
      <c r="A9" s="31">
        <v>3</v>
      </c>
      <c r="B9" s="44" t="s">
        <v>23</v>
      </c>
      <c r="C9" s="60">
        <v>41820</v>
      </c>
      <c r="D9" s="61">
        <v>460</v>
      </c>
      <c r="E9" s="62">
        <v>5</v>
      </c>
      <c r="F9" s="62"/>
      <c r="G9" s="63">
        <v>0</v>
      </c>
      <c r="H9" s="64">
        <f>D9*E9+D9*F9</f>
        <v>2300</v>
      </c>
      <c r="I9" s="65">
        <v>168.38</v>
      </c>
      <c r="J9" s="51">
        <v>161.65</v>
      </c>
      <c r="K9" s="51">
        <v>49.65</v>
      </c>
      <c r="L9" s="52">
        <v>0</v>
      </c>
      <c r="M9" s="53">
        <f>H9-I9-J9-K9</f>
        <v>1920.3199999999997</v>
      </c>
      <c r="N9" s="54">
        <v>0</v>
      </c>
      <c r="O9" s="55">
        <v>0</v>
      </c>
      <c r="P9" s="66">
        <f t="shared" ref="P9:P18" si="2">M9-O9</f>
        <v>1920.3199999999997</v>
      </c>
      <c r="Q9" s="57" t="s">
        <v>22</v>
      </c>
      <c r="R9" s="67"/>
      <c r="S9" s="68"/>
      <c r="T9">
        <v>3</v>
      </c>
      <c r="U9">
        <v>2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69" t="s">
        <v>24</v>
      </c>
      <c r="C10" s="70" t="s">
        <v>25</v>
      </c>
      <c r="D10" s="71">
        <v>433.34</v>
      </c>
      <c r="E10" s="72">
        <v>6</v>
      </c>
      <c r="F10" s="72">
        <v>3</v>
      </c>
      <c r="G10" s="73">
        <v>0</v>
      </c>
      <c r="H10" s="64">
        <f>D10*E10+D10*F10-0.06</f>
        <v>3900</v>
      </c>
      <c r="I10" s="74"/>
      <c r="J10" s="75"/>
      <c r="K10" s="75"/>
      <c r="L10" s="76"/>
      <c r="M10" s="53">
        <f t="shared" ref="M10:M18" si="3">I10+H10+G10-L10</f>
        <v>3900</v>
      </c>
      <c r="N10" s="77" t="s">
        <v>26</v>
      </c>
      <c r="O10" s="55">
        <v>0</v>
      </c>
      <c r="P10" s="66">
        <f t="shared" si="2"/>
        <v>3900</v>
      </c>
      <c r="Q10" s="78" t="s">
        <v>19</v>
      </c>
      <c r="R10" s="79"/>
      <c r="S10" s="80"/>
      <c r="T10">
        <v>6</v>
      </c>
      <c r="U10">
        <v>4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27</v>
      </c>
      <c r="C11" s="81"/>
      <c r="D11" s="46">
        <v>280</v>
      </c>
      <c r="E11" s="62"/>
      <c r="F11" s="62"/>
      <c r="G11" s="82">
        <v>0</v>
      </c>
      <c r="H11" s="64">
        <f>D11*E11+D11*F11</f>
        <v>0</v>
      </c>
      <c r="I11" s="83"/>
      <c r="J11" s="84"/>
      <c r="K11" s="84"/>
      <c r="L11" s="85">
        <v>0</v>
      </c>
      <c r="M11" s="53">
        <f t="shared" si="3"/>
        <v>0</v>
      </c>
      <c r="N11" s="86">
        <v>0</v>
      </c>
      <c r="O11" s="87">
        <v>0</v>
      </c>
      <c r="P11" s="88">
        <f t="shared" si="2"/>
        <v>0</v>
      </c>
      <c r="Q11" s="89" t="s">
        <v>19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9.5" thickBot="1" x14ac:dyDescent="0.35">
      <c r="A12" s="31">
        <v>6</v>
      </c>
      <c r="B12" s="44" t="s">
        <v>28</v>
      </c>
      <c r="C12" s="81" t="s">
        <v>29</v>
      </c>
      <c r="D12" s="71">
        <v>607.14</v>
      </c>
      <c r="E12" s="72">
        <v>5</v>
      </c>
      <c r="F12" s="91">
        <v>1</v>
      </c>
      <c r="G12" s="92">
        <v>0</v>
      </c>
      <c r="H12" s="64">
        <f>D12*7+D12*F12-0.12</f>
        <v>4857</v>
      </c>
      <c r="I12" s="93">
        <v>0</v>
      </c>
      <c r="J12" s="94"/>
      <c r="K12" s="94"/>
      <c r="L12" s="95">
        <v>1500</v>
      </c>
      <c r="M12" s="53">
        <f t="shared" si="3"/>
        <v>3357</v>
      </c>
      <c r="N12" s="96">
        <v>5300</v>
      </c>
      <c r="O12" s="97">
        <v>500</v>
      </c>
      <c r="P12" s="98">
        <f t="shared" si="2"/>
        <v>2857</v>
      </c>
      <c r="Q12" s="99" t="s">
        <v>22</v>
      </c>
      <c r="R12" s="90"/>
      <c r="S12" s="90"/>
      <c r="T12">
        <v>5</v>
      </c>
      <c r="U12">
        <v>2</v>
      </c>
      <c r="V12">
        <v>1</v>
      </c>
      <c r="W12">
        <v>4</v>
      </c>
      <c r="X12">
        <v>5</v>
      </c>
      <c r="Y12">
        <v>5</v>
      </c>
      <c r="Z12">
        <v>1</v>
      </c>
      <c r="AA12">
        <v>2</v>
      </c>
    </row>
    <row r="13" spans="1:28" ht="18.75" x14ac:dyDescent="0.3">
      <c r="A13" s="31">
        <v>7</v>
      </c>
      <c r="B13" s="44" t="s">
        <v>30</v>
      </c>
      <c r="C13" s="100" t="s">
        <v>31</v>
      </c>
      <c r="D13" s="71">
        <v>314.29000000000002</v>
      </c>
      <c r="E13" s="72">
        <v>5</v>
      </c>
      <c r="F13" s="72">
        <v>1</v>
      </c>
      <c r="G13" s="73">
        <v>0</v>
      </c>
      <c r="H13" s="64">
        <f>D13*7+D13*F13-0.03</f>
        <v>2514.29</v>
      </c>
      <c r="I13" s="101">
        <v>0</v>
      </c>
      <c r="J13" s="102"/>
      <c r="K13" s="102"/>
      <c r="L13" s="103">
        <v>1004.32</v>
      </c>
      <c r="M13" s="53">
        <f t="shared" si="3"/>
        <v>1509.9699999999998</v>
      </c>
      <c r="N13" s="104">
        <v>0</v>
      </c>
      <c r="O13" s="87">
        <v>0</v>
      </c>
      <c r="P13" s="105">
        <f t="shared" si="2"/>
        <v>1509.9699999999998</v>
      </c>
      <c r="Q13" s="106" t="s">
        <v>22</v>
      </c>
      <c r="R13" s="107"/>
      <c r="S13" s="108"/>
      <c r="T13" s="109">
        <v>0</v>
      </c>
      <c r="U13">
        <v>5</v>
      </c>
      <c r="V13">
        <v>5</v>
      </c>
      <c r="W13">
        <v>0</v>
      </c>
      <c r="X13">
        <v>0</v>
      </c>
      <c r="Y13">
        <v>1</v>
      </c>
      <c r="Z13">
        <v>0</v>
      </c>
      <c r="AA13">
        <v>0</v>
      </c>
    </row>
    <row r="14" spans="1:28" ht="18.75" x14ac:dyDescent="0.3">
      <c r="A14" s="31">
        <v>8</v>
      </c>
      <c r="B14" s="44" t="s">
        <v>32</v>
      </c>
      <c r="C14" s="110" t="s">
        <v>33</v>
      </c>
      <c r="D14" s="46">
        <v>257.14999999999998</v>
      </c>
      <c r="E14" s="62">
        <v>4</v>
      </c>
      <c r="F14" s="62"/>
      <c r="G14" s="63">
        <v>167</v>
      </c>
      <c r="H14" s="64">
        <f>D14*E14+F14*D14+0.4</f>
        <v>1029</v>
      </c>
      <c r="I14" s="111"/>
      <c r="J14" s="111"/>
      <c r="K14" s="111"/>
      <c r="L14" s="112">
        <v>0</v>
      </c>
      <c r="M14" s="53">
        <f>I14+H14+G14-L14</f>
        <v>1196</v>
      </c>
      <c r="N14" s="82">
        <v>0</v>
      </c>
      <c r="O14" s="112">
        <v>0</v>
      </c>
      <c r="P14" s="88">
        <f>M14-O14</f>
        <v>1196</v>
      </c>
      <c r="Q14" s="78" t="s">
        <v>19</v>
      </c>
      <c r="R14" s="108"/>
      <c r="S14" s="108"/>
      <c r="T14" s="109">
        <v>0</v>
      </c>
      <c r="U14">
        <v>5</v>
      </c>
      <c r="V14">
        <v>1</v>
      </c>
      <c r="W14">
        <v>1</v>
      </c>
      <c r="X14">
        <v>2</v>
      </c>
      <c r="Y14">
        <v>0</v>
      </c>
      <c r="Z14">
        <v>1</v>
      </c>
      <c r="AA14">
        <v>1</v>
      </c>
      <c r="AB14" t="s">
        <v>0</v>
      </c>
    </row>
    <row r="15" spans="1:28" ht="32.25" x14ac:dyDescent="0.3">
      <c r="A15" s="31">
        <v>9</v>
      </c>
      <c r="B15" s="69" t="s">
        <v>34</v>
      </c>
      <c r="C15" s="113" t="s">
        <v>35</v>
      </c>
      <c r="D15" s="46">
        <v>416.67</v>
      </c>
      <c r="E15" s="62">
        <v>6</v>
      </c>
      <c r="F15" s="62"/>
      <c r="G15" s="63">
        <v>0</v>
      </c>
      <c r="H15" s="63">
        <f>D15*E15+F15*D15-0.02</f>
        <v>2500</v>
      </c>
      <c r="I15" s="111"/>
      <c r="J15" s="111"/>
      <c r="K15" s="111"/>
      <c r="L15" s="112">
        <v>0</v>
      </c>
      <c r="M15" s="114">
        <f t="shared" si="3"/>
        <v>2500</v>
      </c>
      <c r="N15" s="82"/>
      <c r="O15" s="112"/>
      <c r="P15" s="88">
        <f t="shared" si="2"/>
        <v>2500</v>
      </c>
      <c r="Q15" s="115" t="s">
        <v>19</v>
      </c>
      <c r="R15" s="116"/>
      <c r="S15" s="108"/>
      <c r="T15" s="109">
        <v>5</v>
      </c>
      <c r="U15" s="117">
        <v>0</v>
      </c>
      <c r="V15" s="117">
        <v>0</v>
      </c>
      <c r="W15" s="117">
        <v>0</v>
      </c>
      <c r="X15" s="117">
        <v>0</v>
      </c>
      <c r="Y15" s="117">
        <v>0</v>
      </c>
      <c r="Z15" s="117">
        <v>0</v>
      </c>
      <c r="AA15" s="117">
        <v>0</v>
      </c>
      <c r="AB15" s="117"/>
    </row>
    <row r="16" spans="1:28" ht="23.25" x14ac:dyDescent="0.3">
      <c r="A16" s="31">
        <v>10</v>
      </c>
      <c r="B16" s="118" t="s">
        <v>36</v>
      </c>
      <c r="C16" s="119">
        <v>44060</v>
      </c>
      <c r="D16" s="120">
        <v>416.67</v>
      </c>
      <c r="E16" s="47">
        <v>6</v>
      </c>
      <c r="F16" s="47"/>
      <c r="G16" s="48">
        <v>0</v>
      </c>
      <c r="H16" s="64">
        <f>D16*E16+F16*D16-0.02</f>
        <v>2500</v>
      </c>
      <c r="I16" s="121">
        <v>0</v>
      </c>
      <c r="J16" s="122"/>
      <c r="K16" s="122"/>
      <c r="L16" s="52">
        <v>0</v>
      </c>
      <c r="M16" s="53">
        <f t="shared" si="3"/>
        <v>2500</v>
      </c>
      <c r="N16" s="123">
        <v>0</v>
      </c>
      <c r="O16" s="55">
        <v>0</v>
      </c>
      <c r="P16" s="105">
        <f>M16-O16</f>
        <v>2500</v>
      </c>
      <c r="Q16" s="124" t="s">
        <v>19</v>
      </c>
      <c r="R16" s="116"/>
      <c r="S16" s="108"/>
      <c r="T16" s="109">
        <v>4</v>
      </c>
      <c r="U16" s="117">
        <v>2</v>
      </c>
      <c r="V16" s="117">
        <v>1</v>
      </c>
      <c r="W16" s="117">
        <v>0</v>
      </c>
      <c r="X16" s="117">
        <v>0</v>
      </c>
      <c r="Y16" s="117">
        <v>0</v>
      </c>
      <c r="Z16" s="117">
        <v>0</v>
      </c>
      <c r="AA16" s="117">
        <v>0</v>
      </c>
      <c r="AB16" s="117"/>
    </row>
    <row r="17" spans="1:28" ht="24" thickBot="1" x14ac:dyDescent="0.35">
      <c r="A17" s="31">
        <v>11</v>
      </c>
      <c r="B17" s="44" t="s">
        <v>37</v>
      </c>
      <c r="C17" s="125">
        <v>44076</v>
      </c>
      <c r="D17" s="126">
        <v>266.67</v>
      </c>
      <c r="E17" s="62">
        <v>6</v>
      </c>
      <c r="F17" s="62"/>
      <c r="G17" s="63">
        <v>0</v>
      </c>
      <c r="H17" s="64">
        <f>D17*E17-0.02</f>
        <v>1600</v>
      </c>
      <c r="I17" s="121">
        <v>0</v>
      </c>
      <c r="J17" s="122"/>
      <c r="K17" s="122"/>
      <c r="L17" s="52">
        <v>0</v>
      </c>
      <c r="M17" s="53">
        <f t="shared" si="3"/>
        <v>1600</v>
      </c>
      <c r="N17" s="123">
        <v>0</v>
      </c>
      <c r="O17" s="55">
        <v>0</v>
      </c>
      <c r="P17" s="105">
        <f>M17-O17</f>
        <v>1600</v>
      </c>
      <c r="Q17" s="124" t="s">
        <v>19</v>
      </c>
      <c r="R17" s="116"/>
      <c r="S17" s="108"/>
      <c r="T17" s="127">
        <v>1</v>
      </c>
      <c r="U17" s="128">
        <v>5</v>
      </c>
      <c r="V17" s="128">
        <v>1</v>
      </c>
      <c r="W17" s="128">
        <v>0</v>
      </c>
      <c r="X17" s="128">
        <v>0</v>
      </c>
      <c r="Y17" s="128">
        <v>0</v>
      </c>
      <c r="Z17" s="128">
        <v>0</v>
      </c>
      <c r="AA17" s="128">
        <v>0</v>
      </c>
      <c r="AB17" s="117"/>
    </row>
    <row r="18" spans="1:28" ht="17.25" thickTop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3"/>
        <v>0</v>
      </c>
      <c r="N18" s="133">
        <v>0</v>
      </c>
      <c r="O18" s="134">
        <v>0</v>
      </c>
      <c r="P18" s="88">
        <f t="shared" si="2"/>
        <v>0</v>
      </c>
      <c r="Q18" s="43"/>
      <c r="S18" s="109"/>
      <c r="T18" s="109">
        <f>SUM(T7:T17)</f>
        <v>32</v>
      </c>
      <c r="U18" s="109">
        <f t="shared" ref="U18:AA18" si="4">SUM(U7:U17)</f>
        <v>26</v>
      </c>
      <c r="V18" s="109">
        <f t="shared" si="4"/>
        <v>13</v>
      </c>
      <c r="W18" s="109">
        <f>SUM(W7:W17)</f>
        <v>6</v>
      </c>
      <c r="X18" s="109">
        <f t="shared" si="4"/>
        <v>8</v>
      </c>
      <c r="Y18" s="109">
        <f t="shared" si="4"/>
        <v>7</v>
      </c>
      <c r="Z18" s="109">
        <f t="shared" si="4"/>
        <v>2</v>
      </c>
      <c r="AA18" s="109">
        <f t="shared" si="4"/>
        <v>5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25800.29</v>
      </c>
      <c r="I19" s="141">
        <f>SUM(I7:I18)</f>
        <v>-169.62</v>
      </c>
      <c r="J19" s="141"/>
      <c r="K19" s="141"/>
      <c r="L19" s="142">
        <f>SUM(L7:L18)</f>
        <v>2504.3200000000002</v>
      </c>
      <c r="M19" s="143">
        <f>SUM(M7:M18)</f>
        <v>23045.29</v>
      </c>
      <c r="N19" s="144">
        <f>SUM(N8:N18)</f>
        <v>5300</v>
      </c>
      <c r="O19" s="145">
        <f>SUM(O8:O18)</f>
        <v>500</v>
      </c>
      <c r="P19" s="146">
        <f>SUM(P7:P18)</f>
        <v>22545.29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5">T18*T6</f>
        <v>16000</v>
      </c>
      <c r="U20" s="151">
        <f t="shared" si="5"/>
        <v>5200</v>
      </c>
      <c r="V20" s="151">
        <f t="shared" si="5"/>
        <v>1300</v>
      </c>
      <c r="W20" s="152">
        <f t="shared" si="5"/>
        <v>300</v>
      </c>
      <c r="X20" s="151">
        <f t="shared" si="5"/>
        <v>160</v>
      </c>
      <c r="Y20" s="151">
        <f t="shared" si="5"/>
        <v>70</v>
      </c>
      <c r="Z20" s="151">
        <f t="shared" si="5"/>
        <v>10</v>
      </c>
      <c r="AA20" s="151">
        <f t="shared" si="5"/>
        <v>5</v>
      </c>
      <c r="AB20" s="153">
        <f>SUM(T20:AA20)</f>
        <v>23045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23045.29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T11" sqref="T1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560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1300</v>
      </c>
      <c r="O11" s="97">
        <v>500</v>
      </c>
      <c r="P11" s="98">
        <f t="shared" si="1"/>
        <v>3143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44" t="s">
        <v>37</v>
      </c>
      <c r="C14" s="210">
        <v>44076</v>
      </c>
      <c r="D14" s="211">
        <v>266.67</v>
      </c>
      <c r="E14" s="62">
        <v>6</v>
      </c>
      <c r="F14" s="62"/>
      <c r="G14" s="63">
        <v>0</v>
      </c>
      <c r="H14" s="64">
        <f>D14*E14-0.02</f>
        <v>1600</v>
      </c>
      <c r="I14" s="121">
        <v>0</v>
      </c>
      <c r="J14" s="122"/>
      <c r="K14" s="122"/>
      <c r="L14" s="52">
        <v>0</v>
      </c>
      <c r="M14" s="53">
        <f t="shared" si="2"/>
        <v>1600</v>
      </c>
      <c r="N14" s="123">
        <v>0</v>
      </c>
      <c r="O14" s="55">
        <v>0</v>
      </c>
      <c r="P14" s="105">
        <f>M14-O14</f>
        <v>1600</v>
      </c>
      <c r="Q14" s="124" t="s">
        <v>19</v>
      </c>
      <c r="R14" s="116"/>
      <c r="S14" s="108"/>
      <c r="T14" s="196">
        <v>1</v>
      </c>
      <c r="U14" s="197">
        <v>5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3</v>
      </c>
      <c r="U15" s="197">
        <v>3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2</v>
      </c>
      <c r="G16" s="63">
        <v>667</v>
      </c>
      <c r="H16" s="64">
        <f>D16*E16+0.02</f>
        <v>2000</v>
      </c>
      <c r="I16" s="111"/>
      <c r="J16" s="111"/>
      <c r="K16" s="111"/>
      <c r="L16" s="112"/>
      <c r="M16" s="53">
        <f>I16+H16+G16-L16</f>
        <v>2667</v>
      </c>
      <c r="N16" s="193"/>
      <c r="O16" s="194"/>
      <c r="P16" s="105">
        <f>M16-O16</f>
        <v>2667</v>
      </c>
      <c r="Q16" s="124" t="s">
        <v>19</v>
      </c>
      <c r="R16" s="116"/>
      <c r="S16" s="108"/>
      <c r="T16" s="127">
        <v>3</v>
      </c>
      <c r="U16" s="128">
        <v>5</v>
      </c>
      <c r="V16" s="128">
        <v>1</v>
      </c>
      <c r="W16" s="128">
        <v>1</v>
      </c>
      <c r="X16" s="128">
        <v>0</v>
      </c>
      <c r="Y16" s="128">
        <v>1</v>
      </c>
      <c r="Z16" s="128">
        <v>1</v>
      </c>
      <c r="AA16" s="128">
        <v>2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 t="shared" ref="T17:AA17" si="3">SUM(T7:T16)</f>
        <v>32</v>
      </c>
      <c r="U17" s="109">
        <f t="shared" si="3"/>
        <v>29</v>
      </c>
      <c r="V17" s="109">
        <f t="shared" si="3"/>
        <v>11</v>
      </c>
      <c r="W17" s="109">
        <f t="shared" si="3"/>
        <v>6</v>
      </c>
      <c r="X17" s="109">
        <f t="shared" si="3"/>
        <v>8</v>
      </c>
      <c r="Y17" s="109">
        <f t="shared" si="3"/>
        <v>5</v>
      </c>
      <c r="Z17" s="109">
        <f t="shared" si="3"/>
        <v>1</v>
      </c>
      <c r="AA17" s="109">
        <f t="shared" si="3"/>
        <v>8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25080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23423.32</v>
      </c>
      <c r="N18" s="144">
        <f>SUM(N8:N17)</f>
        <v>1300</v>
      </c>
      <c r="O18" s="145">
        <f>SUM(O8:O17)</f>
        <v>500</v>
      </c>
      <c r="P18" s="146">
        <f>SUM(P7:P17)</f>
        <v>22923.32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16000</v>
      </c>
      <c r="U19" s="151">
        <f t="shared" si="4"/>
        <v>5800</v>
      </c>
      <c r="V19" s="151">
        <f t="shared" si="4"/>
        <v>1100</v>
      </c>
      <c r="W19" s="152">
        <f t="shared" si="4"/>
        <v>300</v>
      </c>
      <c r="X19" s="151">
        <f t="shared" si="4"/>
        <v>160</v>
      </c>
      <c r="Y19" s="151">
        <f t="shared" si="4"/>
        <v>50</v>
      </c>
      <c r="Z19" s="151">
        <f t="shared" si="4"/>
        <v>5</v>
      </c>
      <c r="AA19" s="151">
        <f t="shared" si="4"/>
        <v>8</v>
      </c>
      <c r="AB19" s="153">
        <f>SUM(T19:AA19)</f>
        <v>23423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23423.32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L4" workbookViewId="0">
      <selection activeCell="S14" sqref="S1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59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420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8" si="2">I10+H10+G10-L10</f>
        <v>2100</v>
      </c>
      <c r="N10" s="86">
        <v>0</v>
      </c>
      <c r="O10" s="87">
        <v>0</v>
      </c>
      <c r="P10" s="88">
        <f t="shared" si="1"/>
        <v>2100</v>
      </c>
      <c r="Q10" s="89" t="s">
        <v>19</v>
      </c>
      <c r="R10" s="90"/>
      <c r="S10" s="90"/>
      <c r="T10">
        <v>4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800</v>
      </c>
      <c r="O11" s="97">
        <v>500</v>
      </c>
      <c r="P11" s="98">
        <f t="shared" si="1"/>
        <v>3143</v>
      </c>
      <c r="Q11" s="99" t="s">
        <v>22</v>
      </c>
      <c r="R11" s="90"/>
      <c r="S11" s="90"/>
      <c r="T11">
        <v>7</v>
      </c>
      <c r="U11">
        <v>0</v>
      </c>
      <c r="V11">
        <v>1</v>
      </c>
      <c r="W11">
        <v>0</v>
      </c>
      <c r="X11">
        <v>2</v>
      </c>
      <c r="Y11">
        <v>0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11">
        <v>416.67</v>
      </c>
      <c r="E13" s="214">
        <v>6</v>
      </c>
      <c r="F13" s="214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44" t="s">
        <v>37</v>
      </c>
      <c r="C14" s="210">
        <v>44076</v>
      </c>
      <c r="D14" s="211">
        <v>266.67</v>
      </c>
      <c r="E14" s="62">
        <v>6</v>
      </c>
      <c r="F14" s="62"/>
      <c r="G14" s="63">
        <v>0</v>
      </c>
      <c r="H14" s="64">
        <f>D14*E14-0.02</f>
        <v>1600</v>
      </c>
      <c r="I14" s="121">
        <v>0</v>
      </c>
      <c r="J14" s="122"/>
      <c r="K14" s="122"/>
      <c r="L14" s="52">
        <v>0</v>
      </c>
      <c r="M14" s="53">
        <f t="shared" si="2"/>
        <v>1600</v>
      </c>
      <c r="N14" s="123">
        <v>0</v>
      </c>
      <c r="O14" s="55">
        <v>0</v>
      </c>
      <c r="P14" s="105">
        <f>M14-O14</f>
        <v>1600</v>
      </c>
      <c r="Q14" s="124" t="s">
        <v>19</v>
      </c>
      <c r="R14" s="116"/>
      <c r="S14" s="108"/>
      <c r="T14" s="196">
        <v>1</v>
      </c>
      <c r="U14" s="197">
        <v>5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3</v>
      </c>
      <c r="U15" s="197">
        <v>3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/>
      <c r="G16" s="63"/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/>
      <c r="O17" s="194"/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35</v>
      </c>
      <c r="U18" s="220">
        <f t="shared" ref="U18:AA18" si="3">SUM(U7:U17)</f>
        <v>28</v>
      </c>
      <c r="V18" s="220">
        <f t="shared" si="3"/>
        <v>12</v>
      </c>
      <c r="W18" s="220">
        <f t="shared" si="3"/>
        <v>1</v>
      </c>
      <c r="X18" s="220">
        <f t="shared" si="3"/>
        <v>3</v>
      </c>
      <c r="Y18" s="220">
        <f>SUM(Y7:Y17)</f>
        <v>0</v>
      </c>
      <c r="Z18" s="220">
        <f t="shared" si="3"/>
        <v>0</v>
      </c>
      <c r="AA18" s="220">
        <f t="shared" si="3"/>
        <v>6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26880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24416.32</v>
      </c>
      <c r="N19" s="144">
        <f>SUM(N8:N18)</f>
        <v>800</v>
      </c>
      <c r="O19" s="145">
        <f>SUM(O8:O18)</f>
        <v>500</v>
      </c>
      <c r="P19" s="146">
        <f>SUM(P7:P18)</f>
        <v>23916.32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17500</v>
      </c>
      <c r="U20" s="151">
        <f t="shared" si="4"/>
        <v>5600</v>
      </c>
      <c r="V20" s="151">
        <f t="shared" si="4"/>
        <v>1200</v>
      </c>
      <c r="W20" s="152">
        <f t="shared" si="4"/>
        <v>50</v>
      </c>
      <c r="X20" s="151">
        <f t="shared" si="4"/>
        <v>60</v>
      </c>
      <c r="Y20" s="151">
        <f t="shared" si="4"/>
        <v>0</v>
      </c>
      <c r="Z20" s="151">
        <f t="shared" si="4"/>
        <v>0</v>
      </c>
      <c r="AA20" s="151">
        <f t="shared" si="4"/>
        <v>6</v>
      </c>
      <c r="AB20" s="153">
        <f>SUM(T20:AA20)</f>
        <v>24416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24416.32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M4" workbookViewId="0">
      <selection activeCell="T9" sqref="T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62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221">
        <v>876</v>
      </c>
      <c r="O8" s="55">
        <v>330</v>
      </c>
      <c r="P8" s="66">
        <f t="shared" si="1"/>
        <v>1590.3199999999997</v>
      </c>
      <c r="Q8" s="57" t="s">
        <v>22</v>
      </c>
      <c r="R8" s="67"/>
      <c r="S8" s="68"/>
      <c r="T8">
        <v>2</v>
      </c>
      <c r="U8">
        <v>3</v>
      </c>
      <c r="V8">
        <v>2</v>
      </c>
      <c r="W8">
        <v>2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8" si="2">I10+H10+G10-L10</f>
        <v>1680</v>
      </c>
      <c r="N10" s="86">
        <v>0</v>
      </c>
      <c r="O10" s="87">
        <v>0</v>
      </c>
      <c r="P10" s="88">
        <f t="shared" si="1"/>
        <v>1680</v>
      </c>
      <c r="Q10" s="89" t="s">
        <v>19</v>
      </c>
      <c r="R10" s="90"/>
      <c r="S10" s="90"/>
      <c r="T10">
        <v>3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300</v>
      </c>
      <c r="O11" s="97">
        <v>300</v>
      </c>
      <c r="P11" s="98">
        <f t="shared" si="1"/>
        <v>3343</v>
      </c>
      <c r="Q11" s="99" t="s">
        <v>22</v>
      </c>
      <c r="R11" s="90"/>
      <c r="S11" s="90"/>
      <c r="T11">
        <v>7</v>
      </c>
      <c r="U11">
        <v>0</v>
      </c>
      <c r="V11">
        <v>1</v>
      </c>
      <c r="W11">
        <v>0</v>
      </c>
      <c r="X11">
        <v>2</v>
      </c>
      <c r="Y11">
        <v>0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/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1</v>
      </c>
      <c r="U14" s="197">
        <v>5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3</v>
      </c>
      <c r="U15" s="197">
        <v>3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2</v>
      </c>
      <c r="G16" s="63">
        <v>667</v>
      </c>
      <c r="H16" s="64">
        <f>D16*E16+0.02</f>
        <v>2000</v>
      </c>
      <c r="I16" s="111"/>
      <c r="J16" s="111"/>
      <c r="K16" s="111"/>
      <c r="L16" s="112"/>
      <c r="M16" s="53">
        <f>I16+H16+G16-L16</f>
        <v>2667</v>
      </c>
      <c r="N16" s="193"/>
      <c r="O16" s="194"/>
      <c r="P16" s="105">
        <f>M16-O16</f>
        <v>2667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/>
      <c r="O17" s="194"/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28</v>
      </c>
      <c r="U18" s="220">
        <f t="shared" ref="U18:AA18" si="3">SUM(U7:U17)</f>
        <v>29</v>
      </c>
      <c r="V18" s="220">
        <f t="shared" si="3"/>
        <v>14</v>
      </c>
      <c r="W18" s="220">
        <f t="shared" si="3"/>
        <v>4</v>
      </c>
      <c r="X18" s="220">
        <f t="shared" si="3"/>
        <v>4</v>
      </c>
      <c r="Y18" s="220">
        <f t="shared" si="3"/>
        <v>1</v>
      </c>
      <c r="Z18" s="220">
        <f t="shared" si="3"/>
        <v>0</v>
      </c>
      <c r="AA18" s="220">
        <f t="shared" si="3"/>
        <v>6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22780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20563.32</v>
      </c>
      <c r="N19" s="144">
        <f>SUM(N8:N18)</f>
        <v>1176</v>
      </c>
      <c r="O19" s="145">
        <f>SUM(O8:O18)</f>
        <v>630</v>
      </c>
      <c r="P19" s="146">
        <f>SUM(P7:P18)</f>
        <v>19933.32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14000</v>
      </c>
      <c r="U20" s="151">
        <f t="shared" si="4"/>
        <v>5800</v>
      </c>
      <c r="V20" s="151">
        <f t="shared" si="4"/>
        <v>1400</v>
      </c>
      <c r="W20" s="152">
        <f t="shared" si="4"/>
        <v>200</v>
      </c>
      <c r="X20" s="151">
        <f t="shared" si="4"/>
        <v>80</v>
      </c>
      <c r="Y20" s="151">
        <f t="shared" si="4"/>
        <v>10</v>
      </c>
      <c r="Z20" s="151">
        <f t="shared" si="4"/>
        <v>0</v>
      </c>
      <c r="AA20" s="151">
        <f t="shared" si="4"/>
        <v>6</v>
      </c>
      <c r="AB20" s="153">
        <f>SUM(T20:AA20)</f>
        <v>21496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20563.32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P23" sqref="P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63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221">
        <v>546</v>
      </c>
      <c r="O8" s="55">
        <v>300</v>
      </c>
      <c r="P8" s="66">
        <f t="shared" si="1"/>
        <v>1620.3199999999997</v>
      </c>
      <c r="Q8" s="57" t="s">
        <v>22</v>
      </c>
      <c r="R8" s="67"/>
      <c r="S8" s="68"/>
      <c r="T8">
        <v>2</v>
      </c>
      <c r="U8">
        <v>3</v>
      </c>
      <c r="V8">
        <v>2</v>
      </c>
      <c r="W8">
        <v>2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0.5</v>
      </c>
      <c r="G9" s="73">
        <v>0</v>
      </c>
      <c r="H9" s="64">
        <f>D9*E9+D9*F9+0.29</f>
        <v>2817</v>
      </c>
      <c r="I9" s="74"/>
      <c r="J9" s="75"/>
      <c r="K9" s="75"/>
      <c r="L9" s="76"/>
      <c r="M9" s="53">
        <f>I9+H9+G9-L9</f>
        <v>2817</v>
      </c>
      <c r="N9" s="77" t="s">
        <v>26</v>
      </c>
      <c r="O9" s="55">
        <v>0</v>
      </c>
      <c r="P9" s="66">
        <f t="shared" si="1"/>
        <v>2817</v>
      </c>
      <c r="Q9" s="78" t="s">
        <v>19</v>
      </c>
      <c r="R9" s="79"/>
      <c r="S9" s="80"/>
      <c r="T9">
        <v>4</v>
      </c>
      <c r="U9">
        <v>3</v>
      </c>
      <c r="V9">
        <v>2</v>
      </c>
      <c r="W9">
        <v>0</v>
      </c>
      <c r="X9">
        <v>0</v>
      </c>
      <c r="Y9">
        <v>1</v>
      </c>
      <c r="Z9">
        <v>1</v>
      </c>
      <c r="AA9">
        <v>2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560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8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1</v>
      </c>
      <c r="Z11">
        <v>0</v>
      </c>
      <c r="AA11">
        <v>0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1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>
        <v>0</v>
      </c>
      <c r="O16" s="194">
        <v>0</v>
      </c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24</v>
      </c>
      <c r="U18" s="220">
        <f t="shared" ref="U18:AA18" si="3">SUM(U7:U17)</f>
        <v>28</v>
      </c>
      <c r="V18" s="220">
        <f t="shared" si="3"/>
        <v>16</v>
      </c>
      <c r="W18" s="220">
        <f t="shared" si="3"/>
        <v>7</v>
      </c>
      <c r="X18" s="220">
        <f t="shared" si="3"/>
        <v>8</v>
      </c>
      <c r="Y18" s="220">
        <f t="shared" si="3"/>
        <v>2</v>
      </c>
      <c r="Z18" s="220">
        <f t="shared" si="3"/>
        <v>1</v>
      </c>
      <c r="AA18" s="220">
        <f t="shared" si="3"/>
        <v>5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22997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20673.32</v>
      </c>
      <c r="N19" s="144">
        <f>SUM(N8:N18)</f>
        <v>546</v>
      </c>
      <c r="O19" s="145">
        <f>SUM(O8:O18)</f>
        <v>300</v>
      </c>
      <c r="P19" s="146">
        <f>SUM(P7:P18)</f>
        <v>20373.32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12000</v>
      </c>
      <c r="U20" s="151">
        <f t="shared" si="4"/>
        <v>5600</v>
      </c>
      <c r="V20" s="151">
        <f t="shared" si="4"/>
        <v>1600</v>
      </c>
      <c r="W20" s="152">
        <f t="shared" si="4"/>
        <v>350</v>
      </c>
      <c r="X20" s="151">
        <f t="shared" si="4"/>
        <v>160</v>
      </c>
      <c r="Y20" s="151">
        <f t="shared" si="4"/>
        <v>20</v>
      </c>
      <c r="Z20" s="151">
        <f t="shared" si="4"/>
        <v>5</v>
      </c>
      <c r="AA20" s="151">
        <f t="shared" si="4"/>
        <v>5</v>
      </c>
      <c r="AB20" s="153">
        <f>SUM(T20:AA20)</f>
        <v>19740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20673.32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E13" sqref="E1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64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221">
        <v>246</v>
      </c>
      <c r="O8" s="55">
        <v>246</v>
      </c>
      <c r="P8" s="66">
        <f t="shared" si="1"/>
        <v>1674.3199999999997</v>
      </c>
      <c r="Q8" s="57" t="s">
        <v>22</v>
      </c>
      <c r="R8" s="67"/>
      <c r="S8" s="68"/>
      <c r="T8">
        <v>2</v>
      </c>
      <c r="U8">
        <v>3</v>
      </c>
      <c r="V8">
        <v>2</v>
      </c>
      <c r="W8">
        <v>2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0</v>
      </c>
      <c r="F10" s="231"/>
      <c r="G10" s="232">
        <v>0</v>
      </c>
      <c r="H10" s="233">
        <f>D10*E10+D10*F10</f>
        <v>0</v>
      </c>
      <c r="I10" s="83"/>
      <c r="J10" s="84"/>
      <c r="K10" s="84"/>
      <c r="L10" s="85">
        <v>0</v>
      </c>
      <c r="M10" s="53">
        <f t="shared" ref="M10:M18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2</v>
      </c>
      <c r="G16" s="63">
        <f>F16*D16</f>
        <v>666.66</v>
      </c>
      <c r="H16" s="64">
        <f>D16*E16+0.36</f>
        <v>2000.34</v>
      </c>
      <c r="I16" s="111"/>
      <c r="J16" s="111"/>
      <c r="K16" s="111"/>
      <c r="L16" s="112"/>
      <c r="M16" s="53">
        <f>I16+H16+G16-L16</f>
        <v>2667</v>
      </c>
      <c r="N16" s="193">
        <v>0</v>
      </c>
      <c r="O16" s="194">
        <v>0</v>
      </c>
      <c r="P16" s="105">
        <f>M16-O16</f>
        <v>2667</v>
      </c>
      <c r="Q16" s="124" t="s">
        <v>19</v>
      </c>
      <c r="R16" s="116"/>
      <c r="S16" s="108"/>
      <c r="T16" s="196">
        <v>3</v>
      </c>
      <c r="U16" s="197">
        <v>5</v>
      </c>
      <c r="V16" s="197">
        <v>1</v>
      </c>
      <c r="W16" s="197">
        <v>1</v>
      </c>
      <c r="X16" s="197">
        <v>0</v>
      </c>
      <c r="Y16" s="197">
        <v>1</v>
      </c>
      <c r="Z16" s="197">
        <v>1</v>
      </c>
      <c r="AA16" s="197">
        <v>2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23</v>
      </c>
      <c r="U18" s="220">
        <f t="shared" ref="U18:AA18" si="3">SUM(U7:U17)</f>
        <v>33</v>
      </c>
      <c r="V18" s="220">
        <f t="shared" si="3"/>
        <v>16</v>
      </c>
      <c r="W18" s="220">
        <f t="shared" si="3"/>
        <v>8</v>
      </c>
      <c r="X18" s="220">
        <f t="shared" si="3"/>
        <v>6</v>
      </c>
      <c r="Y18" s="220">
        <f t="shared" si="3"/>
        <v>5</v>
      </c>
      <c r="Z18" s="220">
        <f t="shared" si="3"/>
        <v>1</v>
      </c>
      <c r="AA18" s="220">
        <f t="shared" si="3"/>
        <v>8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21100.34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18883.32</v>
      </c>
      <c r="N19" s="144">
        <f>SUM(N8:N18)</f>
        <v>246</v>
      </c>
      <c r="O19" s="145">
        <f>SUM(O8:O18)</f>
        <v>246</v>
      </c>
      <c r="P19" s="146">
        <f>SUM(P7:P18)</f>
        <v>18637.32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11500</v>
      </c>
      <c r="U20" s="151">
        <f t="shared" si="4"/>
        <v>6600</v>
      </c>
      <c r="V20" s="151">
        <f t="shared" si="4"/>
        <v>1600</v>
      </c>
      <c r="W20" s="152">
        <f t="shared" si="4"/>
        <v>400</v>
      </c>
      <c r="X20" s="151">
        <f t="shared" si="4"/>
        <v>120</v>
      </c>
      <c r="Y20" s="151">
        <f t="shared" si="4"/>
        <v>50</v>
      </c>
      <c r="Z20" s="151">
        <f t="shared" si="4"/>
        <v>5</v>
      </c>
      <c r="AA20" s="151">
        <f t="shared" si="4"/>
        <v>8</v>
      </c>
      <c r="AB20" s="153">
        <f>SUM(T20:AA20)</f>
        <v>20283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18883.32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A3" workbookViewId="0">
      <selection activeCell="B18" sqref="B1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9" x14ac:dyDescent="0.25">
      <c r="B1" s="281" t="s">
        <v>65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9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9" ht="18.75" x14ac:dyDescent="0.3">
      <c r="B3" s="5" t="s">
        <v>0</v>
      </c>
      <c r="Q3" s="3"/>
      <c r="R3" s="4"/>
      <c r="S3" s="4"/>
      <c r="T3" s="4"/>
    </row>
    <row r="4" spans="1:29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9" ht="15.75" thickBot="1" x14ac:dyDescent="0.3">
      <c r="N5" s="12"/>
      <c r="Q5" s="13"/>
    </row>
    <row r="6" spans="1:29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9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9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9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0.5</v>
      </c>
      <c r="G9" s="73">
        <v>0</v>
      </c>
      <c r="H9" s="64">
        <f>D9*E9+D9*F9+0.29</f>
        <v>2817</v>
      </c>
      <c r="I9" s="74"/>
      <c r="J9" s="75"/>
      <c r="K9" s="75"/>
      <c r="L9" s="76"/>
      <c r="M9" s="53">
        <f>I9+H9+G9-L9</f>
        <v>2817</v>
      </c>
      <c r="N9" s="77" t="s">
        <v>26</v>
      </c>
      <c r="O9" s="55">
        <v>0</v>
      </c>
      <c r="P9" s="66">
        <f t="shared" si="1"/>
        <v>2817</v>
      </c>
      <c r="Q9" s="78" t="s">
        <v>19</v>
      </c>
      <c r="R9" s="79"/>
      <c r="S9" s="80"/>
      <c r="T9">
        <v>5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2</v>
      </c>
    </row>
    <row r="10" spans="1:29" ht="19.5" thickBot="1" x14ac:dyDescent="0.35">
      <c r="A10" s="31">
        <v>4</v>
      </c>
      <c r="B10" s="44" t="s">
        <v>27</v>
      </c>
      <c r="C10" s="81"/>
      <c r="D10" s="46">
        <v>280</v>
      </c>
      <c r="E10" s="62"/>
      <c r="F10" s="231"/>
      <c r="G10" s="232">
        <v>0</v>
      </c>
      <c r="H10" s="233">
        <f>D10*E10+D10*F10</f>
        <v>0</v>
      </c>
      <c r="I10" s="83"/>
      <c r="J10" s="84"/>
      <c r="K10" s="84"/>
      <c r="L10" s="85">
        <v>0</v>
      </c>
      <c r="M10" s="53">
        <f t="shared" ref="M10:M18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9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9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9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9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  <c r="AC14" t="s">
        <v>0</v>
      </c>
    </row>
    <row r="15" spans="1:29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9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0</v>
      </c>
      <c r="G16" s="63">
        <f>F16*D16</f>
        <v>0</v>
      </c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>
        <v>0</v>
      </c>
      <c r="O16" s="194">
        <v>0</v>
      </c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24</v>
      </c>
      <c r="U18" s="220">
        <f t="shared" ref="U18:AA18" si="3">SUM(U7:U17)</f>
        <v>30</v>
      </c>
      <c r="V18" s="220">
        <f t="shared" si="3"/>
        <v>14</v>
      </c>
      <c r="W18" s="220">
        <f t="shared" si="3"/>
        <v>5</v>
      </c>
      <c r="X18" s="220">
        <f t="shared" si="3"/>
        <v>6</v>
      </c>
      <c r="Y18" s="220">
        <f t="shared" si="3"/>
        <v>5</v>
      </c>
      <c r="Z18" s="220">
        <f t="shared" si="3"/>
        <v>1</v>
      </c>
      <c r="AA18" s="220">
        <f t="shared" si="3"/>
        <v>8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21317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18433.32</v>
      </c>
      <c r="N19" s="144">
        <f>SUM(N8:N18)</f>
        <v>0</v>
      </c>
      <c r="O19" s="145">
        <f>SUM(O8:O18)</f>
        <v>0</v>
      </c>
      <c r="P19" s="146">
        <f>SUM(P7:P18)</f>
        <v>18433.32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12000</v>
      </c>
      <c r="U20" s="151">
        <f t="shared" si="4"/>
        <v>6000</v>
      </c>
      <c r="V20" s="151">
        <f t="shared" si="4"/>
        <v>1400</v>
      </c>
      <c r="W20" s="152">
        <f t="shared" si="4"/>
        <v>250</v>
      </c>
      <c r="X20" s="151">
        <f t="shared" si="4"/>
        <v>120</v>
      </c>
      <c r="Y20" s="151">
        <f t="shared" si="4"/>
        <v>50</v>
      </c>
      <c r="Z20" s="151">
        <f t="shared" si="4"/>
        <v>5</v>
      </c>
      <c r="AA20" s="151">
        <f t="shared" si="4"/>
        <v>8</v>
      </c>
      <c r="AB20" s="153">
        <f>SUM(T20:AA20)</f>
        <v>19833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18433.32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Q3" workbookViewId="0">
      <selection activeCell="R17" sqref="R1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9" x14ac:dyDescent="0.25">
      <c r="B1" s="281" t="s">
        <v>66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9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9" ht="18.75" x14ac:dyDescent="0.3">
      <c r="B3" s="5" t="s">
        <v>0</v>
      </c>
      <c r="Q3" s="3"/>
      <c r="R3" s="4"/>
      <c r="S3" s="4"/>
      <c r="T3" s="4"/>
    </row>
    <row r="4" spans="1:29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9" ht="15.75" thickBot="1" x14ac:dyDescent="0.3">
      <c r="N5" s="12"/>
      <c r="Q5" s="13"/>
    </row>
    <row r="6" spans="1:29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9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9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9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1.5</v>
      </c>
      <c r="G9" s="73">
        <v>0</v>
      </c>
      <c r="H9" s="64">
        <f>D9*E9+D9*F9-0.05</f>
        <v>3250</v>
      </c>
      <c r="I9" s="74"/>
      <c r="J9" s="75"/>
      <c r="K9" s="75"/>
      <c r="L9" s="76"/>
      <c r="M9" s="53">
        <f>I9+H9+G9-L9</f>
        <v>3250</v>
      </c>
      <c r="N9" s="77" t="s">
        <v>26</v>
      </c>
      <c r="O9" s="55">
        <v>0</v>
      </c>
      <c r="P9" s="66">
        <f t="shared" si="1"/>
        <v>3250</v>
      </c>
      <c r="Q9" s="78" t="s">
        <v>19</v>
      </c>
      <c r="R9" s="79"/>
      <c r="S9" s="80"/>
      <c r="T9">
        <v>5</v>
      </c>
      <c r="U9">
        <v>3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</row>
    <row r="10" spans="1:29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560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8" si="2">I10+H10+G10-L10</f>
        <v>1960</v>
      </c>
      <c r="N10" s="86">
        <v>0</v>
      </c>
      <c r="O10" s="87">
        <v>0</v>
      </c>
      <c r="P10" s="88">
        <f t="shared" si="1"/>
        <v>1960</v>
      </c>
      <c r="Q10" s="89" t="s">
        <v>19</v>
      </c>
      <c r="R10" s="90"/>
      <c r="S10" s="90"/>
      <c r="T10">
        <v>3</v>
      </c>
      <c r="U10">
        <v>2</v>
      </c>
      <c r="V10">
        <v>0</v>
      </c>
      <c r="W10">
        <v>0</v>
      </c>
      <c r="X10">
        <v>3</v>
      </c>
      <c r="Y10">
        <v>0</v>
      </c>
      <c r="Z10">
        <v>0</v>
      </c>
      <c r="AA10">
        <v>0</v>
      </c>
    </row>
    <row r="11" spans="1:29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2</v>
      </c>
      <c r="U11">
        <v>3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9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9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9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  <c r="AC14" t="s">
        <v>0</v>
      </c>
    </row>
    <row r="15" spans="1:29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9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0</v>
      </c>
      <c r="G16" s="63">
        <f>F16*D16</f>
        <v>0</v>
      </c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>
        <v>0</v>
      </c>
      <c r="O16" s="194">
        <v>0</v>
      </c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23</v>
      </c>
      <c r="U18" s="220">
        <f t="shared" ref="U18:AA18" si="3">SUM(U7:U17)</f>
        <v>30</v>
      </c>
      <c r="V18" s="220">
        <f t="shared" si="3"/>
        <v>14</v>
      </c>
      <c r="W18" s="220">
        <f t="shared" si="3"/>
        <v>6</v>
      </c>
      <c r="X18" s="220">
        <f t="shared" si="3"/>
        <v>9</v>
      </c>
      <c r="Y18" s="220">
        <f t="shared" si="3"/>
        <v>4</v>
      </c>
      <c r="Z18" s="220">
        <f t="shared" si="3"/>
        <v>0</v>
      </c>
      <c r="AA18" s="220">
        <f t="shared" si="3"/>
        <v>6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23150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20826.32</v>
      </c>
      <c r="N19" s="144">
        <f>SUM(N8:N18)</f>
        <v>0</v>
      </c>
      <c r="O19" s="145">
        <f>SUM(O8:O18)</f>
        <v>0</v>
      </c>
      <c r="P19" s="146">
        <f>SUM(P7:P18)</f>
        <v>20826.32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11500</v>
      </c>
      <c r="U20" s="151">
        <f t="shared" si="4"/>
        <v>6000</v>
      </c>
      <c r="V20" s="151">
        <f t="shared" si="4"/>
        <v>1400</v>
      </c>
      <c r="W20" s="152">
        <f t="shared" si="4"/>
        <v>300</v>
      </c>
      <c r="X20" s="151">
        <f t="shared" si="4"/>
        <v>180</v>
      </c>
      <c r="Y20" s="151">
        <f t="shared" si="4"/>
        <v>40</v>
      </c>
      <c r="Z20" s="151">
        <f t="shared" si="4"/>
        <v>0</v>
      </c>
      <c r="AA20" s="151">
        <f t="shared" si="4"/>
        <v>6</v>
      </c>
      <c r="AB20" s="153">
        <f>SUM(T20:AA20)</f>
        <v>19426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20826.32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opLeftCell="B4" workbookViewId="0">
      <selection activeCell="B22" sqref="B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9" x14ac:dyDescent="0.25">
      <c r="B1" s="281" t="s">
        <v>67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9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9" ht="18.75" x14ac:dyDescent="0.3">
      <c r="B3" s="5" t="s">
        <v>0</v>
      </c>
      <c r="Q3" s="3"/>
      <c r="R3" s="4"/>
      <c r="S3" s="4"/>
      <c r="T3" s="4"/>
    </row>
    <row r="4" spans="1:29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9" ht="15.75" thickBot="1" x14ac:dyDescent="0.3">
      <c r="N5" s="12"/>
      <c r="Q5" s="13"/>
    </row>
    <row r="6" spans="1:29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9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9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9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9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8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9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/>
      <c r="G11" s="92">
        <v>0</v>
      </c>
      <c r="H11" s="64">
        <f>D11*7+D11*F11+0.12</f>
        <v>4500.1400000000003</v>
      </c>
      <c r="I11" s="93">
        <v>0</v>
      </c>
      <c r="J11" s="94"/>
      <c r="K11" s="94"/>
      <c r="L11" s="95">
        <v>1500</v>
      </c>
      <c r="M11" s="53">
        <f t="shared" si="2"/>
        <v>3000.1400000000003</v>
      </c>
      <c r="N11" s="227">
        <v>0</v>
      </c>
      <c r="O11" s="97">
        <v>0</v>
      </c>
      <c r="P11" s="98">
        <f t="shared" si="1"/>
        <v>3000.1400000000003</v>
      </c>
      <c r="Q11" s="99" t="s">
        <v>22</v>
      </c>
      <c r="R11" s="90"/>
      <c r="S11" s="90"/>
      <c r="T11">
        <v>2</v>
      </c>
      <c r="U11">
        <v>1</v>
      </c>
      <c r="V11">
        <v>2</v>
      </c>
      <c r="W11">
        <v>3</v>
      </c>
      <c r="X11">
        <v>5</v>
      </c>
      <c r="Y11">
        <v>0</v>
      </c>
      <c r="Z11">
        <v>0</v>
      </c>
      <c r="AA11">
        <v>0</v>
      </c>
    </row>
    <row r="12" spans="1:29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9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9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  <c r="AC14" t="s">
        <v>0</v>
      </c>
    </row>
    <row r="15" spans="1:29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9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2</v>
      </c>
      <c r="G16" s="63">
        <f>F16*D16</f>
        <v>666.66</v>
      </c>
      <c r="H16" s="64">
        <f>D16*E16+0.02</f>
        <v>2000</v>
      </c>
      <c r="I16" s="111"/>
      <c r="J16" s="111"/>
      <c r="K16" s="111"/>
      <c r="L16" s="112"/>
      <c r="M16" s="53">
        <f>I16+H16+G16-L16+0.34</f>
        <v>2667</v>
      </c>
      <c r="N16" s="193">
        <v>0</v>
      </c>
      <c r="O16" s="194">
        <v>0</v>
      </c>
      <c r="P16" s="105">
        <f>M16-O16</f>
        <v>2667</v>
      </c>
      <c r="Q16" s="124" t="s">
        <v>19</v>
      </c>
      <c r="R16" s="116"/>
      <c r="S16" s="108"/>
      <c r="T16" s="196">
        <v>3</v>
      </c>
      <c r="U16" s="197">
        <v>5</v>
      </c>
      <c r="V16" s="197">
        <v>1</v>
      </c>
      <c r="W16" s="197">
        <v>1</v>
      </c>
      <c r="X16" s="197">
        <v>0</v>
      </c>
      <c r="Y16" s="197">
        <v>1</v>
      </c>
      <c r="Z16" s="197">
        <v>1</v>
      </c>
      <c r="AA16" s="197">
        <v>2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24</v>
      </c>
      <c r="U18" s="220">
        <f t="shared" ref="U18:AA18" si="3">SUM(U7:U17)</f>
        <v>27</v>
      </c>
      <c r="V18" s="220">
        <f t="shared" si="3"/>
        <v>13</v>
      </c>
      <c r="W18" s="220">
        <f t="shared" si="3"/>
        <v>5</v>
      </c>
      <c r="X18" s="220">
        <f t="shared" si="3"/>
        <v>8</v>
      </c>
      <c r="Y18" s="220">
        <f t="shared" si="3"/>
        <v>1</v>
      </c>
      <c r="Z18" s="220">
        <f t="shared" si="3"/>
        <v>1</v>
      </c>
      <c r="AA18" s="220">
        <f t="shared" si="3"/>
        <v>5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21857.14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20480.46</v>
      </c>
      <c r="N19" s="144">
        <f>SUM(N8:N18)</f>
        <v>0</v>
      </c>
      <c r="O19" s="145">
        <f>SUM(O8:O18)</f>
        <v>0</v>
      </c>
      <c r="P19" s="146">
        <f>SUM(P7:P18)</f>
        <v>20480.46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12000</v>
      </c>
      <c r="U20" s="151">
        <f t="shared" si="4"/>
        <v>5400</v>
      </c>
      <c r="V20" s="151">
        <f t="shared" si="4"/>
        <v>1300</v>
      </c>
      <c r="W20" s="152">
        <f t="shared" si="4"/>
        <v>250</v>
      </c>
      <c r="X20" s="151">
        <f t="shared" si="4"/>
        <v>160</v>
      </c>
      <c r="Y20" s="151">
        <f t="shared" si="4"/>
        <v>10</v>
      </c>
      <c r="Z20" s="151">
        <f t="shared" si="4"/>
        <v>5</v>
      </c>
      <c r="AA20" s="151">
        <f t="shared" si="4"/>
        <v>5</v>
      </c>
      <c r="AB20" s="153">
        <f>SUM(T20:AA20)</f>
        <v>19130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20480.46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B19" sqref="B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9" x14ac:dyDescent="0.25">
      <c r="B1" s="281" t="s">
        <v>68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9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9" ht="18.75" x14ac:dyDescent="0.3">
      <c r="B3" s="5" t="s">
        <v>0</v>
      </c>
      <c r="Q3" s="3"/>
      <c r="R3" s="4"/>
      <c r="S3" s="4"/>
      <c r="T3" s="4"/>
    </row>
    <row r="4" spans="1:29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9" ht="15.75" thickBot="1" x14ac:dyDescent="0.3">
      <c r="N5" s="12"/>
      <c r="Q5" s="13"/>
    </row>
    <row r="6" spans="1:29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9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1</v>
      </c>
      <c r="F7" s="35"/>
      <c r="G7" s="36"/>
      <c r="H7" s="37">
        <f>D7*E7+F7*D7-0.02</f>
        <v>366.65000000000003</v>
      </c>
      <c r="I7" s="38"/>
      <c r="J7" s="38"/>
      <c r="K7" s="38"/>
      <c r="L7" s="39"/>
      <c r="M7" s="219">
        <f t="shared" ref="M7" si="0">I7+H7+G7-L7</f>
        <v>366.65000000000003</v>
      </c>
      <c r="N7" s="41">
        <v>0</v>
      </c>
      <c r="O7" s="39">
        <v>0</v>
      </c>
      <c r="P7" s="42">
        <f t="shared" ref="P7:P18" si="1">M7-O7</f>
        <v>366.65000000000003</v>
      </c>
      <c r="Q7" s="43" t="s">
        <v>19</v>
      </c>
      <c r="T7">
        <v>0</v>
      </c>
      <c r="U7">
        <v>0</v>
      </c>
      <c r="V7">
        <v>3</v>
      </c>
      <c r="W7">
        <v>0</v>
      </c>
      <c r="X7">
        <v>3</v>
      </c>
      <c r="Y7">
        <v>0</v>
      </c>
      <c r="Z7">
        <v>1</v>
      </c>
      <c r="AA7">
        <v>1</v>
      </c>
    </row>
    <row r="8" spans="1:29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9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6</v>
      </c>
      <c r="G9" s="73">
        <v>0</v>
      </c>
      <c r="H9" s="64">
        <f>D9*E9+D9*F9-0.08</f>
        <v>5200</v>
      </c>
      <c r="I9" s="74"/>
      <c r="J9" s="75"/>
      <c r="K9" s="75"/>
      <c r="L9" s="76"/>
      <c r="M9" s="53">
        <f>I9+H9+G9-L9</f>
        <v>5200</v>
      </c>
      <c r="N9" s="77" t="s">
        <v>26</v>
      </c>
      <c r="O9" s="55">
        <v>0</v>
      </c>
      <c r="P9" s="66">
        <f t="shared" si="1"/>
        <v>5200</v>
      </c>
      <c r="Q9" s="78" t="s">
        <v>19</v>
      </c>
      <c r="R9" s="79"/>
      <c r="S9" s="80"/>
      <c r="T9">
        <v>8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9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8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9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2</v>
      </c>
      <c r="G11" s="92">
        <v>0</v>
      </c>
      <c r="H11" s="64">
        <f>D11*7+D11*F11+0.12</f>
        <v>5785.8600000000006</v>
      </c>
      <c r="I11" s="93">
        <v>0</v>
      </c>
      <c r="J11" s="94"/>
      <c r="K11" s="94"/>
      <c r="L11" s="95">
        <v>1500</v>
      </c>
      <c r="M11" s="53">
        <f t="shared" si="2"/>
        <v>4285.8600000000006</v>
      </c>
      <c r="N11" s="227">
        <v>0</v>
      </c>
      <c r="O11" s="97">
        <v>0</v>
      </c>
      <c r="P11" s="98">
        <f t="shared" si="1"/>
        <v>4285.8600000000006</v>
      </c>
      <c r="Q11" s="99" t="s">
        <v>22</v>
      </c>
      <c r="R11" s="90"/>
      <c r="S11" s="90"/>
      <c r="T11">
        <v>6</v>
      </c>
      <c r="U11">
        <v>3</v>
      </c>
      <c r="V11">
        <v>3</v>
      </c>
      <c r="W11">
        <v>6</v>
      </c>
      <c r="X11">
        <v>4</v>
      </c>
      <c r="Y11">
        <v>0</v>
      </c>
      <c r="Z11">
        <v>1</v>
      </c>
      <c r="AA11">
        <v>1</v>
      </c>
    </row>
    <row r="12" spans="1:29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4</v>
      </c>
      <c r="F12" s="72"/>
      <c r="G12" s="73">
        <v>0</v>
      </c>
      <c r="H12" s="64">
        <f>D12*4+D12*F12</f>
        <v>1428.56</v>
      </c>
      <c r="I12" s="101">
        <v>0</v>
      </c>
      <c r="J12" s="102"/>
      <c r="K12" s="102"/>
      <c r="L12" s="103">
        <v>571.44000000000005</v>
      </c>
      <c r="M12" s="53">
        <f t="shared" si="2"/>
        <v>857.11999999999989</v>
      </c>
      <c r="N12" s="104">
        <v>0</v>
      </c>
      <c r="O12" s="87">
        <v>0</v>
      </c>
      <c r="P12" s="105">
        <f t="shared" si="1"/>
        <v>857.11999999999989</v>
      </c>
      <c r="Q12" s="106" t="s">
        <v>22</v>
      </c>
      <c r="R12" s="107"/>
      <c r="S12" s="108"/>
      <c r="T12" s="109">
        <v>0</v>
      </c>
      <c r="U12">
        <v>4</v>
      </c>
      <c r="V12">
        <v>0</v>
      </c>
      <c r="W12">
        <v>1</v>
      </c>
      <c r="X12">
        <v>0</v>
      </c>
      <c r="Y12">
        <v>0</v>
      </c>
      <c r="Z12">
        <v>1</v>
      </c>
      <c r="AA12">
        <v>2</v>
      </c>
    </row>
    <row r="13" spans="1:29" ht="32.25" x14ac:dyDescent="0.3">
      <c r="A13" s="31">
        <v>7</v>
      </c>
      <c r="B13" s="222" t="s">
        <v>34</v>
      </c>
      <c r="C13" s="223" t="s">
        <v>35</v>
      </c>
      <c r="D13" s="224">
        <v>416.67</v>
      </c>
      <c r="E13" s="225">
        <v>0</v>
      </c>
      <c r="F13" s="225"/>
      <c r="G13" s="226">
        <v>0</v>
      </c>
      <c r="H13" s="226">
        <f>D13*E13+F13*D13</f>
        <v>0</v>
      </c>
      <c r="I13" s="111"/>
      <c r="J13" s="111"/>
      <c r="K13" s="111"/>
      <c r="L13" s="112">
        <v>0</v>
      </c>
      <c r="M13" s="114">
        <f t="shared" si="2"/>
        <v>0</v>
      </c>
      <c r="N13" s="82">
        <v>0</v>
      </c>
      <c r="O13" s="112">
        <v>0</v>
      </c>
      <c r="P13" s="88">
        <f t="shared" si="1"/>
        <v>0</v>
      </c>
      <c r="Q13" s="115" t="s">
        <v>19</v>
      </c>
      <c r="R13" s="116"/>
      <c r="S13" s="108"/>
      <c r="T13" s="109">
        <v>0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9" ht="23.25" x14ac:dyDescent="0.3">
      <c r="A14" s="31">
        <v>8</v>
      </c>
      <c r="B14" s="228" t="s">
        <v>37</v>
      </c>
      <c r="C14" s="229">
        <v>44076</v>
      </c>
      <c r="D14" s="224">
        <v>266.67</v>
      </c>
      <c r="E14" s="225">
        <v>0</v>
      </c>
      <c r="F14" s="225"/>
      <c r="G14" s="226">
        <v>0</v>
      </c>
      <c r="H14" s="230">
        <f>D14*E14</f>
        <v>0</v>
      </c>
      <c r="I14" s="121">
        <v>0</v>
      </c>
      <c r="J14" s="122"/>
      <c r="K14" s="122"/>
      <c r="L14" s="52">
        <v>0</v>
      </c>
      <c r="M14" s="53">
        <f t="shared" si="2"/>
        <v>0</v>
      </c>
      <c r="N14" s="123">
        <v>0</v>
      </c>
      <c r="O14" s="55">
        <v>0</v>
      </c>
      <c r="P14" s="105">
        <f>M14-O14</f>
        <v>0</v>
      </c>
      <c r="Q14" s="124" t="s">
        <v>19</v>
      </c>
      <c r="R14" s="116"/>
      <c r="S14" s="108"/>
      <c r="T14" s="196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  <c r="AC14" t="s">
        <v>0</v>
      </c>
    </row>
    <row r="15" spans="1:29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2</v>
      </c>
      <c r="U15" s="197">
        <v>5</v>
      </c>
      <c r="V15" s="197">
        <v>2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9" ht="23.25" x14ac:dyDescent="0.3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>
        <v>0</v>
      </c>
      <c r="G16" s="63">
        <f>F16*D16</f>
        <v>0</v>
      </c>
      <c r="H16" s="64">
        <f>D16*E16+0.02</f>
        <v>2000</v>
      </c>
      <c r="I16" s="111"/>
      <c r="J16" s="111"/>
      <c r="K16" s="111"/>
      <c r="L16" s="112"/>
      <c r="M16" s="53">
        <f>I16+H16+G16-L16</f>
        <v>2000</v>
      </c>
      <c r="N16" s="193">
        <v>0</v>
      </c>
      <c r="O16" s="194">
        <v>0</v>
      </c>
      <c r="P16" s="105">
        <f>M16-O16</f>
        <v>2000</v>
      </c>
      <c r="Q16" s="124" t="s">
        <v>19</v>
      </c>
      <c r="R16" s="116"/>
      <c r="S16" s="108"/>
      <c r="T16" s="196">
        <v>2</v>
      </c>
      <c r="U16" s="197">
        <v>5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60</v>
      </c>
      <c r="C17" s="210">
        <v>44263</v>
      </c>
      <c r="D17" s="211">
        <v>300</v>
      </c>
      <c r="E17" s="62">
        <v>6</v>
      </c>
      <c r="F17" s="62"/>
      <c r="G17" s="63">
        <v>0</v>
      </c>
      <c r="H17" s="64">
        <f>D17*E17</f>
        <v>1800</v>
      </c>
      <c r="I17" s="212"/>
      <c r="J17" s="212"/>
      <c r="K17" s="212"/>
      <c r="L17" s="213"/>
      <c r="M17" s="53">
        <f>I17+H17+G17-L17</f>
        <v>1800</v>
      </c>
      <c r="N17" s="193">
        <v>0</v>
      </c>
      <c r="O17" s="194">
        <v>0</v>
      </c>
      <c r="P17" s="105">
        <f>M17-O17</f>
        <v>1800</v>
      </c>
      <c r="Q17" s="124"/>
      <c r="R17" s="116"/>
      <c r="S17" s="108"/>
      <c r="T17" s="196">
        <v>1</v>
      </c>
      <c r="U17" s="197">
        <v>5</v>
      </c>
      <c r="V17" s="197">
        <v>3</v>
      </c>
      <c r="W17" s="197">
        <v>0</v>
      </c>
      <c r="X17" s="197">
        <v>0</v>
      </c>
      <c r="Y17" s="197">
        <v>0</v>
      </c>
      <c r="Z17" s="197">
        <v>0</v>
      </c>
      <c r="AA17" s="197">
        <v>0</v>
      </c>
      <c r="AB17" s="117"/>
    </row>
    <row r="18" spans="1:28" ht="30.75" customHeight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220">
        <f>SUM(T7:T17)</f>
        <v>24</v>
      </c>
      <c r="U18" s="220">
        <f t="shared" ref="U18:AA18" si="3">SUM(U7:U17)</f>
        <v>31</v>
      </c>
      <c r="V18" s="220">
        <f t="shared" si="3"/>
        <v>13</v>
      </c>
      <c r="W18" s="220">
        <f t="shared" si="3"/>
        <v>7</v>
      </c>
      <c r="X18" s="220">
        <f t="shared" si="3"/>
        <v>8</v>
      </c>
      <c r="Y18" s="220">
        <f t="shared" si="3"/>
        <v>0</v>
      </c>
      <c r="Z18" s="220">
        <f t="shared" si="3"/>
        <v>3</v>
      </c>
      <c r="AA18" s="220">
        <f t="shared" si="3"/>
        <v>4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22481.07</v>
      </c>
      <c r="I19" s="141">
        <f>SUM(I7:I18)</f>
        <v>168.38</v>
      </c>
      <c r="J19" s="141"/>
      <c r="K19" s="141"/>
      <c r="L19" s="142">
        <f>SUM(L7:L18)</f>
        <v>2071.44</v>
      </c>
      <c r="M19" s="143">
        <f>SUM(M7:M18)</f>
        <v>20029.95</v>
      </c>
      <c r="N19" s="144">
        <f>SUM(N8:N18)</f>
        <v>0</v>
      </c>
      <c r="O19" s="145">
        <f>SUM(O8:O18)</f>
        <v>0</v>
      </c>
      <c r="P19" s="146">
        <f>SUM(P7:P18)</f>
        <v>20029.95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12000</v>
      </c>
      <c r="U20" s="151">
        <f t="shared" si="4"/>
        <v>6200</v>
      </c>
      <c r="V20" s="151">
        <f t="shared" si="4"/>
        <v>1300</v>
      </c>
      <c r="W20" s="152">
        <f t="shared" si="4"/>
        <v>350</v>
      </c>
      <c r="X20" s="151">
        <f t="shared" si="4"/>
        <v>160</v>
      </c>
      <c r="Y20" s="151">
        <f t="shared" si="4"/>
        <v>0</v>
      </c>
      <c r="Z20" s="151">
        <f t="shared" si="4"/>
        <v>15</v>
      </c>
      <c r="AA20" s="151">
        <f t="shared" si="4"/>
        <v>4</v>
      </c>
      <c r="AB20" s="153">
        <f>SUM(T20:AA20)</f>
        <v>20029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20029.95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N19" sqref="N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69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227">
        <v>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6</v>
      </c>
      <c r="U11">
        <v>3</v>
      </c>
      <c r="V11">
        <v>0</v>
      </c>
      <c r="W11">
        <v>0</v>
      </c>
      <c r="X11">
        <v>2</v>
      </c>
      <c r="Y11">
        <v>0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7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8</v>
      </c>
      <c r="B14" s="44" t="s">
        <v>50</v>
      </c>
      <c r="C14" s="210">
        <v>44214</v>
      </c>
      <c r="D14" s="211">
        <v>333.33</v>
      </c>
      <c r="E14" s="62">
        <v>6</v>
      </c>
      <c r="F14" s="62">
        <v>2</v>
      </c>
      <c r="G14" s="63">
        <f>F14*D14</f>
        <v>666.66</v>
      </c>
      <c r="H14" s="64">
        <f>D14*E14+0.02</f>
        <v>2000</v>
      </c>
      <c r="I14" s="111"/>
      <c r="J14" s="111"/>
      <c r="K14" s="111"/>
      <c r="L14" s="112"/>
      <c r="M14" s="53">
        <f>I14+H14+G14-L14+0.34</f>
        <v>2667</v>
      </c>
      <c r="N14" s="193">
        <v>0</v>
      </c>
      <c r="O14" s="194">
        <v>0</v>
      </c>
      <c r="P14" s="105">
        <f>M14-O14</f>
        <v>2667</v>
      </c>
      <c r="Q14" s="124" t="s">
        <v>19</v>
      </c>
      <c r="R14" s="116"/>
      <c r="S14" s="108"/>
      <c r="T14" s="196">
        <v>3</v>
      </c>
      <c r="U14" s="197">
        <v>5</v>
      </c>
      <c r="V14" s="197">
        <v>1</v>
      </c>
      <c r="W14" s="197">
        <v>1</v>
      </c>
      <c r="X14" s="197">
        <v>0</v>
      </c>
      <c r="Y14" s="197">
        <v>1</v>
      </c>
      <c r="Z14" s="197">
        <v>1</v>
      </c>
      <c r="AA14" s="197">
        <v>2</v>
      </c>
      <c r="AB14" s="117"/>
    </row>
    <row r="15" spans="1:28" ht="24" thickBot="1" x14ac:dyDescent="0.35">
      <c r="A15" s="31">
        <v>9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25</v>
      </c>
      <c r="U16" s="220">
        <f t="shared" si="3"/>
        <v>29</v>
      </c>
      <c r="V16" s="220">
        <f t="shared" si="3"/>
        <v>8</v>
      </c>
      <c r="W16" s="220">
        <f t="shared" si="3"/>
        <v>1</v>
      </c>
      <c r="X16" s="220">
        <f t="shared" si="3"/>
        <v>5</v>
      </c>
      <c r="Y16" s="220">
        <f t="shared" si="3"/>
        <v>1</v>
      </c>
      <c r="Z16" s="220">
        <f t="shared" si="3"/>
        <v>1</v>
      </c>
      <c r="AA16" s="220">
        <f t="shared" si="3"/>
        <v>5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19643</v>
      </c>
      <c r="I17" s="141">
        <f>SUM(I7:I16)</f>
        <v>168.38</v>
      </c>
      <c r="J17" s="141"/>
      <c r="K17" s="141"/>
      <c r="L17" s="142">
        <f>SUM(L7:L16)</f>
        <v>1500</v>
      </c>
      <c r="M17" s="143">
        <f>SUM(M7:M16)</f>
        <v>19270.32</v>
      </c>
      <c r="N17" s="144">
        <f>SUM(N8:N16)</f>
        <v>0</v>
      </c>
      <c r="O17" s="145">
        <f>SUM(O8:O16)</f>
        <v>0</v>
      </c>
      <c r="P17" s="146">
        <f>SUM(P7:P16)</f>
        <v>19270.32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12500</v>
      </c>
      <c r="U18" s="151">
        <f t="shared" si="4"/>
        <v>5800</v>
      </c>
      <c r="V18" s="151">
        <f t="shared" si="4"/>
        <v>800</v>
      </c>
      <c r="W18" s="152">
        <f t="shared" si="4"/>
        <v>50</v>
      </c>
      <c r="X18" s="151">
        <f t="shared" si="4"/>
        <v>100</v>
      </c>
      <c r="Y18" s="151">
        <f t="shared" si="4"/>
        <v>10</v>
      </c>
      <c r="Z18" s="151">
        <f t="shared" si="4"/>
        <v>5</v>
      </c>
      <c r="AA18" s="151">
        <f t="shared" si="4"/>
        <v>5</v>
      </c>
      <c r="AB18" s="153">
        <f>SUM(T18:AA18)</f>
        <v>19270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19270.32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E1" workbookViewId="0">
      <selection activeCell="O12" sqref="O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47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9.5" thickTop="1" x14ac:dyDescent="0.3">
      <c r="A8" s="31">
        <v>2</v>
      </c>
      <c r="B8" s="44" t="s">
        <v>20</v>
      </c>
      <c r="C8" s="45" t="s">
        <v>21</v>
      </c>
      <c r="D8" s="46">
        <v>400</v>
      </c>
      <c r="E8" s="198"/>
      <c r="F8" s="199"/>
      <c r="G8" s="48">
        <v>0</v>
      </c>
      <c r="H8" s="49">
        <f>D8*E8+D8*F8</f>
        <v>0</v>
      </c>
      <c r="I8" s="50">
        <v>0</v>
      </c>
      <c r="J8" s="51"/>
      <c r="K8" s="51"/>
      <c r="L8" s="52"/>
      <c r="M8" s="53">
        <f>I8+H8+G8-L8</f>
        <v>0</v>
      </c>
      <c r="N8" s="54">
        <v>0</v>
      </c>
      <c r="O8" s="55">
        <v>0</v>
      </c>
      <c r="P8" s="56">
        <f>M8-O8</f>
        <v>0</v>
      </c>
      <c r="Q8" s="57" t="s">
        <v>22</v>
      </c>
      <c r="R8" s="58"/>
      <c r="S8" s="59"/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21" x14ac:dyDescent="0.35">
      <c r="A9" s="31">
        <v>3</v>
      </c>
      <c r="B9" s="44" t="s">
        <v>23</v>
      </c>
      <c r="C9" s="60">
        <v>41820</v>
      </c>
      <c r="D9" s="61">
        <v>460</v>
      </c>
      <c r="E9" s="62">
        <v>5</v>
      </c>
      <c r="F9" s="62"/>
      <c r="G9" s="63">
        <v>0</v>
      </c>
      <c r="H9" s="64">
        <f>D9*E9+D9*F9</f>
        <v>2300</v>
      </c>
      <c r="I9" s="65">
        <v>168.38</v>
      </c>
      <c r="J9" s="51">
        <v>161.65</v>
      </c>
      <c r="K9" s="51">
        <v>49.65</v>
      </c>
      <c r="L9" s="52">
        <v>0</v>
      </c>
      <c r="M9" s="53">
        <f>H9-I9-J9-K9</f>
        <v>1920.3199999999997</v>
      </c>
      <c r="N9" s="54">
        <v>0</v>
      </c>
      <c r="O9" s="55">
        <v>0</v>
      </c>
      <c r="P9" s="66">
        <f t="shared" ref="P9:P19" si="2">M9-O9</f>
        <v>1920.3199999999997</v>
      </c>
      <c r="Q9" s="57" t="s">
        <v>22</v>
      </c>
      <c r="R9" s="67"/>
      <c r="S9" s="68"/>
      <c r="T9">
        <v>3</v>
      </c>
      <c r="U9">
        <v>2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69" t="s">
        <v>24</v>
      </c>
      <c r="C10" s="70" t="s">
        <v>25</v>
      </c>
      <c r="D10" s="71">
        <v>433.34</v>
      </c>
      <c r="E10" s="72">
        <v>6</v>
      </c>
      <c r="F10" s="72">
        <v>1</v>
      </c>
      <c r="G10" s="73">
        <v>0</v>
      </c>
      <c r="H10" s="64">
        <f>D10*E10+D10*F10-0.38</f>
        <v>3033</v>
      </c>
      <c r="I10" s="74"/>
      <c r="J10" s="75"/>
      <c r="K10" s="75"/>
      <c r="L10" s="76"/>
      <c r="M10" s="53">
        <f t="shared" ref="M10:M19" si="3">I10+H10+G10-L10</f>
        <v>3033</v>
      </c>
      <c r="N10" s="77" t="s">
        <v>26</v>
      </c>
      <c r="O10" s="55">
        <v>0</v>
      </c>
      <c r="P10" s="66">
        <f t="shared" si="2"/>
        <v>3033</v>
      </c>
      <c r="Q10" s="78" t="s">
        <v>19</v>
      </c>
      <c r="R10" s="79"/>
      <c r="S10" s="80"/>
      <c r="T10">
        <v>5</v>
      </c>
      <c r="U10">
        <v>2</v>
      </c>
      <c r="V10">
        <v>1</v>
      </c>
      <c r="W10">
        <v>0</v>
      </c>
      <c r="X10">
        <v>1</v>
      </c>
      <c r="Y10">
        <v>1</v>
      </c>
      <c r="Z10">
        <v>0</v>
      </c>
      <c r="AA10">
        <v>3</v>
      </c>
    </row>
    <row r="11" spans="1:28" ht="19.5" thickBot="1" x14ac:dyDescent="0.35">
      <c r="A11" s="31">
        <v>5</v>
      </c>
      <c r="B11" s="44" t="s">
        <v>27</v>
      </c>
      <c r="C11" s="81"/>
      <c r="D11" s="46">
        <v>280</v>
      </c>
      <c r="E11" s="62"/>
      <c r="F11" s="62"/>
      <c r="G11" s="82">
        <v>0</v>
      </c>
      <c r="H11" s="64">
        <f>D11*E11+D11*F11</f>
        <v>0</v>
      </c>
      <c r="I11" s="83"/>
      <c r="J11" s="84"/>
      <c r="K11" s="84"/>
      <c r="L11" s="85">
        <v>0</v>
      </c>
      <c r="M11" s="53">
        <f t="shared" si="3"/>
        <v>0</v>
      </c>
      <c r="N11" s="86">
        <v>0</v>
      </c>
      <c r="O11" s="87">
        <v>0</v>
      </c>
      <c r="P11" s="88">
        <f t="shared" si="2"/>
        <v>0</v>
      </c>
      <c r="Q11" s="89" t="s">
        <v>19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9.5" thickBot="1" x14ac:dyDescent="0.35">
      <c r="A12" s="31">
        <v>6</v>
      </c>
      <c r="B12" s="44" t="s">
        <v>28</v>
      </c>
      <c r="C12" s="81" t="s">
        <v>29</v>
      </c>
      <c r="D12" s="71">
        <v>607.14</v>
      </c>
      <c r="E12" s="72">
        <v>5</v>
      </c>
      <c r="F12" s="91">
        <v>1</v>
      </c>
      <c r="G12" s="92">
        <v>0</v>
      </c>
      <c r="H12" s="64">
        <f>D12*7+D12*F12-0.12</f>
        <v>4857</v>
      </c>
      <c r="I12" s="93">
        <v>0</v>
      </c>
      <c r="J12" s="94"/>
      <c r="K12" s="94"/>
      <c r="L12" s="95">
        <v>1500</v>
      </c>
      <c r="M12" s="53">
        <f t="shared" si="3"/>
        <v>3357</v>
      </c>
      <c r="N12" s="96">
        <v>4800</v>
      </c>
      <c r="O12" s="97">
        <v>500</v>
      </c>
      <c r="P12" s="98">
        <f t="shared" si="2"/>
        <v>2857</v>
      </c>
      <c r="Q12" s="99" t="s">
        <v>22</v>
      </c>
      <c r="R12" s="90"/>
      <c r="S12" s="90"/>
      <c r="T12">
        <v>5</v>
      </c>
      <c r="U12">
        <v>2</v>
      </c>
      <c r="V12">
        <v>1</v>
      </c>
      <c r="W12">
        <v>4</v>
      </c>
      <c r="X12">
        <v>5</v>
      </c>
      <c r="Y12">
        <v>5</v>
      </c>
      <c r="Z12">
        <v>1</v>
      </c>
      <c r="AA12">
        <v>2</v>
      </c>
    </row>
    <row r="13" spans="1:28" ht="18.75" x14ac:dyDescent="0.3">
      <c r="A13" s="31">
        <v>7</v>
      </c>
      <c r="B13" s="44" t="s">
        <v>30</v>
      </c>
      <c r="C13" s="100" t="s">
        <v>31</v>
      </c>
      <c r="D13" s="71">
        <v>314.29000000000002</v>
      </c>
      <c r="E13" s="72">
        <v>5</v>
      </c>
      <c r="F13" s="72">
        <v>1</v>
      </c>
      <c r="G13" s="73">
        <v>0</v>
      </c>
      <c r="H13" s="64">
        <f>D13*7+D13*F13-0.03</f>
        <v>2514.29</v>
      </c>
      <c r="I13" s="101">
        <v>0</v>
      </c>
      <c r="J13" s="102"/>
      <c r="K13" s="102"/>
      <c r="L13" s="103">
        <v>1004.32</v>
      </c>
      <c r="M13" s="53">
        <f t="shared" si="3"/>
        <v>1509.9699999999998</v>
      </c>
      <c r="N13" s="104">
        <v>0</v>
      </c>
      <c r="O13" s="87">
        <v>0</v>
      </c>
      <c r="P13" s="105">
        <f t="shared" si="2"/>
        <v>1509.9699999999998</v>
      </c>
      <c r="Q13" s="106" t="s">
        <v>22</v>
      </c>
      <c r="R13" s="107"/>
      <c r="S13" s="108"/>
      <c r="T13" s="109">
        <v>0</v>
      </c>
      <c r="U13">
        <v>5</v>
      </c>
      <c r="V13">
        <v>5</v>
      </c>
      <c r="W13">
        <v>0</v>
      </c>
      <c r="X13">
        <v>0</v>
      </c>
      <c r="Y13">
        <v>1</v>
      </c>
      <c r="Z13">
        <v>0</v>
      </c>
      <c r="AA13">
        <v>0</v>
      </c>
    </row>
    <row r="14" spans="1:28" ht="18.75" x14ac:dyDescent="0.3">
      <c r="A14" s="31">
        <v>8</v>
      </c>
      <c r="B14" s="44" t="s">
        <v>32</v>
      </c>
      <c r="C14" s="110" t="s">
        <v>33</v>
      </c>
      <c r="D14" s="46">
        <v>257.14999999999998</v>
      </c>
      <c r="E14" s="62">
        <v>1</v>
      </c>
      <c r="F14" s="62"/>
      <c r="G14" s="63">
        <v>0</v>
      </c>
      <c r="H14" s="64">
        <f>D14*E14+F14*D14-0.15</f>
        <v>257</v>
      </c>
      <c r="I14" s="111"/>
      <c r="J14" s="111"/>
      <c r="K14" s="111"/>
      <c r="L14" s="112">
        <v>0</v>
      </c>
      <c r="M14" s="53">
        <f>I14+H14+G14-L14</f>
        <v>257</v>
      </c>
      <c r="N14" s="82">
        <v>0</v>
      </c>
      <c r="O14" s="112">
        <v>0</v>
      </c>
      <c r="P14" s="88">
        <f>M14-O14</f>
        <v>257</v>
      </c>
      <c r="Q14" s="78" t="s">
        <v>19</v>
      </c>
      <c r="R14" s="108"/>
      <c r="S14" s="108"/>
      <c r="T14" s="109">
        <v>0</v>
      </c>
      <c r="U14">
        <v>0</v>
      </c>
      <c r="V14">
        <v>0</v>
      </c>
      <c r="W14">
        <v>5</v>
      </c>
      <c r="X14">
        <v>0</v>
      </c>
      <c r="Y14">
        <v>0</v>
      </c>
      <c r="Z14">
        <v>1</v>
      </c>
      <c r="AA14">
        <v>2</v>
      </c>
      <c r="AB14" t="s">
        <v>0</v>
      </c>
    </row>
    <row r="15" spans="1:28" ht="32.25" x14ac:dyDescent="0.3">
      <c r="A15" s="31">
        <v>9</v>
      </c>
      <c r="B15" s="69" t="s">
        <v>34</v>
      </c>
      <c r="C15" s="113" t="s">
        <v>35</v>
      </c>
      <c r="D15" s="46">
        <v>416.67</v>
      </c>
      <c r="E15" s="62">
        <v>6</v>
      </c>
      <c r="F15" s="62"/>
      <c r="G15" s="63">
        <v>0</v>
      </c>
      <c r="H15" s="63">
        <f>D15*E15+F15*D15-0.02</f>
        <v>2500</v>
      </c>
      <c r="I15" s="111"/>
      <c r="J15" s="111"/>
      <c r="K15" s="111"/>
      <c r="L15" s="112">
        <v>0</v>
      </c>
      <c r="M15" s="114">
        <f t="shared" si="3"/>
        <v>2500</v>
      </c>
      <c r="N15" s="82"/>
      <c r="O15" s="112"/>
      <c r="P15" s="88">
        <f t="shared" si="2"/>
        <v>2500</v>
      </c>
      <c r="Q15" s="115" t="s">
        <v>19</v>
      </c>
      <c r="R15" s="116"/>
      <c r="S15" s="108"/>
      <c r="T15" s="109">
        <v>5</v>
      </c>
      <c r="U15" s="117">
        <v>0</v>
      </c>
      <c r="V15" s="117">
        <v>0</v>
      </c>
      <c r="W15" s="117">
        <v>0</v>
      </c>
      <c r="X15" s="117">
        <v>0</v>
      </c>
      <c r="Y15" s="117">
        <v>0</v>
      </c>
      <c r="Z15" s="117">
        <v>0</v>
      </c>
      <c r="AA15" s="117">
        <v>0</v>
      </c>
      <c r="AB15" s="117"/>
    </row>
    <row r="16" spans="1:28" ht="23.25" x14ac:dyDescent="0.3">
      <c r="A16" s="31">
        <v>10</v>
      </c>
      <c r="B16" s="118" t="s">
        <v>36</v>
      </c>
      <c r="C16" s="119">
        <v>44060</v>
      </c>
      <c r="D16" s="120">
        <v>416.67</v>
      </c>
      <c r="E16" s="47">
        <v>6</v>
      </c>
      <c r="F16" s="47"/>
      <c r="G16" s="48">
        <v>0</v>
      </c>
      <c r="H16" s="64">
        <f>D16*E16+F16*D16-0.02</f>
        <v>2500</v>
      </c>
      <c r="I16" s="121">
        <v>0</v>
      </c>
      <c r="J16" s="122"/>
      <c r="K16" s="122"/>
      <c r="L16" s="52">
        <v>0</v>
      </c>
      <c r="M16" s="53">
        <f t="shared" si="3"/>
        <v>2500</v>
      </c>
      <c r="N16" s="123">
        <v>0</v>
      </c>
      <c r="O16" s="55">
        <v>0</v>
      </c>
      <c r="P16" s="105">
        <f>M16-O16</f>
        <v>2500</v>
      </c>
      <c r="Q16" s="124" t="s">
        <v>19</v>
      </c>
      <c r="R16" s="116"/>
      <c r="S16" s="108"/>
      <c r="T16" s="109">
        <v>4</v>
      </c>
      <c r="U16" s="117">
        <v>2</v>
      </c>
      <c r="V16" s="117">
        <v>1</v>
      </c>
      <c r="W16" s="117">
        <v>0</v>
      </c>
      <c r="X16" s="117">
        <v>0</v>
      </c>
      <c r="Y16" s="117">
        <v>0</v>
      </c>
      <c r="Z16" s="117">
        <v>0</v>
      </c>
      <c r="AA16" s="117">
        <v>0</v>
      </c>
      <c r="AB16" s="117"/>
    </row>
    <row r="17" spans="1:28" ht="24" thickBot="1" x14ac:dyDescent="0.35">
      <c r="A17" s="31">
        <v>11</v>
      </c>
      <c r="B17" s="44" t="s">
        <v>37</v>
      </c>
      <c r="C17" s="125">
        <v>44076</v>
      </c>
      <c r="D17" s="126">
        <v>266.67</v>
      </c>
      <c r="E17" s="62">
        <v>6</v>
      </c>
      <c r="F17" s="62"/>
      <c r="G17" s="63">
        <v>0</v>
      </c>
      <c r="H17" s="64">
        <f>D17*E17-0.02</f>
        <v>1600</v>
      </c>
      <c r="I17" s="121">
        <v>0</v>
      </c>
      <c r="J17" s="122"/>
      <c r="K17" s="122"/>
      <c r="L17" s="52">
        <v>0</v>
      </c>
      <c r="M17" s="53">
        <f t="shared" si="3"/>
        <v>1600</v>
      </c>
      <c r="N17" s="123">
        <v>0</v>
      </c>
      <c r="O17" s="55">
        <v>0</v>
      </c>
      <c r="P17" s="105">
        <f>M17-O17</f>
        <v>1600</v>
      </c>
      <c r="Q17" s="124" t="s">
        <v>19</v>
      </c>
      <c r="R17" s="116"/>
      <c r="S17" s="108"/>
      <c r="T17" s="127">
        <v>1</v>
      </c>
      <c r="U17" s="128">
        <v>5</v>
      </c>
      <c r="V17" s="128">
        <v>1</v>
      </c>
      <c r="W17" s="128">
        <v>0</v>
      </c>
      <c r="X17" s="128">
        <v>0</v>
      </c>
      <c r="Y17" s="128">
        <v>0</v>
      </c>
      <c r="Z17" s="128">
        <v>0</v>
      </c>
      <c r="AA17" s="128">
        <v>0</v>
      </c>
      <c r="AB17" s="117"/>
    </row>
    <row r="18" spans="1:28" ht="24" thickTop="1" x14ac:dyDescent="0.3">
      <c r="A18" s="31">
        <v>12</v>
      </c>
      <c r="B18" s="44" t="s">
        <v>45</v>
      </c>
      <c r="C18" s="125">
        <v>44204</v>
      </c>
      <c r="D18" s="126"/>
      <c r="E18" s="62"/>
      <c r="F18" s="62"/>
      <c r="G18" s="63"/>
      <c r="H18" s="63"/>
      <c r="I18" s="111"/>
      <c r="J18" s="111"/>
      <c r="K18" s="111"/>
      <c r="L18" s="112"/>
      <c r="M18" s="114"/>
      <c r="N18" s="193"/>
      <c r="O18" s="194"/>
      <c r="P18" s="195"/>
      <c r="Q18" s="124"/>
      <c r="R18" s="116"/>
      <c r="S18" s="108"/>
      <c r="T18" s="196"/>
      <c r="U18" s="197"/>
      <c r="V18" s="197"/>
      <c r="W18" s="197"/>
      <c r="X18" s="197"/>
      <c r="Y18" s="197"/>
      <c r="Z18" s="197"/>
      <c r="AA18" s="197"/>
      <c r="AB18" s="117"/>
    </row>
    <row r="19" spans="1:28" ht="16.5" thickBot="1" x14ac:dyDescent="0.3">
      <c r="D19" s="129"/>
      <c r="E19" s="6"/>
      <c r="F19" s="1"/>
      <c r="G19" s="48">
        <v>0</v>
      </c>
      <c r="H19" s="7">
        <v>0</v>
      </c>
      <c r="I19" s="130"/>
      <c r="J19" s="130"/>
      <c r="K19" s="130"/>
      <c r="L19" s="131">
        <v>0</v>
      </c>
      <c r="M19" s="132">
        <f t="shared" si="3"/>
        <v>0</v>
      </c>
      <c r="N19" s="133">
        <v>0</v>
      </c>
      <c r="O19" s="134">
        <v>0</v>
      </c>
      <c r="P19" s="88">
        <f t="shared" si="2"/>
        <v>0</v>
      </c>
      <c r="Q19" s="43"/>
      <c r="S19" s="109"/>
      <c r="T19" s="109">
        <f>SUM(T7:T17)</f>
        <v>27</v>
      </c>
      <c r="U19" s="109">
        <f t="shared" ref="U19:AA19" si="4">SUM(U7:U17)</f>
        <v>18</v>
      </c>
      <c r="V19" s="109">
        <f t="shared" si="4"/>
        <v>11</v>
      </c>
      <c r="W19" s="109">
        <f>SUM(W7:W17)</f>
        <v>9</v>
      </c>
      <c r="X19" s="109">
        <f t="shared" si="4"/>
        <v>7</v>
      </c>
      <c r="Y19" s="109">
        <f t="shared" si="4"/>
        <v>7</v>
      </c>
      <c r="Z19" s="109">
        <f t="shared" si="4"/>
        <v>2</v>
      </c>
      <c r="AA19" s="109">
        <f t="shared" si="4"/>
        <v>7</v>
      </c>
    </row>
    <row r="20" spans="1:28" ht="20.25" thickTop="1" thickBot="1" x14ac:dyDescent="0.35">
      <c r="B20" s="135"/>
      <c r="C20" s="136"/>
      <c r="D20" s="137"/>
      <c r="E20" s="6"/>
      <c r="F20" s="138"/>
      <c r="G20" s="139" t="s">
        <v>38</v>
      </c>
      <c r="H20" s="140">
        <f>SUM(H7:H19)</f>
        <v>21761.29</v>
      </c>
      <c r="I20" s="141">
        <f>SUM(I7:I19)</f>
        <v>168.38</v>
      </c>
      <c r="J20" s="141"/>
      <c r="K20" s="141"/>
      <c r="L20" s="142">
        <f>SUM(L7:L19)</f>
        <v>2504.3200000000002</v>
      </c>
      <c r="M20" s="143">
        <f>SUM(M7:M19)</f>
        <v>18877.29</v>
      </c>
      <c r="N20" s="144">
        <f>SUM(N8:N19)</f>
        <v>4800</v>
      </c>
      <c r="O20" s="145">
        <f>SUM(O8:O19)</f>
        <v>500</v>
      </c>
      <c r="P20" s="146">
        <f>SUM(P7:P19)</f>
        <v>18377.29</v>
      </c>
      <c r="Q20" s="124"/>
      <c r="S20" s="109"/>
      <c r="T20" s="109"/>
      <c r="U20" s="109"/>
      <c r="V20" s="109"/>
      <c r="Z20">
        <v>0</v>
      </c>
      <c r="AB20" t="s">
        <v>0</v>
      </c>
    </row>
    <row r="21" spans="1:28" ht="19.5" thickBot="1" x14ac:dyDescent="0.35">
      <c r="B21" s="147"/>
      <c r="C21" s="148"/>
      <c r="D21" s="149"/>
      <c r="M21" s="7"/>
      <c r="P21">
        <v>1616</v>
      </c>
      <c r="Q21" s="150"/>
      <c r="S21" s="109"/>
      <c r="T21" s="151">
        <f t="shared" ref="T21:AA21" si="5">T19*T6</f>
        <v>13500</v>
      </c>
      <c r="U21" s="151">
        <f t="shared" si="5"/>
        <v>3600</v>
      </c>
      <c r="V21" s="151">
        <f t="shared" si="5"/>
        <v>1100</v>
      </c>
      <c r="W21" s="152">
        <f t="shared" si="5"/>
        <v>450</v>
      </c>
      <c r="X21" s="151">
        <f t="shared" si="5"/>
        <v>140</v>
      </c>
      <c r="Y21" s="151">
        <f t="shared" si="5"/>
        <v>70</v>
      </c>
      <c r="Z21" s="151">
        <f t="shared" si="5"/>
        <v>10</v>
      </c>
      <c r="AA21" s="151">
        <f t="shared" si="5"/>
        <v>7</v>
      </c>
      <c r="AB21" s="153">
        <f>SUM(T21:AA21)</f>
        <v>18877</v>
      </c>
    </row>
    <row r="22" spans="1:28" ht="21.75" thickBot="1" x14ac:dyDescent="0.4">
      <c r="B22" s="154"/>
      <c r="C22" s="154"/>
      <c r="D22" s="31"/>
      <c r="E22" s="154"/>
      <c r="F22" s="155"/>
      <c r="G22" s="155"/>
      <c r="H22" s="156"/>
      <c r="I22" s="156"/>
      <c r="J22" s="156"/>
      <c r="K22" s="156"/>
      <c r="L22" s="156"/>
      <c r="M22" s="155"/>
      <c r="N22" s="155"/>
      <c r="P22" s="157"/>
      <c r="T22" s="158"/>
      <c r="U22" s="158"/>
      <c r="V22" s="158"/>
      <c r="W22" s="158"/>
      <c r="X22" s="158"/>
      <c r="Y22" s="158"/>
      <c r="Z22" s="158"/>
      <c r="AA22" s="158"/>
      <c r="AB22" t="s">
        <v>0</v>
      </c>
    </row>
    <row r="23" spans="1:28" ht="21.75" thickTop="1" x14ac:dyDescent="0.35">
      <c r="B23" s="154"/>
      <c r="C23" s="154"/>
      <c r="D23" s="159"/>
      <c r="E23" s="160"/>
      <c r="F23" s="160"/>
      <c r="G23" s="160"/>
      <c r="H23" s="156"/>
      <c r="I23" s="161"/>
      <c r="J23" s="161"/>
      <c r="K23" s="161"/>
      <c r="L23" s="161"/>
      <c r="M23" s="162"/>
      <c r="N23" s="282"/>
      <c r="O23" s="282"/>
      <c r="P23" s="283">
        <f>M20+P22</f>
        <v>18877.29</v>
      </c>
      <c r="Q23" s="283"/>
      <c r="W23" s="10"/>
      <c r="X23" s="163"/>
    </row>
    <row r="24" spans="1:28" ht="18.75" x14ac:dyDescent="0.3">
      <c r="B24" s="154"/>
      <c r="C24" s="154"/>
      <c r="D24" s="159"/>
      <c r="E24" s="160"/>
      <c r="F24" s="160"/>
      <c r="G24" s="160"/>
      <c r="H24" s="164"/>
      <c r="I24" s="165"/>
      <c r="J24" s="165"/>
      <c r="K24" s="165"/>
      <c r="L24" s="166"/>
      <c r="M24" s="162"/>
      <c r="N24" s="162"/>
      <c r="O24" s="162"/>
      <c r="P24" s="162"/>
      <c r="Q24" s="162"/>
      <c r="X24">
        <v>0</v>
      </c>
    </row>
    <row r="25" spans="1:28" x14ac:dyDescent="0.25">
      <c r="D25" s="159"/>
      <c r="E25" s="160"/>
      <c r="F25" s="160"/>
      <c r="G25" s="160"/>
      <c r="H25" s="167"/>
      <c r="I25" s="168"/>
      <c r="J25" s="168"/>
      <c r="K25" s="168"/>
      <c r="L25" s="168"/>
      <c r="M25" s="169"/>
    </row>
    <row r="26" spans="1:28" ht="15.75" x14ac:dyDescent="0.25">
      <c r="B26" s="170"/>
      <c r="D26" s="1"/>
      <c r="E26" s="171"/>
      <c r="F26" s="6"/>
      <c r="G26" s="6"/>
      <c r="I26" s="172"/>
      <c r="J26" s="172"/>
      <c r="K26" s="172"/>
      <c r="L26" s="173"/>
    </row>
    <row r="27" spans="1:28" ht="21" x14ac:dyDescent="0.35">
      <c r="C27" s="174"/>
      <c r="D27" s="175"/>
    </row>
    <row r="28" spans="1:28" ht="18.75" x14ac:dyDescent="0.3">
      <c r="B28" s="176"/>
      <c r="D28" s="1"/>
    </row>
    <row r="29" spans="1:28" ht="18.75" x14ac:dyDescent="0.3">
      <c r="B29" s="8"/>
    </row>
    <row r="30" spans="1:28" ht="18.75" x14ac:dyDescent="0.3">
      <c r="B30" s="8"/>
    </row>
  </sheetData>
  <mergeCells count="3">
    <mergeCell ref="B1:O2"/>
    <mergeCell ref="N23:O23"/>
    <mergeCell ref="P23:Q2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Y17" sqref="Y1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>
        <v>1</v>
      </c>
      <c r="G11" s="92">
        <v>0</v>
      </c>
      <c r="H11" s="64">
        <f>D11*F11+0.14</f>
        <v>643</v>
      </c>
      <c r="I11" s="93">
        <v>0</v>
      </c>
      <c r="J11" s="94"/>
      <c r="K11" s="94"/>
      <c r="L11" s="95">
        <v>0</v>
      </c>
      <c r="M11" s="53">
        <f t="shared" si="2"/>
        <v>643</v>
      </c>
      <c r="N11" s="227">
        <v>0</v>
      </c>
      <c r="O11" s="97">
        <v>0</v>
      </c>
      <c r="P11" s="98">
        <f t="shared" si="1"/>
        <v>643</v>
      </c>
      <c r="Q11" s="99" t="s">
        <v>22</v>
      </c>
      <c r="R11" s="90"/>
      <c r="S11" s="90"/>
      <c r="T11">
        <v>0</v>
      </c>
      <c r="U11">
        <v>0</v>
      </c>
      <c r="V11">
        <v>4</v>
      </c>
      <c r="W11">
        <v>4</v>
      </c>
      <c r="X11">
        <v>2</v>
      </c>
      <c r="Y11">
        <v>0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7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8</v>
      </c>
      <c r="B14" s="44" t="s">
        <v>50</v>
      </c>
      <c r="C14" s="210">
        <v>44214</v>
      </c>
      <c r="D14" s="211">
        <v>333.33</v>
      </c>
      <c r="E14" s="62">
        <v>6</v>
      </c>
      <c r="F14" s="62">
        <v>0</v>
      </c>
      <c r="G14" s="63">
        <f>F14*D14</f>
        <v>0</v>
      </c>
      <c r="H14" s="64">
        <f>D14*E14+0.02</f>
        <v>2000</v>
      </c>
      <c r="I14" s="111"/>
      <c r="J14" s="111"/>
      <c r="K14" s="111"/>
      <c r="L14" s="112"/>
      <c r="M14" s="53">
        <f>I14+H14+G14-L14</f>
        <v>2000</v>
      </c>
      <c r="N14" s="193">
        <v>0</v>
      </c>
      <c r="O14" s="194">
        <v>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9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18</v>
      </c>
      <c r="U16" s="220">
        <f t="shared" si="3"/>
        <v>26</v>
      </c>
      <c r="V16" s="220">
        <f t="shared" si="3"/>
        <v>11</v>
      </c>
      <c r="W16" s="220">
        <f t="shared" si="3"/>
        <v>5</v>
      </c>
      <c r="X16" s="220">
        <f t="shared" si="3"/>
        <v>3</v>
      </c>
      <c r="Y16" s="220">
        <f t="shared" si="3"/>
        <v>1</v>
      </c>
      <c r="Z16" s="220">
        <f t="shared" si="3"/>
        <v>1</v>
      </c>
      <c r="AA16" s="220">
        <f t="shared" si="3"/>
        <v>5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16010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15630.32</v>
      </c>
      <c r="N17" s="144">
        <f>SUM(N8:N16)</f>
        <v>0</v>
      </c>
      <c r="O17" s="145">
        <f>SUM(O8:O16)</f>
        <v>0</v>
      </c>
      <c r="P17" s="146">
        <f>SUM(P7:P16)</f>
        <v>15630.32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5200</v>
      </c>
      <c r="V18" s="151">
        <f t="shared" si="4"/>
        <v>1100</v>
      </c>
      <c r="W18" s="152">
        <f t="shared" si="4"/>
        <v>250</v>
      </c>
      <c r="X18" s="151">
        <f t="shared" si="4"/>
        <v>60</v>
      </c>
      <c r="Y18" s="151">
        <f t="shared" si="4"/>
        <v>10</v>
      </c>
      <c r="Z18" s="151">
        <f t="shared" si="4"/>
        <v>5</v>
      </c>
      <c r="AA18" s="151">
        <f t="shared" si="4"/>
        <v>5</v>
      </c>
      <c r="AB18" s="153">
        <f>SUM(T18:AA18)</f>
        <v>15630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15630.32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G15" sqref="G1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4</v>
      </c>
      <c r="F8" s="62"/>
      <c r="G8" s="63">
        <v>0</v>
      </c>
      <c r="H8" s="64">
        <f>D8*E8+D8*F8</f>
        <v>1840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1460.3199999999997</v>
      </c>
      <c r="N8" s="54">
        <v>0</v>
      </c>
      <c r="O8" s="55">
        <v>0</v>
      </c>
      <c r="P8" s="66">
        <f t="shared" si="1"/>
        <v>1460.3199999999997</v>
      </c>
      <c r="Q8" s="57" t="s">
        <v>22</v>
      </c>
      <c r="R8" s="67"/>
      <c r="S8" s="68"/>
      <c r="T8">
        <v>2</v>
      </c>
      <c r="U8">
        <v>2</v>
      </c>
      <c r="V8">
        <v>0</v>
      </c>
      <c r="W8">
        <v>0</v>
      </c>
      <c r="X8">
        <v>3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1400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2800</v>
      </c>
      <c r="N10" s="86">
        <v>0</v>
      </c>
      <c r="O10" s="87">
        <v>0</v>
      </c>
      <c r="P10" s="88">
        <f t="shared" si="1"/>
        <v>2800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50</v>
      </c>
      <c r="C14" s="210">
        <v>44214</v>
      </c>
      <c r="D14" s="211">
        <v>333.33</v>
      </c>
      <c r="E14" s="62">
        <v>6</v>
      </c>
      <c r="F14" s="62">
        <v>2</v>
      </c>
      <c r="G14" s="63">
        <f>F14*D14</f>
        <v>666.66</v>
      </c>
      <c r="H14" s="64">
        <f>D14*E14+0.02</f>
        <v>2000</v>
      </c>
      <c r="I14" s="111"/>
      <c r="J14" s="111"/>
      <c r="K14" s="111"/>
      <c r="L14" s="112"/>
      <c r="M14" s="53">
        <f>I14+H14+G14-L14+0.34</f>
        <v>2667</v>
      </c>
      <c r="N14" s="193">
        <v>0</v>
      </c>
      <c r="O14" s="194">
        <v>0</v>
      </c>
      <c r="P14" s="105">
        <f>M14-O14</f>
        <v>2667</v>
      </c>
      <c r="Q14" s="124" t="s">
        <v>19</v>
      </c>
      <c r="R14" s="116"/>
      <c r="S14" s="108"/>
      <c r="T14" s="196">
        <v>3</v>
      </c>
      <c r="U14" s="197">
        <v>5</v>
      </c>
      <c r="V14" s="197">
        <v>1</v>
      </c>
      <c r="W14" s="197">
        <v>1</v>
      </c>
      <c r="X14" s="197">
        <v>0</v>
      </c>
      <c r="Y14" s="197">
        <v>1</v>
      </c>
      <c r="Z14" s="197">
        <v>1</v>
      </c>
      <c r="AA14" s="197">
        <v>2</v>
      </c>
      <c r="AB14" s="117"/>
    </row>
    <row r="15" spans="1:28" ht="24" thickBot="1" x14ac:dyDescent="0.35">
      <c r="A15" s="31">
        <v>7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16</v>
      </c>
      <c r="U16" s="220">
        <f t="shared" si="3"/>
        <v>27</v>
      </c>
      <c r="V16" s="220">
        <f t="shared" si="3"/>
        <v>8</v>
      </c>
      <c r="W16" s="220">
        <f t="shared" si="3"/>
        <v>1</v>
      </c>
      <c r="X16" s="220">
        <f t="shared" si="3"/>
        <v>3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14040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15727.32</v>
      </c>
      <c r="N17" s="144">
        <f>SUM(N8:N16)</f>
        <v>0</v>
      </c>
      <c r="O17" s="145">
        <f>SUM(O8:O16)</f>
        <v>0</v>
      </c>
      <c r="P17" s="146">
        <f>SUM(P7:P16)</f>
        <v>15727.32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8000</v>
      </c>
      <c r="U18" s="151">
        <f t="shared" si="4"/>
        <v>5400</v>
      </c>
      <c r="V18" s="151">
        <f t="shared" si="4"/>
        <v>800</v>
      </c>
      <c r="W18" s="152">
        <f t="shared" si="4"/>
        <v>50</v>
      </c>
      <c r="X18" s="151">
        <f t="shared" si="4"/>
        <v>60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14327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15727.32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S21" sqref="S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50</v>
      </c>
      <c r="C14" s="210">
        <v>44214</v>
      </c>
      <c r="D14" s="211">
        <v>333.33</v>
      </c>
      <c r="E14" s="62">
        <v>6</v>
      </c>
      <c r="F14" s="62"/>
      <c r="G14" s="63">
        <v>0</v>
      </c>
      <c r="H14" s="64">
        <f>D14*E14+0.02</f>
        <v>2000</v>
      </c>
      <c r="I14" s="111"/>
      <c r="J14" s="111"/>
      <c r="K14" s="111"/>
      <c r="L14" s="112"/>
      <c r="M14" s="53">
        <f>I14+H14+G14-L14</f>
        <v>2000</v>
      </c>
      <c r="N14" s="193">
        <v>0</v>
      </c>
      <c r="O14" s="194">
        <v>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18</v>
      </c>
      <c r="U16" s="220">
        <f t="shared" si="3"/>
        <v>26</v>
      </c>
      <c r="V16" s="220">
        <f t="shared" si="3"/>
        <v>7</v>
      </c>
      <c r="W16" s="220">
        <f t="shared" si="3"/>
        <v>0</v>
      </c>
      <c r="X16" s="220">
        <f t="shared" si="3"/>
        <v>3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14500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14960.32</v>
      </c>
      <c r="N17" s="144">
        <f>SUM(N8:N16)</f>
        <v>0</v>
      </c>
      <c r="O17" s="145">
        <f>SUM(O8:O16)</f>
        <v>0</v>
      </c>
      <c r="P17" s="146">
        <f>SUM(P7:P16)</f>
        <v>14960.32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5200</v>
      </c>
      <c r="V18" s="151">
        <f t="shared" si="4"/>
        <v>700</v>
      </c>
      <c r="W18" s="152">
        <f t="shared" si="4"/>
        <v>0</v>
      </c>
      <c r="X18" s="151">
        <f t="shared" si="4"/>
        <v>60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14960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14960.32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T22" sqref="T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50</v>
      </c>
      <c r="C14" s="210">
        <v>44214</v>
      </c>
      <c r="D14" s="211">
        <v>333.33</v>
      </c>
      <c r="E14" s="62">
        <v>6</v>
      </c>
      <c r="F14" s="62">
        <v>2</v>
      </c>
      <c r="G14" s="63">
        <f>D14*F14</f>
        <v>666.66</v>
      </c>
      <c r="H14" s="64">
        <f>D14*E14+0.02</f>
        <v>2000</v>
      </c>
      <c r="I14" s="111"/>
      <c r="J14" s="111"/>
      <c r="K14" s="111"/>
      <c r="L14" s="112"/>
      <c r="M14" s="53">
        <f>I14+H14+G14-L14+0.34</f>
        <v>2667</v>
      </c>
      <c r="N14" s="193">
        <v>0</v>
      </c>
      <c r="O14" s="194">
        <v>0</v>
      </c>
      <c r="P14" s="105">
        <f>M14-O14</f>
        <v>2667</v>
      </c>
      <c r="Q14" s="124" t="s">
        <v>19</v>
      </c>
      <c r="R14" s="116"/>
      <c r="S14" s="108"/>
      <c r="T14" s="196">
        <v>2</v>
      </c>
      <c r="U14" s="197">
        <v>5</v>
      </c>
      <c r="V14" s="197">
        <v>6</v>
      </c>
      <c r="W14" s="197">
        <v>1</v>
      </c>
      <c r="X14" s="197">
        <v>0</v>
      </c>
      <c r="Y14" s="197">
        <v>1</v>
      </c>
      <c r="Z14" s="197">
        <v>1</v>
      </c>
      <c r="AA14" s="197">
        <v>2</v>
      </c>
      <c r="AB14" s="117"/>
    </row>
    <row r="15" spans="1:28" ht="24" thickBot="1" x14ac:dyDescent="0.35">
      <c r="A15" s="31">
        <v>7</v>
      </c>
      <c r="B15" s="44" t="s">
        <v>60</v>
      </c>
      <c r="C15" s="210">
        <v>44263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/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/>
      <c r="S16" s="109"/>
      <c r="T16" s="220">
        <f t="shared" ref="T16:AA16" si="3">SUM(T7:T15)</f>
        <v>18</v>
      </c>
      <c r="U16" s="220">
        <f t="shared" si="3"/>
        <v>26</v>
      </c>
      <c r="V16" s="220">
        <f t="shared" si="3"/>
        <v>13</v>
      </c>
      <c r="W16" s="220">
        <f t="shared" si="3"/>
        <v>1</v>
      </c>
      <c r="X16" s="220">
        <f t="shared" si="3"/>
        <v>3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14500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15627.32</v>
      </c>
      <c r="N17" s="144">
        <f>SUM(N8:N16)</f>
        <v>0</v>
      </c>
      <c r="O17" s="145">
        <f>SUM(O8:O16)</f>
        <v>0</v>
      </c>
      <c r="P17" s="146">
        <f>SUM(P7:P16)</f>
        <v>15627.32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5200</v>
      </c>
      <c r="V18" s="151">
        <f t="shared" si="4"/>
        <v>1300</v>
      </c>
      <c r="W18" s="152">
        <f t="shared" si="4"/>
        <v>50</v>
      </c>
      <c r="X18" s="151">
        <f t="shared" si="4"/>
        <v>60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15627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15627.32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P13" sqref="P1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76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</f>
        <v>2500.02</v>
      </c>
      <c r="I14" s="111"/>
      <c r="J14" s="111"/>
      <c r="K14" s="111"/>
      <c r="L14" s="112"/>
      <c r="M14" s="53">
        <f>I14+H14+G14-L14-0.02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21</v>
      </c>
      <c r="U16" s="220">
        <f t="shared" si="3"/>
        <v>25</v>
      </c>
      <c r="V16" s="220">
        <f t="shared" si="3"/>
        <v>7</v>
      </c>
      <c r="W16" s="220">
        <f t="shared" si="3"/>
        <v>1</v>
      </c>
      <c r="X16" s="220">
        <f t="shared" si="3"/>
        <v>3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15867.02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16327.32</v>
      </c>
      <c r="N17" s="144">
        <f>SUM(N8:N16)</f>
        <v>0</v>
      </c>
      <c r="O17" s="145">
        <f>SUM(O8:O16)</f>
        <v>0</v>
      </c>
      <c r="P17" s="146">
        <f>SUM(P7:P16)</f>
        <v>16327.32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10500</v>
      </c>
      <c r="U18" s="151">
        <f t="shared" si="4"/>
        <v>5000</v>
      </c>
      <c r="V18" s="151">
        <f t="shared" si="4"/>
        <v>700</v>
      </c>
      <c r="W18" s="152">
        <f t="shared" si="4"/>
        <v>50</v>
      </c>
      <c r="X18" s="151">
        <f t="shared" si="4"/>
        <v>60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16327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16327.32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T16" sqref="T16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80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D9*E9+D9*F9+0.28</f>
        <v>2600.3200000000002</v>
      </c>
      <c r="I9" s="74"/>
      <c r="J9" s="75"/>
      <c r="K9" s="75"/>
      <c r="L9" s="76"/>
      <c r="M9" s="53">
        <f>I9+H9+G9-L9</f>
        <v>2600.3200000000002</v>
      </c>
      <c r="N9" s="77" t="s">
        <v>26</v>
      </c>
      <c r="O9" s="55">
        <v>0</v>
      </c>
      <c r="P9" s="66">
        <f t="shared" si="1"/>
        <v>2600.3200000000002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1120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D14*F14</f>
        <v>833.34</v>
      </c>
      <c r="H14" s="64">
        <f>D14*E14</f>
        <v>2500.02</v>
      </c>
      <c r="I14" s="111"/>
      <c r="J14" s="111"/>
      <c r="K14" s="111"/>
      <c r="L14" s="112"/>
      <c r="M14" s="53">
        <f>I14+H14+G14-L14-0.36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 t="s">
        <v>0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20</v>
      </c>
      <c r="U16" s="220">
        <f t="shared" si="3"/>
        <v>26</v>
      </c>
      <c r="V16" s="220">
        <f t="shared" si="3"/>
        <v>11</v>
      </c>
      <c r="W16" s="220">
        <f t="shared" si="3"/>
        <v>0</v>
      </c>
      <c r="X16" s="220">
        <f t="shared" si="3"/>
        <v>2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15000.34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16573.64</v>
      </c>
      <c r="N17" s="144">
        <f>SUM(N8:N16)</f>
        <v>0</v>
      </c>
      <c r="O17" s="145">
        <f>SUM(O8:O16)</f>
        <v>0</v>
      </c>
      <c r="P17" s="146">
        <f>SUM(P7:P16)</f>
        <v>16573.64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10000</v>
      </c>
      <c r="U18" s="151">
        <f t="shared" si="4"/>
        <v>5200</v>
      </c>
      <c r="V18" s="151">
        <f t="shared" si="4"/>
        <v>1100</v>
      </c>
      <c r="W18" s="152">
        <f t="shared" si="4"/>
        <v>0</v>
      </c>
      <c r="X18" s="151">
        <f t="shared" si="4"/>
        <v>40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16353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16573.64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Q1" workbookViewId="0">
      <selection activeCell="U22" sqref="U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4</v>
      </c>
      <c r="F9" s="72"/>
      <c r="G9" s="73">
        <v>867</v>
      </c>
      <c r="H9" s="64">
        <f>D9*E9+D9*F9+0.28</f>
        <v>1733.6399999999999</v>
      </c>
      <c r="I9" s="74"/>
      <c r="J9" s="75"/>
      <c r="K9" s="75"/>
      <c r="L9" s="76"/>
      <c r="M9" s="53">
        <f>I9+H9+G9-L9-0.64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0</v>
      </c>
      <c r="F10" s="62"/>
      <c r="G10" s="82">
        <v>0</v>
      </c>
      <c r="H10" s="64">
        <f>D10*E10+D10*F10</f>
        <v>0</v>
      </c>
      <c r="I10" s="83"/>
      <c r="J10" s="84"/>
      <c r="K10" s="84"/>
      <c r="L10" s="85">
        <v>0</v>
      </c>
      <c r="M10" s="53">
        <f t="shared" ref="M10:M16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15</v>
      </c>
      <c r="U16" s="220">
        <f t="shared" si="3"/>
        <v>25</v>
      </c>
      <c r="V16" s="220">
        <f t="shared" si="3"/>
        <v>7</v>
      </c>
      <c r="W16" s="220">
        <f t="shared" si="3"/>
        <v>0</v>
      </c>
      <c r="X16" s="220">
        <f t="shared" si="3"/>
        <v>1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12733.64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13220.32</v>
      </c>
      <c r="N17" s="144">
        <f>SUM(N8:N16)</f>
        <v>0</v>
      </c>
      <c r="O17" s="145">
        <f>SUM(O8:O16)</f>
        <v>0</v>
      </c>
      <c r="P17" s="146">
        <f>SUM(P7:P16)</f>
        <v>13220.32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7500</v>
      </c>
      <c r="U18" s="151">
        <f t="shared" si="4"/>
        <v>5000</v>
      </c>
      <c r="V18" s="151">
        <f t="shared" si="4"/>
        <v>700</v>
      </c>
      <c r="W18" s="152">
        <f t="shared" si="4"/>
        <v>0</v>
      </c>
      <c r="X18" s="151">
        <f t="shared" si="4"/>
        <v>20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13220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13220.32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15748031496062992" right="0.15748031496062992" top="0.74803149606299213" bottom="0.74803149606299213" header="0.31496062992125984" footer="0.31496062992125984"/>
  <pageSetup scale="85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Q22" sqref="Q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3</v>
      </c>
      <c r="F10" s="62"/>
      <c r="G10" s="82">
        <v>0</v>
      </c>
      <c r="H10" s="64">
        <f>D10*E10+D10*F10</f>
        <v>840</v>
      </c>
      <c r="I10" s="83"/>
      <c r="J10" s="84"/>
      <c r="K10" s="84"/>
      <c r="L10" s="85">
        <v>0</v>
      </c>
      <c r="M10" s="53">
        <f t="shared" ref="M10:M16" si="2">I10+H10+G10-L10</f>
        <v>840</v>
      </c>
      <c r="N10" s="86">
        <v>0</v>
      </c>
      <c r="O10" s="87">
        <v>0</v>
      </c>
      <c r="P10" s="88">
        <f t="shared" si="1"/>
        <v>840</v>
      </c>
      <c r="Q10" s="89" t="s">
        <v>19</v>
      </c>
      <c r="R10" s="90"/>
      <c r="S10" s="90"/>
      <c r="T10">
        <v>0</v>
      </c>
      <c r="U10">
        <v>4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D14*F14</f>
        <v>833.34</v>
      </c>
      <c r="H14" s="64">
        <f>D14*E14-0.02</f>
        <v>2500</v>
      </c>
      <c r="I14" s="111"/>
      <c r="J14" s="111"/>
      <c r="K14" s="111"/>
      <c r="L14" s="112"/>
      <c r="M14" s="53">
        <f>I14+H14+G14-L14-0.34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16</v>
      </c>
      <c r="U16" s="220">
        <f t="shared" si="3"/>
        <v>29</v>
      </c>
      <c r="V16" s="220">
        <f t="shared" si="3"/>
        <v>10</v>
      </c>
      <c r="W16" s="220">
        <f t="shared" si="3"/>
        <v>0</v>
      </c>
      <c r="X16" s="220">
        <f t="shared" si="3"/>
        <v>4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14440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14893.32</v>
      </c>
      <c r="N17" s="144">
        <f>SUM(N8:N16)</f>
        <v>0</v>
      </c>
      <c r="O17" s="145">
        <f>SUM(O8:O16)</f>
        <v>0</v>
      </c>
      <c r="P17" s="146">
        <f>SUM(P7:P16)</f>
        <v>14893.32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8000</v>
      </c>
      <c r="U18" s="151">
        <f t="shared" si="4"/>
        <v>5800</v>
      </c>
      <c r="V18" s="151">
        <f t="shared" si="4"/>
        <v>1000</v>
      </c>
      <c r="W18" s="152">
        <f t="shared" si="4"/>
        <v>0</v>
      </c>
      <c r="X18" s="151">
        <f t="shared" si="4"/>
        <v>80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14893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14893.32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Z19" sqref="Z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5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19</v>
      </c>
      <c r="U16" s="220">
        <f t="shared" si="3"/>
        <v>26</v>
      </c>
      <c r="V16" s="220">
        <f t="shared" si="3"/>
        <v>7</v>
      </c>
      <c r="W16" s="220">
        <f t="shared" si="3"/>
        <v>0</v>
      </c>
      <c r="X16" s="220">
        <f t="shared" si="3"/>
        <v>4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15867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15487.32</v>
      </c>
      <c r="N17" s="144">
        <f>SUM(N8:N16)</f>
        <v>0</v>
      </c>
      <c r="O17" s="145">
        <f>SUM(O8:O16)</f>
        <v>0</v>
      </c>
      <c r="P17" s="146">
        <f>SUM(P7:P16)</f>
        <v>15487.32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9500</v>
      </c>
      <c r="U18" s="151">
        <f t="shared" si="4"/>
        <v>5200</v>
      </c>
      <c r="V18" s="151">
        <f t="shared" si="4"/>
        <v>700</v>
      </c>
      <c r="W18" s="152">
        <f t="shared" si="4"/>
        <v>0</v>
      </c>
      <c r="X18" s="151">
        <f t="shared" si="4"/>
        <v>80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15487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15487.32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-300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1900</v>
      </c>
      <c r="N7" s="41">
        <v>0</v>
      </c>
      <c r="O7" s="39">
        <v>0</v>
      </c>
      <c r="P7" s="42">
        <f t="shared" ref="P7:P16" si="1">M7-O7</f>
        <v>1900</v>
      </c>
      <c r="Q7" s="43" t="s">
        <v>19</v>
      </c>
      <c r="T7">
        <v>2</v>
      </c>
      <c r="U7">
        <v>4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D14*F14</f>
        <v>833.34</v>
      </c>
      <c r="H14" s="64">
        <f>D14*E14-0.02</f>
        <v>2500</v>
      </c>
      <c r="I14" s="111"/>
      <c r="J14" s="111"/>
      <c r="K14" s="111"/>
      <c r="L14" s="112"/>
      <c r="M14" s="53">
        <f>I14+H14+G14-L14-0.34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18</v>
      </c>
      <c r="U16" s="220">
        <f t="shared" si="3"/>
        <v>26</v>
      </c>
      <c r="V16" s="220">
        <f t="shared" si="3"/>
        <v>9</v>
      </c>
      <c r="W16" s="220">
        <f t="shared" si="3"/>
        <v>0</v>
      </c>
      <c r="X16" s="220">
        <f t="shared" si="3"/>
        <v>2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15000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15153.32</v>
      </c>
      <c r="N17" s="144">
        <f>SUM(N8:N16)</f>
        <v>0</v>
      </c>
      <c r="O17" s="145">
        <f>SUM(O8:O16)</f>
        <v>0</v>
      </c>
      <c r="P17" s="146">
        <f>SUM(P7:P16)</f>
        <v>15153.32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5200</v>
      </c>
      <c r="V18" s="151">
        <f t="shared" si="4"/>
        <v>900</v>
      </c>
      <c r="W18" s="152">
        <f t="shared" si="4"/>
        <v>0</v>
      </c>
      <c r="X18" s="151">
        <f t="shared" si="4"/>
        <v>40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15153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15153.32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F1"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48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ref="P8:P17" si="2">M8-O8</f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D9*E9+D9*F9-0.06</f>
        <v>3900</v>
      </c>
      <c r="I9" s="74"/>
      <c r="J9" s="75"/>
      <c r="K9" s="75"/>
      <c r="L9" s="76"/>
      <c r="M9" s="53">
        <f t="shared" ref="M9:M17" si="3">I9+H9+G9-L9</f>
        <v>3900</v>
      </c>
      <c r="N9" s="77" t="s">
        <v>26</v>
      </c>
      <c r="O9" s="55">
        <v>0</v>
      </c>
      <c r="P9" s="66">
        <f t="shared" si="2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840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si="3"/>
        <v>2240</v>
      </c>
      <c r="N10" s="86">
        <v>0</v>
      </c>
      <c r="O10" s="87">
        <v>0</v>
      </c>
      <c r="P10" s="88">
        <f t="shared" si="2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643.86</v>
      </c>
      <c r="E11" s="72">
        <v>5</v>
      </c>
      <c r="F11" s="91">
        <v>1</v>
      </c>
      <c r="G11" s="92">
        <v>0</v>
      </c>
      <c r="H11" s="64">
        <f>D11*7+D11*F11+0.12</f>
        <v>5151</v>
      </c>
      <c r="I11" s="93">
        <v>0</v>
      </c>
      <c r="J11" s="94"/>
      <c r="K11" s="94"/>
      <c r="L11" s="95">
        <v>1500</v>
      </c>
      <c r="M11" s="53">
        <f t="shared" si="3"/>
        <v>3651</v>
      </c>
      <c r="N11" s="96">
        <v>4300</v>
      </c>
      <c r="O11" s="97">
        <v>500</v>
      </c>
      <c r="P11" s="98">
        <f t="shared" si="2"/>
        <v>3151</v>
      </c>
      <c r="Q11" s="99" t="s">
        <v>22</v>
      </c>
      <c r="R11" s="90"/>
      <c r="S11" s="90"/>
      <c r="T11">
        <v>5</v>
      </c>
      <c r="U11">
        <v>2</v>
      </c>
      <c r="V11">
        <v>4</v>
      </c>
      <c r="W11">
        <v>5</v>
      </c>
      <c r="X11">
        <v>5</v>
      </c>
      <c r="Y11">
        <v>0</v>
      </c>
      <c r="Z11">
        <v>0</v>
      </c>
      <c r="AA11">
        <v>1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D12*7+D12*F12-0.03</f>
        <v>2857.0899999999997</v>
      </c>
      <c r="I12" s="101">
        <v>0</v>
      </c>
      <c r="J12" s="102"/>
      <c r="K12" s="102"/>
      <c r="L12" s="103">
        <v>1004</v>
      </c>
      <c r="M12" s="53">
        <f t="shared" si="3"/>
        <v>1853.0899999999997</v>
      </c>
      <c r="N12" s="104">
        <v>0</v>
      </c>
      <c r="O12" s="87">
        <v>0</v>
      </c>
      <c r="P12" s="105">
        <f t="shared" si="2"/>
        <v>1853.0899999999997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46">
        <v>416.67</v>
      </c>
      <c r="E13" s="62">
        <v>6</v>
      </c>
      <c r="F13" s="62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3"/>
        <v>2500</v>
      </c>
      <c r="N13" s="82"/>
      <c r="O13" s="112"/>
      <c r="P13" s="88">
        <f t="shared" si="2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/>
      <c r="G14" s="48">
        <v>0</v>
      </c>
      <c r="H14" s="64">
        <f>D14*E14+F14*D14-0.02</f>
        <v>2500</v>
      </c>
      <c r="I14" s="121">
        <v>0</v>
      </c>
      <c r="J14" s="122"/>
      <c r="K14" s="122"/>
      <c r="L14" s="52">
        <v>0</v>
      </c>
      <c r="M14" s="53">
        <f t="shared" si="3"/>
        <v>2500</v>
      </c>
      <c r="N14" s="123">
        <v>0</v>
      </c>
      <c r="O14" s="55">
        <v>0</v>
      </c>
      <c r="P14" s="105">
        <f>M14-O14</f>
        <v>2500</v>
      </c>
      <c r="Q14" s="124" t="s">
        <v>19</v>
      </c>
      <c r="R14" s="116"/>
      <c r="S14" s="108"/>
      <c r="T14" s="109">
        <v>4</v>
      </c>
      <c r="U14" s="117">
        <v>2</v>
      </c>
      <c r="V14" s="117">
        <v>1</v>
      </c>
      <c r="W14" s="117">
        <v>0</v>
      </c>
      <c r="X14" s="117">
        <v>0</v>
      </c>
      <c r="Y14" s="117">
        <v>0</v>
      </c>
      <c r="Z14" s="117">
        <v>0</v>
      </c>
      <c r="AA14" s="117">
        <v>0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3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45</v>
      </c>
      <c r="C16" s="125">
        <v>44204</v>
      </c>
      <c r="D16" s="126">
        <v>333.33</v>
      </c>
      <c r="E16" s="62">
        <v>8</v>
      </c>
      <c r="F16" s="62"/>
      <c r="G16" s="63"/>
      <c r="H16" s="64">
        <f>D16*E16+0.36</f>
        <v>2667</v>
      </c>
      <c r="I16" s="111"/>
      <c r="J16" s="111"/>
      <c r="K16" s="111"/>
      <c r="L16" s="112"/>
      <c r="M16" s="53">
        <f t="shared" si="3"/>
        <v>2667</v>
      </c>
      <c r="N16" s="193"/>
      <c r="O16" s="194"/>
      <c r="P16" s="105">
        <f>M16-O16</f>
        <v>2667</v>
      </c>
      <c r="Q16" s="124" t="s">
        <v>19</v>
      </c>
      <c r="R16" s="116"/>
      <c r="S16" s="108"/>
      <c r="T16" s="127">
        <v>4</v>
      </c>
      <c r="U16" s="128">
        <v>3</v>
      </c>
      <c r="V16" s="128">
        <v>0</v>
      </c>
      <c r="W16" s="128">
        <v>1</v>
      </c>
      <c r="X16" s="128">
        <v>0</v>
      </c>
      <c r="Y16" s="128">
        <v>1</v>
      </c>
      <c r="Z16" s="128">
        <v>1</v>
      </c>
      <c r="AA16" s="128">
        <v>2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3"/>
        <v>0</v>
      </c>
      <c r="N17" s="133">
        <v>0</v>
      </c>
      <c r="O17" s="134">
        <v>0</v>
      </c>
      <c r="P17" s="88">
        <f t="shared" si="2"/>
        <v>0</v>
      </c>
      <c r="Q17" s="43"/>
      <c r="S17" s="109"/>
      <c r="T17" s="109">
        <f>SUM(T7:T16)</f>
        <v>37</v>
      </c>
      <c r="U17" s="109">
        <f t="shared" ref="U17:W17" si="4">SUM(U7:U16)</f>
        <v>24</v>
      </c>
      <c r="V17" s="109">
        <f t="shared" si="4"/>
        <v>12</v>
      </c>
      <c r="W17" s="109">
        <f t="shared" si="4"/>
        <v>7</v>
      </c>
      <c r="X17" s="109">
        <f>SUM(X7:X16)</f>
        <v>8</v>
      </c>
      <c r="Y17" s="109">
        <f>SUM(Y7:Y16)</f>
        <v>1</v>
      </c>
      <c r="Z17" s="109">
        <f>SUM(Z7:Z16)</f>
        <v>1</v>
      </c>
      <c r="AA17" s="109">
        <f>SUM(AA7:AA16)</f>
        <v>6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27075.09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25031.41</v>
      </c>
      <c r="N18" s="144">
        <f>SUM(N8:N17)</f>
        <v>4300</v>
      </c>
      <c r="O18" s="145">
        <f>SUM(O8:O17)</f>
        <v>500</v>
      </c>
      <c r="P18" s="146">
        <f>SUM(P7:P17)</f>
        <v>24531.41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5">T17*T6</f>
        <v>18500</v>
      </c>
      <c r="U19" s="151">
        <f t="shared" si="5"/>
        <v>4800</v>
      </c>
      <c r="V19" s="151">
        <f t="shared" si="5"/>
        <v>1200</v>
      </c>
      <c r="W19" s="152">
        <f t="shared" si="5"/>
        <v>350</v>
      </c>
      <c r="X19" s="151">
        <f t="shared" si="5"/>
        <v>160</v>
      </c>
      <c r="Y19" s="151">
        <f t="shared" si="5"/>
        <v>10</v>
      </c>
      <c r="Z19" s="151">
        <f t="shared" si="5"/>
        <v>5</v>
      </c>
      <c r="AA19" s="151">
        <f t="shared" si="5"/>
        <v>6</v>
      </c>
      <c r="AB19" s="153">
        <f>SUM(T19:AA19)</f>
        <v>25031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25031.41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C20" sqref="C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1</v>
      </c>
      <c r="W13" s="197">
        <v>0</v>
      </c>
      <c r="X13" s="197">
        <v>0</v>
      </c>
      <c r="Y13" s="197">
        <v>10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4</v>
      </c>
      <c r="V14" s="197">
        <v>0</v>
      </c>
      <c r="W14" s="197">
        <v>0</v>
      </c>
      <c r="X14" s="197">
        <v>10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19</v>
      </c>
      <c r="U16" s="220">
        <f t="shared" si="3"/>
        <v>25</v>
      </c>
      <c r="V16" s="220">
        <f t="shared" si="3"/>
        <v>6</v>
      </c>
      <c r="W16" s="220">
        <f t="shared" si="3"/>
        <v>0</v>
      </c>
      <c r="X16" s="220">
        <f t="shared" si="3"/>
        <v>14</v>
      </c>
      <c r="Y16" s="220">
        <f t="shared" si="3"/>
        <v>10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15867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15487.32</v>
      </c>
      <c r="N17" s="144">
        <f>SUM(N8:N16)</f>
        <v>0</v>
      </c>
      <c r="O17" s="145">
        <f>SUM(O8:O16)</f>
        <v>0</v>
      </c>
      <c r="P17" s="146">
        <f>SUM(P7:P16)</f>
        <v>15487.32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9500</v>
      </c>
      <c r="U18" s="151">
        <f t="shared" si="4"/>
        <v>5000</v>
      </c>
      <c r="V18" s="151">
        <f t="shared" si="4"/>
        <v>600</v>
      </c>
      <c r="W18" s="152">
        <f t="shared" si="4"/>
        <v>0</v>
      </c>
      <c r="X18" s="151">
        <f t="shared" si="4"/>
        <v>280</v>
      </c>
      <c r="Y18" s="151">
        <f t="shared" si="4"/>
        <v>100</v>
      </c>
      <c r="Z18" s="151">
        <f t="shared" si="4"/>
        <v>5</v>
      </c>
      <c r="AA18" s="151">
        <f t="shared" si="4"/>
        <v>2</v>
      </c>
      <c r="AB18" s="153">
        <f>SUM(T18:AA18)</f>
        <v>15487</v>
      </c>
    </row>
    <row r="19" spans="2:28" ht="21.75" thickBot="1" x14ac:dyDescent="0.4">
      <c r="B19" s="238"/>
      <c r="C19" s="238"/>
      <c r="D19" s="239"/>
      <c r="E19" s="238"/>
      <c r="F19" s="236"/>
      <c r="G19" s="236"/>
      <c r="H19" s="242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238" t="s">
        <v>88</v>
      </c>
      <c r="C20" s="238"/>
      <c r="D20" s="240"/>
      <c r="E20" s="241" t="s">
        <v>89</v>
      </c>
      <c r="F20" s="241"/>
      <c r="G20" s="241"/>
      <c r="H20" s="242"/>
      <c r="I20" s="161"/>
      <c r="J20" s="161"/>
      <c r="K20" s="161"/>
      <c r="L20" s="161"/>
      <c r="M20" s="162"/>
      <c r="N20" s="282"/>
      <c r="O20" s="282"/>
      <c r="P20" s="283">
        <f>M17+P19</f>
        <v>15487.32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Q23" sqref="Q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5</v>
      </c>
      <c r="F10" s="62"/>
      <c r="G10" s="82">
        <v>0</v>
      </c>
      <c r="H10" s="64">
        <f>D10*E10+D10*F10</f>
        <v>1400</v>
      </c>
      <c r="I10" s="83"/>
      <c r="J10" s="84"/>
      <c r="K10" s="84"/>
      <c r="L10" s="85">
        <v>0</v>
      </c>
      <c r="M10" s="53">
        <f t="shared" ref="M10:M16" si="2">I10+H10+G10-L10</f>
        <v>1400</v>
      </c>
      <c r="N10" s="86">
        <v>0</v>
      </c>
      <c r="O10" s="87">
        <v>0</v>
      </c>
      <c r="P10" s="88">
        <f t="shared" si="1"/>
        <v>1400</v>
      </c>
      <c r="Q10" s="89" t="s">
        <v>19</v>
      </c>
      <c r="R10" s="90"/>
      <c r="S10" s="90"/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F14*D14</f>
        <v>833.34</v>
      </c>
      <c r="H14" s="64">
        <f>D14*E14-0.02</f>
        <v>2500</v>
      </c>
      <c r="I14" s="111"/>
      <c r="J14" s="111"/>
      <c r="K14" s="111"/>
      <c r="L14" s="112"/>
      <c r="M14" s="53">
        <f>I14+H14+G14-L14-0.34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18</v>
      </c>
      <c r="U16" s="220">
        <f t="shared" si="3"/>
        <v>27</v>
      </c>
      <c r="V16" s="220">
        <f t="shared" si="3"/>
        <v>10</v>
      </c>
      <c r="W16" s="220">
        <f t="shared" si="3"/>
        <v>0</v>
      </c>
      <c r="X16" s="220">
        <f t="shared" si="3"/>
        <v>2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15000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15453.32</v>
      </c>
      <c r="N17" s="144">
        <f>SUM(N8:N16)</f>
        <v>0</v>
      </c>
      <c r="O17" s="145">
        <f>SUM(O8:O16)</f>
        <v>0</v>
      </c>
      <c r="P17" s="146">
        <f>SUM(P7:P16)</f>
        <v>15453.32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9000</v>
      </c>
      <c r="U18" s="151">
        <f t="shared" si="4"/>
        <v>5400</v>
      </c>
      <c r="V18" s="151">
        <f t="shared" si="4"/>
        <v>1000</v>
      </c>
      <c r="W18" s="152">
        <f t="shared" si="4"/>
        <v>0</v>
      </c>
      <c r="X18" s="151">
        <f t="shared" si="4"/>
        <v>40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15453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15453.32</v>
      </c>
      <c r="Q20" s="283"/>
      <c r="W20" s="10"/>
      <c r="X20" s="163"/>
    </row>
    <row r="21" spans="2:28" ht="18.75" x14ac:dyDescent="0.3">
      <c r="B21" s="154"/>
      <c r="C21" s="154"/>
      <c r="D21" s="159"/>
      <c r="E21" s="160"/>
      <c r="F21" s="160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J1" workbookViewId="0">
      <selection activeCell="V17" sqref="V1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87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5</v>
      </c>
      <c r="U9">
        <v>3</v>
      </c>
      <c r="V9">
        <v>3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2</v>
      </c>
      <c r="F10" s="62"/>
      <c r="G10" s="82">
        <v>0</v>
      </c>
      <c r="H10" s="64">
        <f>D10*E10+D10*F10</f>
        <v>560</v>
      </c>
      <c r="I10" s="83"/>
      <c r="J10" s="84"/>
      <c r="K10" s="84"/>
      <c r="L10" s="85">
        <v>0</v>
      </c>
      <c r="M10" s="53">
        <f t="shared" ref="M10:M16" si="2">I10+H10+G10-L10</f>
        <v>560</v>
      </c>
      <c r="N10" s="86">
        <v>0</v>
      </c>
      <c r="O10" s="87">
        <v>0</v>
      </c>
      <c r="P10" s="88">
        <f t="shared" si="1"/>
        <v>560</v>
      </c>
      <c r="Q10" s="89" t="s">
        <v>19</v>
      </c>
      <c r="R10" s="90"/>
      <c r="S10" s="90"/>
      <c r="T10">
        <v>0</v>
      </c>
      <c r="U10">
        <v>0</v>
      </c>
      <c r="V10">
        <v>5</v>
      </c>
      <c r="W10">
        <v>0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0</v>
      </c>
      <c r="G14" s="63">
        <f>F14*D14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5500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5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3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15</v>
      </c>
      <c r="U16" s="220">
        <f t="shared" si="3"/>
        <v>25</v>
      </c>
      <c r="V16" s="220">
        <f t="shared" si="3"/>
        <v>20</v>
      </c>
      <c r="W16" s="220">
        <f t="shared" si="3"/>
        <v>0</v>
      </c>
      <c r="X16" s="220">
        <f t="shared" si="3"/>
        <v>7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15027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14647.32</v>
      </c>
      <c r="N17" s="144">
        <f>SUM(N8:N16)</f>
        <v>5500</v>
      </c>
      <c r="O17" s="145">
        <f>SUM(O8:O16)</f>
        <v>500</v>
      </c>
      <c r="P17" s="146">
        <f>SUM(P7:P16)</f>
        <v>14147.32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7500</v>
      </c>
      <c r="U18" s="151">
        <f t="shared" si="4"/>
        <v>5000</v>
      </c>
      <c r="V18" s="151">
        <f t="shared" si="4"/>
        <v>2000</v>
      </c>
      <c r="W18" s="152">
        <f t="shared" si="4"/>
        <v>0</v>
      </c>
      <c r="X18" s="151">
        <f t="shared" si="4"/>
        <v>140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14647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14647.32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M23" sqref="M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0</v>
      </c>
      <c r="F10" s="62"/>
      <c r="G10" s="82">
        <v>0</v>
      </c>
      <c r="H10" s="64">
        <f>D10*E10+D10*F10</f>
        <v>0</v>
      </c>
      <c r="I10" s="83"/>
      <c r="J10" s="84"/>
      <c r="K10" s="84"/>
      <c r="L10" s="85">
        <v>0</v>
      </c>
      <c r="M10" s="53">
        <f t="shared" ref="M10:M16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2.5</v>
      </c>
      <c r="G14" s="63">
        <f>F14*D14</f>
        <v>1041.675</v>
      </c>
      <c r="H14" s="64">
        <f>D14*E14-0.02</f>
        <v>2500</v>
      </c>
      <c r="I14" s="111"/>
      <c r="J14" s="111"/>
      <c r="K14" s="111"/>
      <c r="L14" s="112"/>
      <c r="M14" s="53">
        <f>I14+H14+G14-L14+0.32</f>
        <v>3541.9950000000003</v>
      </c>
      <c r="N14" s="235">
        <v>5000</v>
      </c>
      <c r="O14" s="194">
        <v>500</v>
      </c>
      <c r="P14" s="105">
        <f>M14-O14</f>
        <v>3041.9950000000003</v>
      </c>
      <c r="Q14" s="124" t="s">
        <v>19</v>
      </c>
      <c r="R14" s="116"/>
      <c r="S14" s="108"/>
      <c r="T14" s="196">
        <v>4</v>
      </c>
      <c r="U14" s="197">
        <v>5</v>
      </c>
      <c r="V14" s="197">
        <v>5</v>
      </c>
      <c r="W14" s="197">
        <v>0</v>
      </c>
      <c r="X14" s="197">
        <v>2</v>
      </c>
      <c r="Y14" s="197">
        <v>0</v>
      </c>
      <c r="Z14" s="197">
        <v>0</v>
      </c>
      <c r="AA14" s="197">
        <v>2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2</v>
      </c>
      <c r="W15" s="197">
        <v>0</v>
      </c>
      <c r="X15" s="197">
        <v>5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16</v>
      </c>
      <c r="U16" s="220">
        <f t="shared" si="3"/>
        <v>25</v>
      </c>
      <c r="V16" s="220">
        <f t="shared" si="3"/>
        <v>11</v>
      </c>
      <c r="W16" s="220">
        <f t="shared" si="3"/>
        <v>0</v>
      </c>
      <c r="X16" s="220">
        <f t="shared" si="3"/>
        <v>8</v>
      </c>
      <c r="Y16" s="220">
        <f t="shared" si="3"/>
        <v>0</v>
      </c>
      <c r="Z16" s="220">
        <f t="shared" si="3"/>
        <v>0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13600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14262.315000000001</v>
      </c>
      <c r="N17" s="144">
        <f>SUM(N8:N16)</f>
        <v>5000</v>
      </c>
      <c r="O17" s="145">
        <f>SUM(O8:O16)</f>
        <v>500</v>
      </c>
      <c r="P17" s="146">
        <f>SUM(P7:P16)</f>
        <v>13762.315000000001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8000</v>
      </c>
      <c r="U18" s="151">
        <f t="shared" si="4"/>
        <v>5000</v>
      </c>
      <c r="V18" s="151">
        <f t="shared" si="4"/>
        <v>1100</v>
      </c>
      <c r="W18" s="152">
        <f t="shared" si="4"/>
        <v>0</v>
      </c>
      <c r="X18" s="151">
        <f t="shared" si="4"/>
        <v>160</v>
      </c>
      <c r="Y18" s="151">
        <f t="shared" si="4"/>
        <v>0</v>
      </c>
      <c r="Z18" s="151">
        <f t="shared" si="4"/>
        <v>0</v>
      </c>
      <c r="AA18" s="151">
        <f t="shared" si="4"/>
        <v>2</v>
      </c>
      <c r="AB18" s="153">
        <f>SUM(T18:AA18)</f>
        <v>14262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14262.315000000001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T20" sqref="T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5</v>
      </c>
      <c r="U9">
        <v>4</v>
      </c>
      <c r="V9">
        <v>1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0</v>
      </c>
      <c r="F10" s="62"/>
      <c r="G10" s="82">
        <v>0</v>
      </c>
      <c r="H10" s="64">
        <f>D10*E10+D10*F10</f>
        <v>0</v>
      </c>
      <c r="I10" s="83"/>
      <c r="J10" s="84"/>
      <c r="K10" s="84"/>
      <c r="L10" s="85">
        <v>0</v>
      </c>
      <c r="M10" s="53">
        <f t="shared" ref="M10:M16" si="2">I10+H10+G10-L10</f>
        <v>0</v>
      </c>
      <c r="N10" s="86">
        <v>0</v>
      </c>
      <c r="O10" s="87">
        <v>0</v>
      </c>
      <c r="P10" s="88">
        <f t="shared" si="1"/>
        <v>0</v>
      </c>
      <c r="Q10" s="89" t="s">
        <v>19</v>
      </c>
      <c r="R10" s="90"/>
      <c r="S10" s="90"/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F14*D14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4500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5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1</v>
      </c>
      <c r="U15" s="197">
        <v>5</v>
      </c>
      <c r="V15" s="197">
        <v>2</v>
      </c>
      <c r="W15" s="197">
        <v>0</v>
      </c>
      <c r="X15" s="197">
        <v>5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15</v>
      </c>
      <c r="U16" s="220">
        <f t="shared" si="3"/>
        <v>26</v>
      </c>
      <c r="V16" s="220">
        <f t="shared" si="3"/>
        <v>12</v>
      </c>
      <c r="W16" s="220">
        <f t="shared" si="3"/>
        <v>0</v>
      </c>
      <c r="X16" s="220">
        <f t="shared" si="3"/>
        <v>9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14467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14087.32</v>
      </c>
      <c r="N17" s="144">
        <f>SUM(N8:N16)</f>
        <v>4500</v>
      </c>
      <c r="O17" s="145">
        <f>SUM(O8:O16)</f>
        <v>500</v>
      </c>
      <c r="P17" s="146">
        <f>SUM(P7:P16)</f>
        <v>13587.32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7500</v>
      </c>
      <c r="U18" s="151">
        <f t="shared" si="4"/>
        <v>5200</v>
      </c>
      <c r="V18" s="151">
        <f t="shared" si="4"/>
        <v>1200</v>
      </c>
      <c r="W18" s="152">
        <f t="shared" si="4"/>
        <v>0</v>
      </c>
      <c r="X18" s="151">
        <f t="shared" si="4"/>
        <v>180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14087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14087.32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N4" zoomScaleNormal="100" workbookViewId="0">
      <selection activeCell="Q27" sqref="Q2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6</v>
      </c>
      <c r="F10" s="62"/>
      <c r="G10" s="82">
        <v>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6" si="2">I10+H10+G10-L10</f>
        <v>1680</v>
      </c>
      <c r="N10" s="86">
        <v>0</v>
      </c>
      <c r="O10" s="87">
        <v>0</v>
      </c>
      <c r="P10" s="88">
        <f t="shared" si="1"/>
        <v>1680</v>
      </c>
      <c r="Q10" s="89" t="s">
        <v>19</v>
      </c>
      <c r="R10" s="90"/>
      <c r="S10" s="90"/>
      <c r="T10">
        <v>3</v>
      </c>
      <c r="U10">
        <v>0</v>
      </c>
      <c r="V10">
        <v>1</v>
      </c>
      <c r="W10">
        <v>0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F14*D14-0.34</f>
        <v>833</v>
      </c>
      <c r="H14" s="64">
        <f>D14*E14-0.02</f>
        <v>2500</v>
      </c>
      <c r="I14" s="111"/>
      <c r="J14" s="111"/>
      <c r="K14" s="111"/>
      <c r="L14" s="112"/>
      <c r="M14" s="53">
        <f>I14+H14+G14-L14</f>
        <v>3333</v>
      </c>
      <c r="N14" s="235">
        <v>4000</v>
      </c>
      <c r="O14" s="194">
        <v>500</v>
      </c>
      <c r="P14" s="105">
        <f>M14-O14</f>
        <v>2833</v>
      </c>
      <c r="Q14" s="124" t="s">
        <v>19</v>
      </c>
      <c r="R14" s="116"/>
      <c r="S14" s="108"/>
      <c r="T14" s="196">
        <v>4</v>
      </c>
      <c r="U14" s="197">
        <v>5</v>
      </c>
      <c r="V14" s="197">
        <v>3</v>
      </c>
      <c r="W14" s="197">
        <v>0</v>
      </c>
      <c r="X14" s="197">
        <v>1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20</v>
      </c>
      <c r="U16" s="220">
        <f t="shared" si="3"/>
        <v>24</v>
      </c>
      <c r="V16" s="220">
        <f t="shared" si="3"/>
        <v>8</v>
      </c>
      <c r="W16" s="220">
        <f t="shared" si="3"/>
        <v>0</v>
      </c>
      <c r="X16" s="220">
        <f t="shared" si="3"/>
        <v>6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15280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15733.32</v>
      </c>
      <c r="N17" s="144">
        <f>SUM(N8:N16)</f>
        <v>4000</v>
      </c>
      <c r="O17" s="145">
        <f>SUM(O8:O16)</f>
        <v>500</v>
      </c>
      <c r="P17" s="146">
        <f>SUM(P7:P16)</f>
        <v>15233.32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10000</v>
      </c>
      <c r="U18" s="151">
        <f t="shared" si="4"/>
        <v>4800</v>
      </c>
      <c r="V18" s="151">
        <f t="shared" si="4"/>
        <v>800</v>
      </c>
      <c r="W18" s="152">
        <f t="shared" si="4"/>
        <v>0</v>
      </c>
      <c r="X18" s="151">
        <f t="shared" si="4"/>
        <v>120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15733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15733.32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G1" workbookViewId="0">
      <selection activeCell="R20" sqref="R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5</v>
      </c>
      <c r="U9">
        <v>4</v>
      </c>
      <c r="V9">
        <v>1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6</v>
      </c>
      <c r="F10" s="62"/>
      <c r="G10" s="82">
        <v>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6" si="2">I10+H10+G10-L10</f>
        <v>1680</v>
      </c>
      <c r="N10" s="86">
        <v>0</v>
      </c>
      <c r="O10" s="87">
        <v>0</v>
      </c>
      <c r="P10" s="88">
        <f t="shared" si="1"/>
        <v>1680</v>
      </c>
      <c r="Q10" s="89" t="s">
        <v>19</v>
      </c>
      <c r="R10" s="90"/>
      <c r="S10" s="90"/>
      <c r="T10">
        <v>3</v>
      </c>
      <c r="U10">
        <v>0</v>
      </c>
      <c r="V10">
        <v>1</v>
      </c>
      <c r="W10">
        <v>0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3500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2</v>
      </c>
      <c r="U14" s="197">
        <v>5</v>
      </c>
      <c r="V14" s="197">
        <v>5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19</v>
      </c>
      <c r="U16" s="220">
        <f t="shared" si="3"/>
        <v>25</v>
      </c>
      <c r="V16" s="220">
        <f t="shared" si="3"/>
        <v>11</v>
      </c>
      <c r="W16" s="220">
        <f t="shared" si="3"/>
        <v>1</v>
      </c>
      <c r="X16" s="220">
        <f t="shared" si="3"/>
        <v>5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16147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15767.32</v>
      </c>
      <c r="N17" s="144">
        <f>SUM(N8:N16)</f>
        <v>3500</v>
      </c>
      <c r="O17" s="145">
        <f>SUM(O8:O16)</f>
        <v>500</v>
      </c>
      <c r="P17" s="146">
        <f>SUM(P7:P16)</f>
        <v>15267.32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9500</v>
      </c>
      <c r="U18" s="151">
        <f t="shared" si="4"/>
        <v>5000</v>
      </c>
      <c r="V18" s="151">
        <f t="shared" si="4"/>
        <v>1100</v>
      </c>
      <c r="W18" s="152">
        <f t="shared" si="4"/>
        <v>50</v>
      </c>
      <c r="X18" s="151">
        <f t="shared" si="4"/>
        <v>100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15767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15767.32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1</v>
      </c>
      <c r="G9" s="73">
        <v>0</v>
      </c>
      <c r="H9" s="64">
        <f>D9*E9+D9*F9-0.38</f>
        <v>3033</v>
      </c>
      <c r="I9" s="74"/>
      <c r="J9" s="75"/>
      <c r="K9" s="75"/>
      <c r="L9" s="76"/>
      <c r="M9" s="53">
        <f>I9+H9+G9-L9</f>
        <v>3033</v>
      </c>
      <c r="N9" s="77" t="s">
        <v>26</v>
      </c>
      <c r="O9" s="55">
        <v>0</v>
      </c>
      <c r="P9" s="66">
        <f t="shared" si="1"/>
        <v>3033</v>
      </c>
      <c r="Q9" s="78" t="s">
        <v>19</v>
      </c>
      <c r="R9" s="79"/>
      <c r="S9" s="80"/>
      <c r="T9">
        <v>4</v>
      </c>
      <c r="U9">
        <v>3</v>
      </c>
      <c r="V9">
        <v>2</v>
      </c>
      <c r="W9">
        <v>2</v>
      </c>
      <c r="X9">
        <v>6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8</v>
      </c>
      <c r="F10" s="62"/>
      <c r="G10" s="82">
        <v>0</v>
      </c>
      <c r="H10" s="64">
        <f>D10*E10+D10*F10</f>
        <v>2240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D14*F14-0.01</f>
        <v>1250</v>
      </c>
      <c r="H14" s="64">
        <f>D14*E14-0.02</f>
        <v>2500</v>
      </c>
      <c r="I14" s="111"/>
      <c r="J14" s="111"/>
      <c r="K14" s="111"/>
      <c r="L14" s="112"/>
      <c r="M14" s="53">
        <f>I14+H14+G14-L14</f>
        <v>3750</v>
      </c>
      <c r="N14" s="235">
        <v>3000</v>
      </c>
      <c r="O14" s="194">
        <v>500</v>
      </c>
      <c r="P14" s="105">
        <f>M14-O14</f>
        <v>3250</v>
      </c>
      <c r="Q14" s="124" t="s">
        <v>19</v>
      </c>
      <c r="R14" s="116"/>
      <c r="S14" s="108"/>
      <c r="T14" s="196">
        <v>5</v>
      </c>
      <c r="U14" s="197">
        <v>5</v>
      </c>
      <c r="V14" s="197">
        <v>2</v>
      </c>
      <c r="W14" s="197">
        <v>1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25</v>
      </c>
      <c r="V16" s="220">
        <f t="shared" si="3"/>
        <v>8</v>
      </c>
      <c r="W16" s="220">
        <f t="shared" si="3"/>
        <v>3</v>
      </c>
      <c r="X16" s="220">
        <f t="shared" si="3"/>
        <v>9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16273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17143.32</v>
      </c>
      <c r="N17" s="144">
        <f>SUM(N8:N16)</f>
        <v>3000</v>
      </c>
      <c r="O17" s="145">
        <f>SUM(O8:O16)</f>
        <v>500</v>
      </c>
      <c r="P17" s="146">
        <f>SUM(P7:P16)</f>
        <v>16643.32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5000</v>
      </c>
      <c r="V18" s="151">
        <f t="shared" si="4"/>
        <v>800</v>
      </c>
      <c r="W18" s="152">
        <f t="shared" si="4"/>
        <v>150</v>
      </c>
      <c r="X18" s="151">
        <f t="shared" si="4"/>
        <v>180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17143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17143.32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L1" workbookViewId="0">
      <selection activeCell="Q25" sqref="Q24:Q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10</v>
      </c>
      <c r="F10" s="62"/>
      <c r="G10" s="82">
        <v>0</v>
      </c>
      <c r="H10" s="64">
        <f>D10*E10+D10*F10</f>
        <v>2800</v>
      </c>
      <c r="I10" s="83"/>
      <c r="J10" s="84"/>
      <c r="K10" s="84"/>
      <c r="L10" s="85">
        <v>0</v>
      </c>
      <c r="M10" s="53">
        <f t="shared" ref="M10:M16" si="2">I10+H10+G10-L10</f>
        <v>2800</v>
      </c>
      <c r="N10" s="86">
        <v>0</v>
      </c>
      <c r="O10" s="87">
        <v>0</v>
      </c>
      <c r="P10" s="88">
        <f t="shared" si="1"/>
        <v>2800</v>
      </c>
      <c r="Q10" s="89" t="s">
        <v>19</v>
      </c>
      <c r="R10" s="90"/>
      <c r="S10" s="90"/>
      <c r="T10">
        <v>5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0</v>
      </c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2500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3</v>
      </c>
      <c r="U14" s="197">
        <v>4</v>
      </c>
      <c r="V14" s="197">
        <v>2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23</v>
      </c>
      <c r="U16" s="220">
        <f t="shared" si="3"/>
        <v>23</v>
      </c>
      <c r="V16" s="220">
        <f t="shared" si="3"/>
        <v>7</v>
      </c>
      <c r="W16" s="220">
        <f t="shared" si="3"/>
        <v>1</v>
      </c>
      <c r="X16" s="220">
        <f t="shared" si="3"/>
        <v>1</v>
      </c>
      <c r="Y16" s="220">
        <f t="shared" si="3"/>
        <v>1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17267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16887.32</v>
      </c>
      <c r="N17" s="144">
        <f>SUM(N8:N16)</f>
        <v>2500</v>
      </c>
      <c r="O17" s="145">
        <f>SUM(O8:O16)</f>
        <v>500</v>
      </c>
      <c r="P17" s="146">
        <f>SUM(P7:P16)</f>
        <v>16387.32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11500</v>
      </c>
      <c r="U18" s="151">
        <f t="shared" si="4"/>
        <v>4600</v>
      </c>
      <c r="V18" s="151">
        <f t="shared" si="4"/>
        <v>700</v>
      </c>
      <c r="W18" s="152">
        <f t="shared" si="4"/>
        <v>50</v>
      </c>
      <c r="X18" s="151">
        <f t="shared" si="4"/>
        <v>20</v>
      </c>
      <c r="Y18" s="151">
        <f t="shared" si="4"/>
        <v>10</v>
      </c>
      <c r="Z18" s="151">
        <f t="shared" si="4"/>
        <v>5</v>
      </c>
      <c r="AA18" s="151">
        <f t="shared" si="4"/>
        <v>2</v>
      </c>
      <c r="AB18" s="153">
        <f>SUM(T18:AA18)</f>
        <v>16887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16887.32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T20" sqref="T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98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12</v>
      </c>
      <c r="G10" s="82">
        <v>0</v>
      </c>
      <c r="H10" s="64">
        <f>D10*E10+D10*F10</f>
        <v>3360</v>
      </c>
      <c r="I10" s="83"/>
      <c r="J10" s="84"/>
      <c r="K10" s="84"/>
      <c r="L10" s="85">
        <v>0</v>
      </c>
      <c r="M10" s="53">
        <f t="shared" ref="M10:M16" si="2">I10+H10+G10-L10</f>
        <v>3360</v>
      </c>
      <c r="N10" s="86">
        <v>0</v>
      </c>
      <c r="O10" s="87">
        <v>0</v>
      </c>
      <c r="P10" s="88">
        <f t="shared" si="1"/>
        <v>3360</v>
      </c>
      <c r="Q10" s="89" t="s">
        <v>19</v>
      </c>
      <c r="R10" s="90"/>
      <c r="S10" s="90"/>
      <c r="T10">
        <v>6</v>
      </c>
      <c r="U10">
        <v>1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235">
        <v>2000</v>
      </c>
      <c r="O14" s="194">
        <v>500</v>
      </c>
      <c r="P14" s="105">
        <f>M14-O14</f>
        <v>3250</v>
      </c>
      <c r="Q14" s="124" t="s">
        <v>19</v>
      </c>
      <c r="R14" s="116"/>
      <c r="S14" s="108"/>
      <c r="T14" s="196">
        <v>6</v>
      </c>
      <c r="U14" s="197">
        <v>3</v>
      </c>
      <c r="V14" s="197">
        <v>0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25</v>
      </c>
      <c r="U16" s="220">
        <f t="shared" si="3"/>
        <v>23</v>
      </c>
      <c r="V16" s="220">
        <f t="shared" si="3"/>
        <v>5</v>
      </c>
      <c r="W16" s="220">
        <f t="shared" si="3"/>
        <v>1</v>
      </c>
      <c r="X16" s="220">
        <f t="shared" si="3"/>
        <v>9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16960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17830.32</v>
      </c>
      <c r="N17" s="144">
        <f>SUM(N8:N16)</f>
        <v>2000</v>
      </c>
      <c r="O17" s="145">
        <f>SUM(O8:O16)</f>
        <v>500</v>
      </c>
      <c r="P17" s="146">
        <f>SUM(P7:P16)</f>
        <v>17330.32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12500</v>
      </c>
      <c r="U18" s="151">
        <f t="shared" si="4"/>
        <v>4600</v>
      </c>
      <c r="V18" s="151">
        <f t="shared" si="4"/>
        <v>500</v>
      </c>
      <c r="W18" s="152">
        <f t="shared" si="4"/>
        <v>50</v>
      </c>
      <c r="X18" s="151">
        <f t="shared" si="4"/>
        <v>180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17830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17830.32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49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D9*E9+D9*F9-0.06</f>
        <v>2599.98</v>
      </c>
      <c r="I9" s="74"/>
      <c r="J9" s="75"/>
      <c r="K9" s="75"/>
      <c r="L9" s="76"/>
      <c r="M9" s="53">
        <f>I9+H9+G9-L9+0.02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980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2660</v>
      </c>
      <c r="N10" s="86">
        <v>0</v>
      </c>
      <c r="O10" s="87">
        <v>0</v>
      </c>
      <c r="P10" s="88">
        <f t="shared" si="1"/>
        <v>2660</v>
      </c>
      <c r="Q10" s="89" t="s">
        <v>19</v>
      </c>
      <c r="R10" s="90"/>
      <c r="S10" s="90"/>
      <c r="T10">
        <v>4</v>
      </c>
      <c r="U10">
        <v>3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643.86</v>
      </c>
      <c r="E11" s="72">
        <v>5</v>
      </c>
      <c r="F11" s="91">
        <v>1</v>
      </c>
      <c r="G11" s="92">
        <v>0</v>
      </c>
      <c r="H11" s="64">
        <f>D11*7+D11*F11+0.12</f>
        <v>5151</v>
      </c>
      <c r="I11" s="93">
        <v>0</v>
      </c>
      <c r="J11" s="94"/>
      <c r="K11" s="94"/>
      <c r="L11" s="95">
        <v>1500</v>
      </c>
      <c r="M11" s="53">
        <f t="shared" si="2"/>
        <v>3651</v>
      </c>
      <c r="N11" s="96">
        <v>3800</v>
      </c>
      <c r="O11" s="97">
        <v>500</v>
      </c>
      <c r="P11" s="98">
        <f t="shared" si="1"/>
        <v>3151</v>
      </c>
      <c r="Q11" s="99" t="s">
        <v>22</v>
      </c>
      <c r="R11" s="90"/>
      <c r="S11" s="90"/>
      <c r="T11">
        <v>5</v>
      </c>
      <c r="U11">
        <v>2</v>
      </c>
      <c r="V11">
        <v>4</v>
      </c>
      <c r="W11">
        <v>5</v>
      </c>
      <c r="X11">
        <v>5</v>
      </c>
      <c r="Y11">
        <v>0</v>
      </c>
      <c r="Z11">
        <v>0</v>
      </c>
      <c r="AA11">
        <v>1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D12*7+D12*F12-0.03</f>
        <v>2857.0899999999997</v>
      </c>
      <c r="I12" s="101">
        <v>0</v>
      </c>
      <c r="J12" s="102"/>
      <c r="K12" s="102"/>
      <c r="L12" s="103">
        <v>1004</v>
      </c>
      <c r="M12" s="53">
        <f t="shared" si="2"/>
        <v>1853.0899999999997</v>
      </c>
      <c r="N12" s="104">
        <v>0</v>
      </c>
      <c r="O12" s="87">
        <v>0</v>
      </c>
      <c r="P12" s="105">
        <f t="shared" si="1"/>
        <v>1853.0899999999997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46">
        <v>416.67</v>
      </c>
      <c r="E13" s="62">
        <v>6</v>
      </c>
      <c r="F13" s="62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/>
      <c r="O13" s="112"/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/>
      <c r="G14" s="48">
        <v>0</v>
      </c>
      <c r="H14" s="64">
        <f>D14*E14+F14*D14-0.02</f>
        <v>2500</v>
      </c>
      <c r="I14" s="121">
        <v>0</v>
      </c>
      <c r="J14" s="122"/>
      <c r="K14" s="122"/>
      <c r="L14" s="52">
        <v>0</v>
      </c>
      <c r="M14" s="53">
        <f t="shared" si="2"/>
        <v>2500</v>
      </c>
      <c r="N14" s="123">
        <v>0</v>
      </c>
      <c r="O14" s="55">
        <v>0</v>
      </c>
      <c r="P14" s="105">
        <f>M14-O14</f>
        <v>2500</v>
      </c>
      <c r="Q14" s="124" t="s">
        <v>19</v>
      </c>
      <c r="R14" s="116"/>
      <c r="S14" s="108"/>
      <c r="T14" s="109">
        <v>4</v>
      </c>
      <c r="U14" s="117">
        <v>2</v>
      </c>
      <c r="V14" s="117">
        <v>1</v>
      </c>
      <c r="W14" s="117">
        <v>0</v>
      </c>
      <c r="X14" s="117">
        <v>0</v>
      </c>
      <c r="Y14" s="117">
        <v>0</v>
      </c>
      <c r="Z14" s="117">
        <v>0</v>
      </c>
      <c r="AA14" s="117">
        <v>0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125">
        <v>44214</v>
      </c>
      <c r="D16" s="126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>SUM(T7:T16)</f>
        <v>34</v>
      </c>
      <c r="U17" s="109">
        <f t="shared" ref="U17:W17" si="3">SUM(U7:U16)</f>
        <v>24</v>
      </c>
      <c r="V17" s="109">
        <f t="shared" si="3"/>
        <v>12</v>
      </c>
      <c r="W17" s="109">
        <f t="shared" si="3"/>
        <v>7</v>
      </c>
      <c r="X17" s="109">
        <f>SUM(X7:X16)</f>
        <v>6</v>
      </c>
      <c r="Y17" s="109">
        <f>SUM(Y7:Y16)</f>
        <v>1</v>
      </c>
      <c r="Z17" s="109">
        <f>SUM(Z7:Z16)</f>
        <v>0</v>
      </c>
      <c r="AA17" s="109">
        <f>SUM(AA7:AA16)</f>
        <v>4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25388.07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23484.41</v>
      </c>
      <c r="N18" s="144">
        <f>SUM(N8:N17)</f>
        <v>3800</v>
      </c>
      <c r="O18" s="145">
        <f>SUM(O8:O17)</f>
        <v>500</v>
      </c>
      <c r="P18" s="146">
        <f>SUM(P7:P17)</f>
        <v>22984.41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17000</v>
      </c>
      <c r="U19" s="151">
        <f t="shared" si="4"/>
        <v>4800</v>
      </c>
      <c r="V19" s="151">
        <f t="shared" si="4"/>
        <v>1200</v>
      </c>
      <c r="W19" s="152">
        <f t="shared" si="4"/>
        <v>350</v>
      </c>
      <c r="X19" s="151">
        <f t="shared" si="4"/>
        <v>120</v>
      </c>
      <c r="Y19" s="151">
        <f t="shared" si="4"/>
        <v>10</v>
      </c>
      <c r="Z19" s="151">
        <f t="shared" si="4"/>
        <v>0</v>
      </c>
      <c r="AA19" s="151">
        <f t="shared" si="4"/>
        <v>4</v>
      </c>
      <c r="AB19" s="153">
        <f>SUM(T19:AA19)</f>
        <v>23484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23484.41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E9" sqref="E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100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8">
        <v>5</v>
      </c>
      <c r="F9" s="72">
        <v>2</v>
      </c>
      <c r="G9" s="73">
        <v>0</v>
      </c>
      <c r="H9" s="64">
        <f>D9*E9+D9*F9-0.38</f>
        <v>3032.9999999999995</v>
      </c>
      <c r="I9" s="74"/>
      <c r="J9" s="75"/>
      <c r="K9" s="75"/>
      <c r="L9" s="76"/>
      <c r="M9" s="53">
        <f>I9+H9+G9-L9</f>
        <v>3032.9999999999995</v>
      </c>
      <c r="N9" s="77" t="s">
        <v>26</v>
      </c>
      <c r="O9" s="55">
        <v>0</v>
      </c>
      <c r="P9" s="66">
        <f t="shared" si="1"/>
        <v>3032.9999999999995</v>
      </c>
      <c r="Q9" s="78" t="s">
        <v>19</v>
      </c>
      <c r="R9" s="79"/>
      <c r="S9" s="80"/>
      <c r="T9">
        <v>5</v>
      </c>
      <c r="U9">
        <v>2</v>
      </c>
      <c r="V9">
        <v>1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15</v>
      </c>
      <c r="G10" s="82">
        <v>0</v>
      </c>
      <c r="H10" s="64">
        <f>D10*E10+D10*F10</f>
        <v>4200</v>
      </c>
      <c r="I10" s="83"/>
      <c r="J10" s="84"/>
      <c r="K10" s="84"/>
      <c r="L10" s="85">
        <v>0</v>
      </c>
      <c r="M10" s="53">
        <f t="shared" ref="M10:M16" si="2">I10+H10+G10-L10</f>
        <v>4200</v>
      </c>
      <c r="N10" s="86">
        <v>0</v>
      </c>
      <c r="O10" s="87">
        <v>0</v>
      </c>
      <c r="P10" s="88">
        <f t="shared" si="1"/>
        <v>4200</v>
      </c>
      <c r="Q10" s="89" t="s">
        <v>19</v>
      </c>
      <c r="R10" s="90"/>
      <c r="S10" s="90"/>
      <c r="T10">
        <v>8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1500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4</v>
      </c>
      <c r="U14" s="197">
        <v>0</v>
      </c>
      <c r="V14" s="197">
        <v>3</v>
      </c>
      <c r="W14" s="197">
        <v>2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26</v>
      </c>
      <c r="U16" s="220">
        <f t="shared" si="3"/>
        <v>19</v>
      </c>
      <c r="V16" s="220">
        <f t="shared" si="3"/>
        <v>8</v>
      </c>
      <c r="W16" s="220">
        <f t="shared" si="3"/>
        <v>2</v>
      </c>
      <c r="X16" s="220">
        <f t="shared" si="3"/>
        <v>7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18233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17853.32</v>
      </c>
      <c r="N17" s="144">
        <f>SUM(N8:N16)</f>
        <v>1500</v>
      </c>
      <c r="O17" s="145">
        <f>SUM(O8:O16)</f>
        <v>500</v>
      </c>
      <c r="P17" s="146">
        <f>SUM(P7:P16)</f>
        <v>17353.32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13000</v>
      </c>
      <c r="U18" s="151">
        <f t="shared" si="4"/>
        <v>3800</v>
      </c>
      <c r="V18" s="151">
        <f t="shared" si="4"/>
        <v>800</v>
      </c>
      <c r="W18" s="152">
        <f t="shared" si="4"/>
        <v>100</v>
      </c>
      <c r="X18" s="151">
        <f t="shared" si="4"/>
        <v>140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17853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17853.32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K1" workbookViewId="0">
      <selection activeCell="N20" sqref="N20:O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1</v>
      </c>
      <c r="G9" s="73">
        <v>0</v>
      </c>
      <c r="H9" s="64">
        <f>D9*E9+D9*F9-0.38</f>
        <v>3033</v>
      </c>
      <c r="I9" s="74"/>
      <c r="J9" s="75"/>
      <c r="K9" s="75"/>
      <c r="L9" s="76"/>
      <c r="M9" s="53">
        <f>I9+H9+G9-L9</f>
        <v>3033</v>
      </c>
      <c r="N9" s="77" t="s">
        <v>26</v>
      </c>
      <c r="O9" s="55">
        <v>0</v>
      </c>
      <c r="P9" s="66">
        <f t="shared" si="1"/>
        <v>3033</v>
      </c>
      <c r="Q9" s="78" t="s">
        <v>19</v>
      </c>
      <c r="R9" s="79"/>
      <c r="S9" s="80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11</v>
      </c>
      <c r="G10" s="82">
        <v>0</v>
      </c>
      <c r="H10" s="64">
        <f>D10*E10+D10*F10</f>
        <v>3080</v>
      </c>
      <c r="I10" s="83"/>
      <c r="J10" s="84"/>
      <c r="K10" s="84"/>
      <c r="L10" s="85">
        <v>0</v>
      </c>
      <c r="M10" s="53">
        <f t="shared" ref="M10:M16" si="2">I10+H10+G10-L10</f>
        <v>3080</v>
      </c>
      <c r="N10" s="86">
        <v>0</v>
      </c>
      <c r="O10" s="87">
        <v>0</v>
      </c>
      <c r="P10" s="88">
        <f t="shared" si="1"/>
        <v>3080</v>
      </c>
      <c r="Q10" s="89" t="s">
        <v>19</v>
      </c>
      <c r="R10" s="90"/>
      <c r="S10" s="90"/>
      <c r="T10">
        <v>6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235">
        <v>1000</v>
      </c>
      <c r="O14" s="194">
        <v>500</v>
      </c>
      <c r="P14" s="105">
        <f>M14-O14</f>
        <v>3250</v>
      </c>
      <c r="Q14" s="124" t="s">
        <v>19</v>
      </c>
      <c r="R14" s="116"/>
      <c r="S14" s="108"/>
      <c r="T14" s="196">
        <v>5</v>
      </c>
      <c r="U14" s="197">
        <v>5</v>
      </c>
      <c r="V14" s="197">
        <v>1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24</v>
      </c>
      <c r="U16" s="220">
        <f t="shared" si="3"/>
        <v>26</v>
      </c>
      <c r="V16" s="220">
        <f t="shared" si="3"/>
        <v>5</v>
      </c>
      <c r="W16" s="220">
        <f t="shared" si="3"/>
        <v>2</v>
      </c>
      <c r="X16" s="220">
        <f t="shared" si="3"/>
        <v>8</v>
      </c>
      <c r="Y16" s="220">
        <f t="shared" si="3"/>
        <v>2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17113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17983.32</v>
      </c>
      <c r="N17" s="144">
        <f>SUM(N8:N16)</f>
        <v>1000</v>
      </c>
      <c r="O17" s="145">
        <f>SUM(O8:O16)</f>
        <v>500</v>
      </c>
      <c r="P17" s="146">
        <f>SUM(P7:P16)</f>
        <v>17483.32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12000</v>
      </c>
      <c r="U18" s="151">
        <f t="shared" si="4"/>
        <v>5200</v>
      </c>
      <c r="V18" s="151">
        <f t="shared" si="4"/>
        <v>500</v>
      </c>
      <c r="W18" s="152">
        <f t="shared" si="4"/>
        <v>100</v>
      </c>
      <c r="X18" s="151">
        <f t="shared" si="4"/>
        <v>160</v>
      </c>
      <c r="Y18" s="151">
        <f t="shared" si="4"/>
        <v>20</v>
      </c>
      <c r="Z18" s="151">
        <f t="shared" si="4"/>
        <v>0</v>
      </c>
      <c r="AA18" s="151">
        <f t="shared" si="4"/>
        <v>3</v>
      </c>
      <c r="AB18" s="153">
        <f>SUM(T18:AA18)</f>
        <v>17983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17983.32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N1" workbookViewId="0">
      <selection activeCell="R21" sqref="R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D9*E9+D9*F9-0.06</f>
        <v>3900</v>
      </c>
      <c r="I9" s="74"/>
      <c r="J9" s="75"/>
      <c r="K9" s="75"/>
      <c r="L9" s="76"/>
      <c r="M9" s="53">
        <f>I9+H9+G9-L9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9.5</v>
      </c>
      <c r="G10" s="82">
        <v>0</v>
      </c>
      <c r="H10" s="64">
        <f>D10*E10+D10*F10</f>
        <v>2660</v>
      </c>
      <c r="I10" s="83"/>
      <c r="J10" s="84"/>
      <c r="K10" s="84"/>
      <c r="L10" s="85">
        <v>0</v>
      </c>
      <c r="M10" s="53">
        <f t="shared" ref="M10:M16" si="2">I10+H10+G10-L10</f>
        <v>2660</v>
      </c>
      <c r="N10" s="86">
        <v>0</v>
      </c>
      <c r="O10" s="87">
        <v>0</v>
      </c>
      <c r="P10" s="88">
        <f t="shared" si="1"/>
        <v>2660</v>
      </c>
      <c r="Q10" s="89" t="s">
        <v>19</v>
      </c>
      <c r="R10" s="90"/>
      <c r="S10" s="90"/>
      <c r="T10">
        <v>5</v>
      </c>
      <c r="U10">
        <v>0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235">
        <v>500</v>
      </c>
      <c r="O14" s="194">
        <v>500</v>
      </c>
      <c r="P14" s="105">
        <f>M14-O14</f>
        <v>2000</v>
      </c>
      <c r="Q14" s="124" t="s">
        <v>19</v>
      </c>
      <c r="R14" s="116"/>
      <c r="S14" s="108"/>
      <c r="T14" s="196">
        <v>3</v>
      </c>
      <c r="U14" s="197">
        <v>4</v>
      </c>
      <c r="V14" s="197">
        <v>1</v>
      </c>
      <c r="W14" s="197">
        <v>2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23</v>
      </c>
      <c r="U16" s="220">
        <f t="shared" si="3"/>
        <v>24</v>
      </c>
      <c r="V16" s="220">
        <f t="shared" si="3"/>
        <v>7</v>
      </c>
      <c r="W16" s="220">
        <f t="shared" si="3"/>
        <v>2</v>
      </c>
      <c r="X16" s="220">
        <f t="shared" si="3"/>
        <v>4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17560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17180.32</v>
      </c>
      <c r="N17" s="144">
        <f>SUM(N8:N16)</f>
        <v>500</v>
      </c>
      <c r="O17" s="145">
        <f>SUM(O8:O16)</f>
        <v>500</v>
      </c>
      <c r="P17" s="146">
        <f>SUM(P7:P16)</f>
        <v>16680.32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11500</v>
      </c>
      <c r="U18" s="151">
        <f t="shared" si="4"/>
        <v>4800</v>
      </c>
      <c r="V18" s="151">
        <f t="shared" si="4"/>
        <v>700</v>
      </c>
      <c r="W18" s="152">
        <f t="shared" si="4"/>
        <v>100</v>
      </c>
      <c r="X18" s="151">
        <f t="shared" si="4"/>
        <v>80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17180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17180.32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L1" workbookViewId="0">
      <selection activeCell="Q23" sqref="Q22:Q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/>
      <c r="F10" s="62">
        <v>10</v>
      </c>
      <c r="G10" s="82">
        <v>0</v>
      </c>
      <c r="H10" s="64">
        <f>D10*E10+D10*F10</f>
        <v>2800</v>
      </c>
      <c r="I10" s="83"/>
      <c r="J10" s="84"/>
      <c r="K10" s="84"/>
      <c r="L10" s="85">
        <v>0</v>
      </c>
      <c r="M10" s="53">
        <f t="shared" ref="M10:M16" si="2">I10+H10+G10-L10</f>
        <v>2800</v>
      </c>
      <c r="N10" s="86">
        <v>0</v>
      </c>
      <c r="O10" s="87">
        <v>0</v>
      </c>
      <c r="P10" s="88">
        <f t="shared" si="1"/>
        <v>2800</v>
      </c>
      <c r="Q10" s="89" t="s">
        <v>19</v>
      </c>
      <c r="R10" s="90"/>
      <c r="S10" s="90"/>
      <c r="T10">
        <v>5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D14*F14-0.01</f>
        <v>1250</v>
      </c>
      <c r="H14" s="64">
        <f>D14*E14-0.02</f>
        <v>2500</v>
      </c>
      <c r="I14" s="111"/>
      <c r="J14" s="111"/>
      <c r="K14" s="111"/>
      <c r="L14" s="112"/>
      <c r="M14" s="53">
        <f>I14+H14+G14-L14</f>
        <v>3750</v>
      </c>
      <c r="N14" s="193">
        <v>0</v>
      </c>
      <c r="O14" s="194">
        <v>0</v>
      </c>
      <c r="P14" s="105">
        <f>M14-O14</f>
        <v>3750</v>
      </c>
      <c r="Q14" s="124" t="s">
        <v>19</v>
      </c>
      <c r="R14" s="116"/>
      <c r="S14" s="108"/>
      <c r="T14" s="196">
        <v>5</v>
      </c>
      <c r="U14" s="197">
        <v>5</v>
      </c>
      <c r="V14" s="197">
        <v>1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23</v>
      </c>
      <c r="U16" s="220">
        <f t="shared" si="3"/>
        <v>25</v>
      </c>
      <c r="V16" s="220">
        <f t="shared" si="3"/>
        <v>6</v>
      </c>
      <c r="W16" s="220">
        <f t="shared" si="3"/>
        <v>1</v>
      </c>
      <c r="X16" s="220">
        <f t="shared" si="3"/>
        <v>6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16400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17270.32</v>
      </c>
      <c r="N17" s="144">
        <f>SUM(N8:N16)</f>
        <v>0</v>
      </c>
      <c r="O17" s="145">
        <f>SUM(O8:O16)</f>
        <v>0</v>
      </c>
      <c r="P17" s="146">
        <f>SUM(P7:P16)</f>
        <v>17270.32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11500</v>
      </c>
      <c r="U18" s="151">
        <f t="shared" si="4"/>
        <v>5000</v>
      </c>
      <c r="V18" s="151">
        <f t="shared" si="4"/>
        <v>600</v>
      </c>
      <c r="W18" s="152">
        <f t="shared" si="4"/>
        <v>50</v>
      </c>
      <c r="X18" s="151">
        <f t="shared" si="4"/>
        <v>120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17270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17270.32</v>
      </c>
      <c r="Q20" s="283"/>
      <c r="W20" s="10"/>
      <c r="X20" s="163"/>
    </row>
    <row r="21" spans="2:28" ht="23.25" x14ac:dyDescent="0.35">
      <c r="B21" s="243" t="s">
        <v>90</v>
      </c>
      <c r="C21" s="243"/>
      <c r="D21" s="244" t="s">
        <v>91</v>
      </c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</f>
        <v>3900.06</v>
      </c>
      <c r="I9" s="74"/>
      <c r="J9" s="75"/>
      <c r="K9" s="75"/>
      <c r="L9" s="76"/>
      <c r="M9" s="53">
        <f>I9+H9+G9-L9-0.06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3</v>
      </c>
      <c r="V9">
        <v>1</v>
      </c>
      <c r="W9">
        <v>4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8.5</v>
      </c>
      <c r="F10" s="62"/>
      <c r="G10" s="82">
        <v>0</v>
      </c>
      <c r="H10" s="64">
        <f>D10*E10+D10*F10</f>
        <v>2380</v>
      </c>
      <c r="I10" s="83"/>
      <c r="J10" s="84"/>
      <c r="K10" s="84"/>
      <c r="L10" s="85">
        <v>0</v>
      </c>
      <c r="M10" s="53">
        <f t="shared" ref="M10:M16" si="2">I10+H10+G10-L10</f>
        <v>2380</v>
      </c>
      <c r="N10" s="86">
        <v>0</v>
      </c>
      <c r="O10" s="87">
        <v>0</v>
      </c>
      <c r="P10" s="88">
        <f t="shared" si="1"/>
        <v>2380</v>
      </c>
      <c r="Q10" s="89" t="s">
        <v>19</v>
      </c>
      <c r="R10" s="90"/>
      <c r="S10" s="90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 t="shared" si="2"/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1</v>
      </c>
      <c r="W13" s="197">
        <v>2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4</v>
      </c>
      <c r="V14" s="197">
        <v>1</v>
      </c>
      <c r="W14" s="197">
        <v>2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24</v>
      </c>
      <c r="V16" s="220">
        <f t="shared" si="3"/>
        <v>6</v>
      </c>
      <c r="W16" s="220">
        <f t="shared" si="3"/>
        <v>9</v>
      </c>
      <c r="X16" s="220">
        <f t="shared" si="3"/>
        <v>2</v>
      </c>
      <c r="Y16" s="220">
        <f t="shared" si="3"/>
        <v>1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17280.059999999998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16900.32</v>
      </c>
      <c r="N17" s="144">
        <f>SUM(N8:N16)</f>
        <v>0</v>
      </c>
      <c r="O17" s="145">
        <f>SUM(O8:O16)</f>
        <v>0</v>
      </c>
      <c r="P17" s="146">
        <f>SUM(P7:P16)</f>
        <v>16900.32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4800</v>
      </c>
      <c r="V18" s="151">
        <f t="shared" si="4"/>
        <v>600</v>
      </c>
      <c r="W18" s="152">
        <f t="shared" si="4"/>
        <v>450</v>
      </c>
      <c r="X18" s="151">
        <f t="shared" si="4"/>
        <v>40</v>
      </c>
      <c r="Y18" s="151">
        <f t="shared" si="4"/>
        <v>10</v>
      </c>
      <c r="Z18" s="151">
        <f t="shared" si="4"/>
        <v>0</v>
      </c>
      <c r="AA18" s="151">
        <f t="shared" si="4"/>
        <v>0</v>
      </c>
      <c r="AB18" s="153">
        <f>SUM(T18:AA18)</f>
        <v>16900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16900.32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N1" workbookViewId="0">
      <selection activeCell="T22" sqref="T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</f>
        <v>2600.04</v>
      </c>
      <c r="I9" s="74"/>
      <c r="J9" s="75"/>
      <c r="K9" s="75"/>
      <c r="L9" s="76"/>
      <c r="M9" s="53">
        <f>I9+H9+G9-L9-0.04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2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8</v>
      </c>
      <c r="F10" s="62"/>
      <c r="G10" s="82">
        <v>0</v>
      </c>
      <c r="H10" s="64">
        <f>D10*E10+D10*F10</f>
        <v>2240</v>
      </c>
      <c r="I10" s="83"/>
      <c r="J10" s="84"/>
      <c r="K10" s="84"/>
      <c r="L10" s="85">
        <v>0</v>
      </c>
      <c r="M10" s="53">
        <f t="shared" ref="M10:M16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3</v>
      </c>
      <c r="U10">
        <v>1</v>
      </c>
      <c r="V10">
        <v>0</v>
      </c>
      <c r="W10">
        <v>6</v>
      </c>
      <c r="X10">
        <v>12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4</v>
      </c>
      <c r="F13" s="62"/>
      <c r="G13" s="63"/>
      <c r="H13" s="64">
        <f>D13*E13+0.32</f>
        <v>1467</v>
      </c>
      <c r="I13" s="208"/>
      <c r="J13" s="208"/>
      <c r="K13" s="208"/>
      <c r="L13" s="209">
        <v>0</v>
      </c>
      <c r="M13" s="53">
        <f t="shared" si="2"/>
        <v>1467</v>
      </c>
      <c r="N13" s="193">
        <v>0</v>
      </c>
      <c r="O13" s="194">
        <v>0</v>
      </c>
      <c r="P13" s="105">
        <f>M13-O13</f>
        <v>1467</v>
      </c>
      <c r="Q13" s="124" t="s">
        <v>19</v>
      </c>
      <c r="R13" s="116"/>
      <c r="S13" s="108"/>
      <c r="T13" s="196">
        <v>1</v>
      </c>
      <c r="U13" s="197">
        <v>4</v>
      </c>
      <c r="V13" s="197">
        <v>1</v>
      </c>
      <c r="W13" s="197">
        <v>0</v>
      </c>
      <c r="X13" s="197">
        <v>3</v>
      </c>
      <c r="Y13" s="197">
        <v>0</v>
      </c>
      <c r="Z13" s="197">
        <v>1</v>
      </c>
      <c r="AA13" s="197">
        <v>2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193">
        <v>0</v>
      </c>
      <c r="O14" s="194">
        <v>0</v>
      </c>
      <c r="P14" s="105">
        <f>M14-O14</f>
        <v>3750</v>
      </c>
      <c r="Q14" s="124" t="s">
        <v>19</v>
      </c>
      <c r="R14" s="116"/>
      <c r="S14" s="108"/>
      <c r="T14" s="196">
        <v>6</v>
      </c>
      <c r="U14" s="197">
        <v>3</v>
      </c>
      <c r="V14" s="197">
        <v>1</v>
      </c>
      <c r="W14" s="197">
        <v>1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/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21</v>
      </c>
      <c r="U16" s="220">
        <f t="shared" si="3"/>
        <v>21</v>
      </c>
      <c r="V16" s="220">
        <f t="shared" si="3"/>
        <v>5</v>
      </c>
      <c r="W16" s="220">
        <f t="shared" si="3"/>
        <v>9</v>
      </c>
      <c r="X16" s="220">
        <f t="shared" si="3"/>
        <v>16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15107.04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15977.32</v>
      </c>
      <c r="N17" s="144">
        <f>SUM(N8:N16)</f>
        <v>0</v>
      </c>
      <c r="O17" s="145">
        <f>SUM(O8:O16)</f>
        <v>0</v>
      </c>
      <c r="P17" s="146">
        <f>SUM(P7:P16)</f>
        <v>15977.32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10500</v>
      </c>
      <c r="U18" s="151">
        <f t="shared" si="4"/>
        <v>4200</v>
      </c>
      <c r="V18" s="151">
        <f t="shared" si="4"/>
        <v>500</v>
      </c>
      <c r="W18" s="152">
        <f t="shared" si="4"/>
        <v>450</v>
      </c>
      <c r="X18" s="151">
        <f t="shared" si="4"/>
        <v>320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15977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15977.32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O1" workbookViewId="0">
      <selection activeCell="S22" sqref="S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</f>
        <v>3900.06</v>
      </c>
      <c r="I9" s="74"/>
      <c r="J9" s="75"/>
      <c r="K9" s="75"/>
      <c r="L9" s="76"/>
      <c r="M9" s="53">
        <f>I9+H9+G9-L9-0.06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11</v>
      </c>
      <c r="F10" s="62"/>
      <c r="G10" s="82">
        <v>0</v>
      </c>
      <c r="H10" s="64">
        <f>D10*E10+D10*F10</f>
        <v>3080</v>
      </c>
      <c r="I10" s="83"/>
      <c r="J10" s="84"/>
      <c r="K10" s="84"/>
      <c r="L10" s="85">
        <v>0</v>
      </c>
      <c r="M10" s="53">
        <f t="shared" ref="M10:M16" si="2">I10+H10+G10-L10</f>
        <v>3080</v>
      </c>
      <c r="N10" s="86">
        <v>0</v>
      </c>
      <c r="O10" s="87">
        <v>0</v>
      </c>
      <c r="P10" s="88">
        <f t="shared" si="1"/>
        <v>3080</v>
      </c>
      <c r="Q10" s="89" t="s">
        <v>19</v>
      </c>
      <c r="R10" s="90"/>
      <c r="S10" s="90"/>
      <c r="T10">
        <v>6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4</v>
      </c>
      <c r="U14" s="197">
        <v>2</v>
      </c>
      <c r="V14" s="197">
        <v>0</v>
      </c>
      <c r="W14" s="197">
        <v>0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3</v>
      </c>
      <c r="V15" s="197">
        <v>1</v>
      </c>
      <c r="W15" s="197">
        <v>0</v>
      </c>
      <c r="X15" s="197">
        <v>5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25</v>
      </c>
      <c r="U16" s="220">
        <f t="shared" si="3"/>
        <v>21</v>
      </c>
      <c r="V16" s="220">
        <f t="shared" si="3"/>
        <v>6</v>
      </c>
      <c r="W16" s="220">
        <f t="shared" si="3"/>
        <v>1</v>
      </c>
      <c r="X16" s="220">
        <f t="shared" si="3"/>
        <v>12</v>
      </c>
      <c r="Y16" s="220">
        <f t="shared" si="3"/>
        <v>1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17980.080000000002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17600.32</v>
      </c>
      <c r="N17" s="144">
        <f>SUM(N8:N16)</f>
        <v>0</v>
      </c>
      <c r="O17" s="145">
        <f>SUM(O8:O16)</f>
        <v>0</v>
      </c>
      <c r="P17" s="146">
        <f>SUM(P7:P16)</f>
        <v>17600.32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12500</v>
      </c>
      <c r="U18" s="151">
        <f t="shared" si="4"/>
        <v>4200</v>
      </c>
      <c r="V18" s="151">
        <f t="shared" si="4"/>
        <v>600</v>
      </c>
      <c r="W18" s="152">
        <f t="shared" si="4"/>
        <v>50</v>
      </c>
      <c r="X18" s="151">
        <f t="shared" si="4"/>
        <v>240</v>
      </c>
      <c r="Y18" s="151">
        <f t="shared" si="4"/>
        <v>10</v>
      </c>
      <c r="Z18" s="151">
        <f t="shared" si="4"/>
        <v>0</v>
      </c>
      <c r="AA18" s="151">
        <f t="shared" si="4"/>
        <v>0</v>
      </c>
      <c r="AB18" s="153">
        <f>SUM(T18:AA18)</f>
        <v>17600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17600.32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P1" workbookViewId="0">
      <selection activeCell="T22" sqref="T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/>
      <c r="G9" s="73">
        <v>0</v>
      </c>
      <c r="H9" s="64">
        <f>D9*E9+D9*F9</f>
        <v>2600.04</v>
      </c>
      <c r="I9" s="74"/>
      <c r="J9" s="75"/>
      <c r="K9" s="75"/>
      <c r="L9" s="76"/>
      <c r="M9" s="53">
        <f>I9+H9+G9-L9-0.04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6.45</v>
      </c>
      <c r="F10" s="62"/>
      <c r="G10" s="82">
        <v>0</v>
      </c>
      <c r="H10" s="64">
        <f>D10*E10+D10*F10</f>
        <v>1806</v>
      </c>
      <c r="I10" s="83"/>
      <c r="J10" s="84"/>
      <c r="K10" s="84"/>
      <c r="L10" s="85">
        <v>0</v>
      </c>
      <c r="M10" s="53">
        <f t="shared" ref="M10:M16" si="2">I10+H10+G10-L10</f>
        <v>1806</v>
      </c>
      <c r="N10" s="86">
        <v>0</v>
      </c>
      <c r="O10" s="87">
        <v>0</v>
      </c>
      <c r="P10" s="88">
        <f t="shared" si="1"/>
        <v>1806</v>
      </c>
      <c r="Q10" s="89" t="s">
        <v>19</v>
      </c>
      <c r="R10" s="90"/>
      <c r="S10" s="90"/>
      <c r="T10">
        <v>3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193">
        <v>0</v>
      </c>
      <c r="O14" s="194">
        <v>0</v>
      </c>
      <c r="P14" s="105">
        <f>M14-O14</f>
        <v>3750</v>
      </c>
      <c r="Q14" s="124" t="s">
        <v>19</v>
      </c>
      <c r="R14" s="116"/>
      <c r="S14" s="108"/>
      <c r="T14" s="196">
        <v>6</v>
      </c>
      <c r="U14" s="197">
        <v>3</v>
      </c>
      <c r="V14" s="197">
        <v>1</v>
      </c>
      <c r="W14" s="197">
        <v>1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23</v>
      </c>
      <c r="V16" s="220">
        <f t="shared" si="3"/>
        <v>6</v>
      </c>
      <c r="W16" s="220">
        <f t="shared" si="3"/>
        <v>1</v>
      </c>
      <c r="X16" s="220">
        <f t="shared" si="3"/>
        <v>1</v>
      </c>
      <c r="Y16" s="220">
        <f t="shared" si="3"/>
        <v>0</v>
      </c>
      <c r="Z16" s="220">
        <f t="shared" si="3"/>
        <v>1</v>
      </c>
      <c r="AA16" s="220">
        <f t="shared" si="3"/>
        <v>1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15406.060000000001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16276.32</v>
      </c>
      <c r="N17" s="144">
        <f>SUM(N8:N16)</f>
        <v>0</v>
      </c>
      <c r="O17" s="145">
        <f>SUM(O8:O16)</f>
        <v>0</v>
      </c>
      <c r="P17" s="146">
        <f>SUM(P7:P16)</f>
        <v>16276.32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4600</v>
      </c>
      <c r="V18" s="151">
        <f t="shared" si="4"/>
        <v>600</v>
      </c>
      <c r="W18" s="152">
        <f t="shared" si="4"/>
        <v>50</v>
      </c>
      <c r="X18" s="151">
        <f t="shared" si="4"/>
        <v>20</v>
      </c>
      <c r="Y18" s="151">
        <f t="shared" si="4"/>
        <v>0</v>
      </c>
      <c r="Z18" s="151">
        <f t="shared" si="4"/>
        <v>5</v>
      </c>
      <c r="AA18" s="151">
        <f t="shared" si="4"/>
        <v>1</v>
      </c>
      <c r="AB18" s="153">
        <f>SUM(T18:AA18)</f>
        <v>16276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16276.32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N1" workbookViewId="0">
      <selection activeCell="Q24" sqref="Q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108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</f>
        <v>3466.72</v>
      </c>
      <c r="I9" s="74"/>
      <c r="J9" s="75"/>
      <c r="K9" s="75"/>
      <c r="L9" s="76"/>
      <c r="M9" s="53">
        <f>I9+H9+G9-L9+0.28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9</v>
      </c>
      <c r="F10" s="62"/>
      <c r="G10" s="82">
        <v>0</v>
      </c>
      <c r="H10" s="64">
        <f>D10*E10+D10*F10</f>
        <v>2520</v>
      </c>
      <c r="I10" s="83"/>
      <c r="J10" s="84"/>
      <c r="K10" s="84"/>
      <c r="L10" s="85">
        <v>0</v>
      </c>
      <c r="M10" s="53">
        <f t="shared" ref="M10:M16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62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2</v>
      </c>
      <c r="U13" s="197">
        <v>5</v>
      </c>
      <c r="V13" s="197">
        <v>2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4</v>
      </c>
      <c r="U14" s="197">
        <v>2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24</v>
      </c>
      <c r="U16" s="220">
        <f t="shared" si="3"/>
        <v>20</v>
      </c>
      <c r="V16" s="220">
        <f t="shared" si="3"/>
        <v>5</v>
      </c>
      <c r="W16" s="220">
        <f t="shared" si="3"/>
        <v>0</v>
      </c>
      <c r="X16" s="220">
        <f t="shared" si="3"/>
        <v>5</v>
      </c>
      <c r="Y16" s="220">
        <f t="shared" si="3"/>
        <v>0</v>
      </c>
      <c r="Z16" s="220">
        <f t="shared" si="3"/>
        <v>1</v>
      </c>
      <c r="AA16" s="220">
        <f t="shared" si="3"/>
        <v>2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16986.739999999998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16607.32</v>
      </c>
      <c r="N17" s="144">
        <f>SUM(N8:N16)</f>
        <v>0</v>
      </c>
      <c r="O17" s="145">
        <f>SUM(O8:O16)</f>
        <v>0</v>
      </c>
      <c r="P17" s="146">
        <f>SUM(P7:P16)</f>
        <v>16607.32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12000</v>
      </c>
      <c r="U18" s="151">
        <f t="shared" si="4"/>
        <v>4000</v>
      </c>
      <c r="V18" s="151">
        <f t="shared" si="4"/>
        <v>500</v>
      </c>
      <c r="W18" s="152">
        <f t="shared" si="4"/>
        <v>0</v>
      </c>
      <c r="X18" s="151">
        <f t="shared" si="4"/>
        <v>100</v>
      </c>
      <c r="Y18" s="151">
        <f t="shared" si="4"/>
        <v>0</v>
      </c>
      <c r="Z18" s="151">
        <f t="shared" si="4"/>
        <v>5</v>
      </c>
      <c r="AA18" s="151">
        <f t="shared" si="4"/>
        <v>2</v>
      </c>
      <c r="AB18" s="153">
        <f>SUM(T18:AA18)</f>
        <v>16607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16607.32</v>
      </c>
      <c r="Q20" s="283"/>
      <c r="W20" s="10"/>
      <c r="X20" s="163"/>
    </row>
    <row r="21" spans="2:28" ht="23.25" x14ac:dyDescent="0.35">
      <c r="B21" s="243"/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x14ac:dyDescent="0.25"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170"/>
      <c r="D23" s="1"/>
      <c r="E23" s="171"/>
      <c r="F23" s="6"/>
      <c r="G23" s="6"/>
      <c r="I23" s="172"/>
      <c r="J23" s="172"/>
      <c r="K23" s="172"/>
      <c r="L23" s="173"/>
    </row>
    <row r="24" spans="2:28" ht="21" x14ac:dyDescent="0.35">
      <c r="C24" s="174"/>
      <c r="D24" s="175"/>
    </row>
    <row r="25" spans="2:28" ht="18.75" x14ac:dyDescent="0.3">
      <c r="B25" s="176"/>
      <c r="D25" s="1"/>
    </row>
    <row r="26" spans="2:28" ht="18.75" x14ac:dyDescent="0.3">
      <c r="B26" s="8"/>
    </row>
    <row r="27" spans="2:28" ht="18.75" x14ac:dyDescent="0.3">
      <c r="B27" s="8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A17" workbookViewId="0">
      <selection activeCell="B21" sqref="B21:F3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109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8">
        <v>5</v>
      </c>
      <c r="F9" s="72"/>
      <c r="G9" s="73">
        <v>0</v>
      </c>
      <c r="H9" s="64">
        <f>D9*E9+D9*F9</f>
        <v>2166.6999999999998</v>
      </c>
      <c r="I9" s="74"/>
      <c r="J9" s="75"/>
      <c r="K9" s="75"/>
      <c r="L9" s="76"/>
      <c r="M9" s="53">
        <f>I9+H9+G9-L9+0.3</f>
        <v>2167</v>
      </c>
      <c r="N9" s="77" t="s">
        <v>26</v>
      </c>
      <c r="O9" s="55">
        <v>0</v>
      </c>
      <c r="P9" s="66">
        <f t="shared" si="1"/>
        <v>2167</v>
      </c>
      <c r="Q9" s="78" t="s">
        <v>19</v>
      </c>
      <c r="R9" s="79"/>
      <c r="S9" s="80"/>
      <c r="T9">
        <v>4</v>
      </c>
      <c r="U9">
        <v>0</v>
      </c>
      <c r="V9">
        <v>0</v>
      </c>
      <c r="W9">
        <v>1</v>
      </c>
      <c r="X9">
        <v>5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9</v>
      </c>
      <c r="F10" s="62"/>
      <c r="G10" s="82">
        <v>0</v>
      </c>
      <c r="H10" s="64">
        <f>D10*E10+D10*F10</f>
        <v>2520</v>
      </c>
      <c r="I10" s="83"/>
      <c r="J10" s="84"/>
      <c r="K10" s="84"/>
      <c r="L10" s="85">
        <v>0</v>
      </c>
      <c r="M10" s="53">
        <f t="shared" ref="M10:M16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25">
        <v>5</v>
      </c>
      <c r="F13" s="62"/>
      <c r="G13" s="63"/>
      <c r="H13" s="64">
        <f>D13*E13</f>
        <v>1833.3500000000001</v>
      </c>
      <c r="I13" s="208"/>
      <c r="J13" s="208"/>
      <c r="K13" s="208"/>
      <c r="L13" s="209">
        <v>0</v>
      </c>
      <c r="M13" s="53">
        <f>I13+H13+G13-L13-0.35</f>
        <v>1833.0000000000002</v>
      </c>
      <c r="N13" s="193">
        <v>0</v>
      </c>
      <c r="O13" s="194">
        <v>0</v>
      </c>
      <c r="P13" s="105">
        <f>M13-O13</f>
        <v>1833.0000000000002</v>
      </c>
      <c r="Q13" s="124" t="s">
        <v>19</v>
      </c>
      <c r="R13" s="116"/>
      <c r="S13" s="108"/>
      <c r="T13" s="196">
        <v>2</v>
      </c>
      <c r="U13" s="197">
        <v>4</v>
      </c>
      <c r="V13" s="197">
        <v>0</v>
      </c>
      <c r="W13" s="197">
        <v>0</v>
      </c>
      <c r="X13" s="197">
        <v>1</v>
      </c>
      <c r="Y13" s="197">
        <v>1</v>
      </c>
      <c r="Z13" s="197">
        <v>0</v>
      </c>
      <c r="AA13" s="197">
        <v>3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2</v>
      </c>
      <c r="G14" s="63">
        <f>D14*F14</f>
        <v>833.34</v>
      </c>
      <c r="H14" s="64">
        <f>D14*E14-0.02</f>
        <v>2500</v>
      </c>
      <c r="I14" s="111"/>
      <c r="J14" s="111"/>
      <c r="K14" s="111"/>
      <c r="L14" s="112"/>
      <c r="M14" s="53">
        <f>I14+H14+G14-L14-0.34</f>
        <v>3333</v>
      </c>
      <c r="N14" s="193">
        <v>0</v>
      </c>
      <c r="O14" s="194">
        <v>0</v>
      </c>
      <c r="P14" s="105">
        <f>M14-O14</f>
        <v>3333</v>
      </c>
      <c r="Q14" s="124" t="s">
        <v>19</v>
      </c>
      <c r="R14" s="116"/>
      <c r="S14" s="108"/>
      <c r="T14" s="196">
        <v>4</v>
      </c>
      <c r="U14" s="197">
        <v>5</v>
      </c>
      <c r="V14" s="197">
        <v>2</v>
      </c>
      <c r="W14" s="197">
        <v>0</v>
      </c>
      <c r="X14" s="197">
        <v>6</v>
      </c>
      <c r="Y14" s="197">
        <v>1</v>
      </c>
      <c r="Z14" s="197">
        <v>0</v>
      </c>
      <c r="AA14" s="197">
        <v>3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20</v>
      </c>
      <c r="V16" s="220">
        <f t="shared" si="3"/>
        <v>4</v>
      </c>
      <c r="W16" s="220">
        <f t="shared" si="3"/>
        <v>1</v>
      </c>
      <c r="X16" s="220">
        <f t="shared" si="3"/>
        <v>14</v>
      </c>
      <c r="Y16" s="220">
        <f t="shared" si="3"/>
        <v>3</v>
      </c>
      <c r="Z16" s="220">
        <f t="shared" si="3"/>
        <v>1</v>
      </c>
      <c r="AA16" s="220">
        <f t="shared" si="3"/>
        <v>8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15320.050000000001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15773.32</v>
      </c>
      <c r="N17" s="144">
        <f>SUM(N8:N16)</f>
        <v>0</v>
      </c>
      <c r="O17" s="145">
        <f>SUM(O8:O16)</f>
        <v>0</v>
      </c>
      <c r="P17" s="146">
        <f>SUM(P7:P16)</f>
        <v>15773.32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4000</v>
      </c>
      <c r="V18" s="151">
        <f t="shared" si="4"/>
        <v>400</v>
      </c>
      <c r="W18" s="152">
        <f t="shared" si="4"/>
        <v>50</v>
      </c>
      <c r="X18" s="151">
        <f t="shared" si="4"/>
        <v>280</v>
      </c>
      <c r="Y18" s="151">
        <f t="shared" si="4"/>
        <v>30</v>
      </c>
      <c r="Z18" s="151">
        <f t="shared" si="4"/>
        <v>5</v>
      </c>
      <c r="AA18" s="151">
        <f t="shared" si="4"/>
        <v>8</v>
      </c>
      <c r="AB18" s="153">
        <f>SUM(T18:AA18)</f>
        <v>15773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15773.32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8" si="5">B24+C25</f>
        <v>4500</v>
      </c>
      <c r="D25" s="254">
        <v>44548</v>
      </c>
    </row>
    <row r="26" spans="2:28" ht="15.75" x14ac:dyDescent="0.25">
      <c r="B26" s="253">
        <f t="shared" si="5"/>
        <v>4500</v>
      </c>
      <c r="D26" s="254">
        <v>44554</v>
      </c>
    </row>
    <row r="27" spans="2:28" ht="15.75" x14ac:dyDescent="0.25">
      <c r="B27" s="253">
        <f t="shared" si="5"/>
        <v>4500</v>
      </c>
      <c r="D27" s="254">
        <v>44560</v>
      </c>
    </row>
    <row r="28" spans="2:28" ht="15.75" x14ac:dyDescent="0.25">
      <c r="B28" s="253">
        <f t="shared" si="5"/>
        <v>4500</v>
      </c>
      <c r="D28" s="254">
        <v>44204</v>
      </c>
    </row>
    <row r="29" spans="2:28" ht="15.75" x14ac:dyDescent="0.25">
      <c r="B29" s="253">
        <f t="shared" si="5"/>
        <v>4500</v>
      </c>
      <c r="D29" s="254">
        <v>44211</v>
      </c>
    </row>
    <row r="30" spans="2:28" ht="15.75" x14ac:dyDescent="0.25">
      <c r="B30" s="253">
        <f t="shared" si="5"/>
        <v>4500</v>
      </c>
      <c r="D30" s="254">
        <v>44218</v>
      </c>
    </row>
    <row r="31" spans="2:28" ht="15.75" x14ac:dyDescent="0.25">
      <c r="B31" s="253">
        <f t="shared" si="5"/>
        <v>4500</v>
      </c>
      <c r="D31" s="254">
        <v>44225</v>
      </c>
    </row>
    <row r="32" spans="2:28" ht="15.75" x14ac:dyDescent="0.25">
      <c r="B32" s="253">
        <f t="shared" si="5"/>
        <v>4500</v>
      </c>
      <c r="D32" s="254">
        <v>44232</v>
      </c>
    </row>
    <row r="33" spans="2:4" ht="15.75" x14ac:dyDescent="0.25">
      <c r="B33" s="253">
        <f t="shared" si="5"/>
        <v>4500</v>
      </c>
      <c r="D33" s="254">
        <v>44239</v>
      </c>
    </row>
    <row r="34" spans="2:4" x14ac:dyDescent="0.25">
      <c r="B34" s="253"/>
    </row>
    <row r="35" spans="2:4" x14ac:dyDescent="0.25">
      <c r="B35" s="253"/>
    </row>
    <row r="36" spans="2:4" x14ac:dyDescent="0.25">
      <c r="B36" s="253"/>
    </row>
    <row r="37" spans="2:4" x14ac:dyDescent="0.25">
      <c r="B37" s="253"/>
    </row>
    <row r="38" spans="2:4" x14ac:dyDescent="0.25">
      <c r="B38" s="253">
        <f t="shared" si="5"/>
        <v>0</v>
      </c>
    </row>
    <row r="39" spans="2:4" x14ac:dyDescent="0.25">
      <c r="B39" s="251"/>
    </row>
    <row r="40" spans="2:4" x14ac:dyDescent="0.25">
      <c r="B40" s="251"/>
    </row>
    <row r="41" spans="2:4" x14ac:dyDescent="0.25">
      <c r="B41" s="251"/>
    </row>
    <row r="42" spans="2:4" x14ac:dyDescent="0.25">
      <c r="B42" s="251"/>
    </row>
    <row r="43" spans="2:4" x14ac:dyDescent="0.25">
      <c r="B43" s="251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B19" sqref="B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D9*E9+D9*F9-0.06</f>
        <v>3900</v>
      </c>
      <c r="I9" s="74"/>
      <c r="J9" s="75"/>
      <c r="K9" s="75"/>
      <c r="L9" s="76"/>
      <c r="M9" s="53">
        <f>I9+H9+G9-L9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840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4</v>
      </c>
      <c r="U10">
        <v>2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643.86</v>
      </c>
      <c r="E11" s="72">
        <v>5</v>
      </c>
      <c r="F11" s="91">
        <v>1</v>
      </c>
      <c r="G11" s="92">
        <v>0</v>
      </c>
      <c r="H11" s="64">
        <f>D11*7+D11*F11+0.12</f>
        <v>5151</v>
      </c>
      <c r="I11" s="93">
        <v>0</v>
      </c>
      <c r="J11" s="94"/>
      <c r="K11" s="94"/>
      <c r="L11" s="95">
        <v>1500</v>
      </c>
      <c r="M11" s="53">
        <f t="shared" si="2"/>
        <v>3651</v>
      </c>
      <c r="N11" s="96">
        <v>3300</v>
      </c>
      <c r="O11" s="97">
        <v>500</v>
      </c>
      <c r="P11" s="98">
        <f t="shared" si="1"/>
        <v>3151</v>
      </c>
      <c r="Q11" s="99" t="s">
        <v>22</v>
      </c>
      <c r="R11" s="90"/>
      <c r="S11" s="90"/>
      <c r="T11">
        <v>5</v>
      </c>
      <c r="U11">
        <v>2</v>
      </c>
      <c r="V11">
        <v>4</v>
      </c>
      <c r="W11">
        <v>5</v>
      </c>
      <c r="X11">
        <v>5</v>
      </c>
      <c r="Y11">
        <v>0</v>
      </c>
      <c r="Z11">
        <v>0</v>
      </c>
      <c r="AA11">
        <v>1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D12*7+D12*F12-0.03</f>
        <v>2857.0899999999997</v>
      </c>
      <c r="I12" s="101">
        <v>0</v>
      </c>
      <c r="J12" s="102"/>
      <c r="K12" s="102"/>
      <c r="L12" s="103">
        <v>1004</v>
      </c>
      <c r="M12" s="53">
        <f t="shared" si="2"/>
        <v>1853.0899999999997</v>
      </c>
      <c r="N12" s="104">
        <v>0</v>
      </c>
      <c r="O12" s="87">
        <v>0</v>
      </c>
      <c r="P12" s="105">
        <f t="shared" si="1"/>
        <v>1853.0899999999997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218" t="s">
        <v>34</v>
      </c>
      <c r="C13" s="113" t="s">
        <v>35</v>
      </c>
      <c r="D13" s="46">
        <v>416.67</v>
      </c>
      <c r="E13" s="62">
        <v>6</v>
      </c>
      <c r="F13" s="62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/>
      <c r="O13" s="112"/>
      <c r="P13" s="88">
        <f t="shared" si="1"/>
        <v>2500</v>
      </c>
      <c r="Q13" s="115" t="s">
        <v>19</v>
      </c>
      <c r="R13" s="116"/>
      <c r="S13" s="108"/>
      <c r="T13" s="109">
        <v>0</v>
      </c>
      <c r="U13" s="117">
        <v>8</v>
      </c>
      <c r="V13" s="117">
        <v>6</v>
      </c>
      <c r="W13" s="117">
        <v>4</v>
      </c>
      <c r="X13" s="117">
        <v>0</v>
      </c>
      <c r="Y13" s="117">
        <v>10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/>
      <c r="G14" s="48">
        <v>0</v>
      </c>
      <c r="H14" s="64">
        <f>D14*E14+F14*D14-0.02</f>
        <v>2500</v>
      </c>
      <c r="I14" s="121">
        <v>0</v>
      </c>
      <c r="J14" s="122"/>
      <c r="K14" s="122"/>
      <c r="L14" s="52">
        <v>0</v>
      </c>
      <c r="M14" s="53">
        <f t="shared" si="2"/>
        <v>2500</v>
      </c>
      <c r="N14" s="123">
        <v>0</v>
      </c>
      <c r="O14" s="55">
        <v>0</v>
      </c>
      <c r="P14" s="105">
        <f>M14-O14</f>
        <v>2500</v>
      </c>
      <c r="Q14" s="124" t="s">
        <v>19</v>
      </c>
      <c r="R14" s="116"/>
      <c r="S14" s="108"/>
      <c r="T14" s="109">
        <v>4</v>
      </c>
      <c r="U14" s="117">
        <v>2</v>
      </c>
      <c r="V14" s="117">
        <v>1</v>
      </c>
      <c r="W14" s="117">
        <v>0</v>
      </c>
      <c r="X14" s="117">
        <v>0</v>
      </c>
      <c r="Y14" s="117">
        <v>0</v>
      </c>
      <c r="Z14" s="117">
        <v>0</v>
      </c>
      <c r="AA14" s="117">
        <v>0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125">
        <v>44214</v>
      </c>
      <c r="D16" s="126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>SUM(T7:T16)</f>
        <v>31</v>
      </c>
      <c r="U17" s="109">
        <f t="shared" ref="U17:W17" si="3">SUM(U7:U16)</f>
        <v>32</v>
      </c>
      <c r="V17" s="109">
        <f t="shared" si="3"/>
        <v>20</v>
      </c>
      <c r="W17" s="109">
        <f t="shared" si="3"/>
        <v>10</v>
      </c>
      <c r="X17" s="109">
        <f>SUM(X7:X16)</f>
        <v>7</v>
      </c>
      <c r="Y17" s="109">
        <f>SUM(Y7:Y16)</f>
        <v>10</v>
      </c>
      <c r="Z17" s="109">
        <f>SUM(Z7:Z16)</f>
        <v>0</v>
      </c>
      <c r="AA17" s="109">
        <f>SUM(AA7:AA16)</f>
        <v>4</v>
      </c>
    </row>
    <row r="18" spans="2:28" ht="20.25" thickTop="1" thickBot="1" x14ac:dyDescent="0.35">
      <c r="B18" s="215" t="s">
        <v>61</v>
      </c>
      <c r="C18" s="216"/>
      <c r="D18" s="217"/>
      <c r="E18" s="6"/>
      <c r="F18" s="138"/>
      <c r="G18" s="139" t="s">
        <v>38</v>
      </c>
      <c r="H18" s="140">
        <f>SUM(H7:H17)</f>
        <v>26688.09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24644.41</v>
      </c>
      <c r="N18" s="144">
        <f>SUM(N8:N17)</f>
        <v>3300</v>
      </c>
      <c r="O18" s="145">
        <f>SUM(O8:O17)</f>
        <v>500</v>
      </c>
      <c r="P18" s="146">
        <f>SUM(P7:P17)</f>
        <v>24144.41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15500</v>
      </c>
      <c r="U19" s="151">
        <f t="shared" si="4"/>
        <v>6400</v>
      </c>
      <c r="V19" s="151">
        <f t="shared" si="4"/>
        <v>2000</v>
      </c>
      <c r="W19" s="152">
        <f t="shared" si="4"/>
        <v>500</v>
      </c>
      <c r="X19" s="151">
        <f t="shared" si="4"/>
        <v>140</v>
      </c>
      <c r="Y19" s="151">
        <f t="shared" si="4"/>
        <v>100</v>
      </c>
      <c r="Z19" s="151">
        <f t="shared" si="4"/>
        <v>0</v>
      </c>
      <c r="AA19" s="151">
        <f t="shared" si="4"/>
        <v>4</v>
      </c>
      <c r="AB19" s="153">
        <f>SUM(T19:AA19)</f>
        <v>24644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24644.41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110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9">
        <v>6</v>
      </c>
      <c r="F9" s="72">
        <v>1</v>
      </c>
      <c r="G9" s="73">
        <v>0</v>
      </c>
      <c r="H9" s="64">
        <f>D9*E9+D9*F9</f>
        <v>3033.38</v>
      </c>
      <c r="I9" s="74"/>
      <c r="J9" s="75"/>
      <c r="K9" s="75"/>
      <c r="L9" s="76"/>
      <c r="M9" s="53">
        <f>I9+H9+G9-L9-0.38</f>
        <v>3033</v>
      </c>
      <c r="N9" s="77" t="s">
        <v>26</v>
      </c>
      <c r="O9" s="55">
        <v>0</v>
      </c>
      <c r="P9" s="66">
        <f t="shared" si="1"/>
        <v>3033</v>
      </c>
      <c r="Q9" s="78" t="s">
        <v>19</v>
      </c>
      <c r="R9" s="79"/>
      <c r="S9" s="80"/>
      <c r="T9">
        <v>5</v>
      </c>
      <c r="U9">
        <v>2</v>
      </c>
      <c r="V9">
        <v>1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9</v>
      </c>
      <c r="F10" s="62"/>
      <c r="G10" s="82">
        <v>0</v>
      </c>
      <c r="H10" s="64">
        <f>D10*E10+D10*F10</f>
        <v>2520</v>
      </c>
      <c r="I10" s="83"/>
      <c r="J10" s="84"/>
      <c r="K10" s="84"/>
      <c r="L10" s="85">
        <v>0</v>
      </c>
      <c r="M10" s="53">
        <f t="shared" ref="M10:M16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14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3</v>
      </c>
      <c r="U13" s="197">
        <v>2</v>
      </c>
      <c r="V13" s="197">
        <v>2</v>
      </c>
      <c r="W13" s="197">
        <v>0</v>
      </c>
      <c r="X13" s="197">
        <v>5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D14*E14-0.02</f>
        <v>2500</v>
      </c>
      <c r="I14" s="111"/>
      <c r="J14" s="111"/>
      <c r="K14" s="111"/>
      <c r="L14" s="112"/>
      <c r="M14" s="53">
        <f>I14+H14+G14-L14-0.01</f>
        <v>3750</v>
      </c>
      <c r="N14" s="193">
        <v>0</v>
      </c>
      <c r="O14" s="194">
        <v>0</v>
      </c>
      <c r="P14" s="105">
        <f>M14-O14</f>
        <v>3750</v>
      </c>
      <c r="Q14" s="124" t="s">
        <v>19</v>
      </c>
      <c r="R14" s="116"/>
      <c r="S14" s="108"/>
      <c r="T14" s="196">
        <v>6</v>
      </c>
      <c r="U14" s="197">
        <v>3</v>
      </c>
      <c r="V14" s="197">
        <v>0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26</v>
      </c>
      <c r="U16" s="220">
        <f t="shared" si="3"/>
        <v>18</v>
      </c>
      <c r="V16" s="220">
        <f t="shared" si="3"/>
        <v>5</v>
      </c>
      <c r="W16" s="220">
        <f t="shared" si="3"/>
        <v>1</v>
      </c>
      <c r="X16" s="220">
        <f t="shared" si="3"/>
        <v>13</v>
      </c>
      <c r="Y16" s="220">
        <f t="shared" si="3"/>
        <v>1</v>
      </c>
      <c r="Z16" s="220">
        <f t="shared" si="3"/>
        <v>0</v>
      </c>
      <c r="AA16" s="220">
        <f t="shared" si="3"/>
        <v>3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16553.400000000001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17423.32</v>
      </c>
      <c r="N17" s="144">
        <f>SUM(N8:N16)</f>
        <v>0</v>
      </c>
      <c r="O17" s="145">
        <f>SUM(O8:O16)</f>
        <v>0</v>
      </c>
      <c r="P17" s="146">
        <f>SUM(P7:P16)</f>
        <v>17423.32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13000</v>
      </c>
      <c r="U18" s="151">
        <f t="shared" si="4"/>
        <v>3600</v>
      </c>
      <c r="V18" s="151">
        <f t="shared" si="4"/>
        <v>500</v>
      </c>
      <c r="W18" s="152">
        <f t="shared" si="4"/>
        <v>50</v>
      </c>
      <c r="X18" s="151">
        <f t="shared" si="4"/>
        <v>260</v>
      </c>
      <c r="Y18" s="151">
        <f t="shared" si="4"/>
        <v>10</v>
      </c>
      <c r="Z18" s="151">
        <f t="shared" si="4"/>
        <v>0</v>
      </c>
      <c r="AA18" s="151">
        <f t="shared" si="4"/>
        <v>3</v>
      </c>
      <c r="AB18" s="153">
        <f>SUM(T18:AA18)</f>
        <v>17423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17423.32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3" si="5">B24+C25</f>
        <v>4500</v>
      </c>
      <c r="D25" s="254">
        <v>44548</v>
      </c>
    </row>
    <row r="26" spans="2:28" ht="15.75" x14ac:dyDescent="0.25">
      <c r="B26" s="253">
        <f t="shared" si="5"/>
        <v>4500</v>
      </c>
      <c r="D26" s="254">
        <v>44554</v>
      </c>
    </row>
    <row r="27" spans="2:28" ht="15.75" x14ac:dyDescent="0.25">
      <c r="B27" s="253">
        <f t="shared" si="5"/>
        <v>4500</v>
      </c>
      <c r="D27" s="254">
        <v>44560</v>
      </c>
    </row>
    <row r="28" spans="2:28" ht="15.75" x14ac:dyDescent="0.25">
      <c r="B28" s="253">
        <f t="shared" si="5"/>
        <v>4500</v>
      </c>
      <c r="D28" s="254">
        <v>44204</v>
      </c>
    </row>
    <row r="29" spans="2:28" ht="15.75" x14ac:dyDescent="0.25">
      <c r="B29" s="253">
        <f t="shared" si="5"/>
        <v>4500</v>
      </c>
      <c r="D29" s="254">
        <v>44211</v>
      </c>
    </row>
    <row r="30" spans="2:28" ht="15.75" x14ac:dyDescent="0.25">
      <c r="B30" s="253">
        <f t="shared" si="5"/>
        <v>4500</v>
      </c>
      <c r="D30" s="254">
        <v>44218</v>
      </c>
    </row>
    <row r="31" spans="2:28" ht="15.75" x14ac:dyDescent="0.25">
      <c r="B31" s="253">
        <f t="shared" si="5"/>
        <v>4500</v>
      </c>
      <c r="D31" s="254">
        <v>44225</v>
      </c>
    </row>
    <row r="32" spans="2:28" ht="15.75" x14ac:dyDescent="0.25">
      <c r="B32" s="253">
        <f t="shared" si="5"/>
        <v>4500</v>
      </c>
      <c r="D32" s="254">
        <v>44232</v>
      </c>
    </row>
    <row r="33" spans="2:4" ht="15.75" x14ac:dyDescent="0.25">
      <c r="B33" s="253">
        <f t="shared" si="5"/>
        <v>4500</v>
      </c>
      <c r="D33" s="254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K19" sqref="K1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120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9">
        <v>6</v>
      </c>
      <c r="F9" s="72">
        <v>3</v>
      </c>
      <c r="G9" s="73">
        <f>D9*F9</f>
        <v>1300.02</v>
      </c>
      <c r="H9" s="64">
        <f>D9*E9+G9</f>
        <v>3900.06</v>
      </c>
      <c r="I9" s="74"/>
      <c r="J9" s="75"/>
      <c r="K9" s="75"/>
      <c r="L9" s="76"/>
      <c r="M9" s="53">
        <f>I9+H9-0.06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11</v>
      </c>
      <c r="F10" s="62"/>
      <c r="G10" s="82">
        <v>0</v>
      </c>
      <c r="H10" s="64">
        <f>D10*E10+D10*F10</f>
        <v>3080</v>
      </c>
      <c r="I10" s="83"/>
      <c r="J10" s="84"/>
      <c r="K10" s="84"/>
      <c r="L10" s="85">
        <v>0</v>
      </c>
      <c r="M10" s="53">
        <f t="shared" ref="M10:M16" si="2">I10+H10+G10-L10</f>
        <v>3080</v>
      </c>
      <c r="N10" s="86">
        <v>0</v>
      </c>
      <c r="O10" s="87">
        <v>0</v>
      </c>
      <c r="P10" s="88">
        <f t="shared" si="1"/>
        <v>3080</v>
      </c>
      <c r="Q10" s="89" t="s">
        <v>19</v>
      </c>
      <c r="R10" s="90"/>
      <c r="S10" s="90"/>
      <c r="T10">
        <v>6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14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3</v>
      </c>
      <c r="U13" s="197">
        <v>2</v>
      </c>
      <c r="V13" s="197">
        <v>2</v>
      </c>
      <c r="W13" s="197">
        <v>0</v>
      </c>
      <c r="X13" s="197">
        <v>5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4</v>
      </c>
      <c r="U14" s="197">
        <v>2</v>
      </c>
      <c r="V14" s="197">
        <v>0</v>
      </c>
      <c r="W14" s="197">
        <v>0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4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26</v>
      </c>
      <c r="U16" s="220">
        <f t="shared" si="3"/>
        <v>19</v>
      </c>
      <c r="V16" s="220">
        <f t="shared" si="3"/>
        <v>5</v>
      </c>
      <c r="W16" s="220">
        <f t="shared" si="3"/>
        <v>1</v>
      </c>
      <c r="X16" s="220">
        <f t="shared" si="3"/>
        <v>12</v>
      </c>
      <c r="Y16" s="220">
        <f t="shared" si="3"/>
        <v>1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17980.080000000002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17600.32</v>
      </c>
      <c r="N17" s="144">
        <f>SUM(N8:N16)</f>
        <v>0</v>
      </c>
      <c r="O17" s="145">
        <f>SUM(O8:O16)</f>
        <v>0</v>
      </c>
      <c r="P17" s="146">
        <f>SUM(P7:P16)</f>
        <v>17600.32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13000</v>
      </c>
      <c r="U18" s="151">
        <f t="shared" si="4"/>
        <v>3800</v>
      </c>
      <c r="V18" s="151">
        <f t="shared" si="4"/>
        <v>500</v>
      </c>
      <c r="W18" s="152">
        <f t="shared" si="4"/>
        <v>50</v>
      </c>
      <c r="X18" s="151">
        <f t="shared" si="4"/>
        <v>240</v>
      </c>
      <c r="Y18" s="151">
        <f t="shared" si="4"/>
        <v>10</v>
      </c>
      <c r="Z18" s="151">
        <f t="shared" si="4"/>
        <v>0</v>
      </c>
      <c r="AA18" s="151">
        <f t="shared" si="4"/>
        <v>0</v>
      </c>
      <c r="AB18" s="153">
        <f>SUM(T18:AA18)</f>
        <v>17600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17600.32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3" si="5">B24+C25</f>
        <v>4500</v>
      </c>
      <c r="D25" s="254">
        <v>44548</v>
      </c>
    </row>
    <row r="26" spans="2:28" ht="15.75" x14ac:dyDescent="0.25">
      <c r="B26" s="253">
        <f t="shared" si="5"/>
        <v>4500</v>
      </c>
      <c r="D26" s="254">
        <v>44554</v>
      </c>
    </row>
    <row r="27" spans="2:28" ht="15.75" x14ac:dyDescent="0.25">
      <c r="B27" s="253">
        <f t="shared" si="5"/>
        <v>4500</v>
      </c>
      <c r="D27" s="254">
        <v>44560</v>
      </c>
    </row>
    <row r="28" spans="2:28" ht="15.75" x14ac:dyDescent="0.25">
      <c r="B28" s="253">
        <f t="shared" si="5"/>
        <v>4500</v>
      </c>
      <c r="D28" s="254">
        <v>44204</v>
      </c>
    </row>
    <row r="29" spans="2:28" ht="15.75" x14ac:dyDescent="0.25">
      <c r="B29" s="253">
        <f t="shared" si="5"/>
        <v>4500</v>
      </c>
      <c r="D29" s="254">
        <v>44211</v>
      </c>
    </row>
    <row r="30" spans="2:28" ht="15.75" x14ac:dyDescent="0.25">
      <c r="B30" s="253">
        <f t="shared" si="5"/>
        <v>4500</v>
      </c>
      <c r="D30" s="254">
        <v>44218</v>
      </c>
    </row>
    <row r="31" spans="2:28" ht="15.75" x14ac:dyDescent="0.25">
      <c r="B31" s="253">
        <f t="shared" si="5"/>
        <v>4500</v>
      </c>
      <c r="D31" s="254">
        <v>44225</v>
      </c>
    </row>
    <row r="32" spans="2:28" ht="15.75" x14ac:dyDescent="0.25">
      <c r="B32" s="253">
        <f t="shared" si="5"/>
        <v>4500</v>
      </c>
      <c r="D32" s="254">
        <v>44232</v>
      </c>
    </row>
    <row r="33" spans="2:4" ht="15.75" x14ac:dyDescent="0.25">
      <c r="B33" s="253">
        <f t="shared" si="5"/>
        <v>4500</v>
      </c>
      <c r="D33" s="254">
        <v>44239</v>
      </c>
    </row>
  </sheetData>
  <mergeCells count="3">
    <mergeCell ref="B1:O2"/>
    <mergeCell ref="N20:O20"/>
    <mergeCell ref="P20:Q20"/>
  </mergeCells>
  <pageMargins left="0.23622047244094491" right="0.23622047244094491" top="0.35433070866141736" bottom="0.74803149606299213" header="0.31496062992125984" footer="0.31496062992125984"/>
  <pageSetup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4" workbookViewId="0">
      <selection activeCell="P25" sqref="P24:P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121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4</v>
      </c>
      <c r="F7" s="35"/>
      <c r="G7" s="36">
        <v>0</v>
      </c>
      <c r="H7" s="37">
        <f>D7*E7+F7*D7+0.32</f>
        <v>1467</v>
      </c>
      <c r="I7" s="38"/>
      <c r="J7" s="38"/>
      <c r="K7" s="38"/>
      <c r="L7" s="39"/>
      <c r="M7" s="219">
        <f t="shared" ref="M7" si="0">I7+H7+G7-L7</f>
        <v>1467</v>
      </c>
      <c r="N7" s="41">
        <v>0</v>
      </c>
      <c r="O7" s="39">
        <v>0</v>
      </c>
      <c r="P7" s="42">
        <f t="shared" ref="P7:P16" si="1">M7-O7</f>
        <v>1467</v>
      </c>
      <c r="Q7" s="43" t="s">
        <v>19</v>
      </c>
      <c r="T7">
        <v>2</v>
      </c>
      <c r="U7">
        <v>2</v>
      </c>
      <c r="V7">
        <v>0</v>
      </c>
      <c r="W7">
        <v>1</v>
      </c>
      <c r="X7">
        <v>0</v>
      </c>
      <c r="Y7">
        <v>1</v>
      </c>
      <c r="Z7">
        <v>1</v>
      </c>
      <c r="AA7">
        <v>2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9">
        <v>6</v>
      </c>
      <c r="F9" s="72">
        <v>2</v>
      </c>
      <c r="G9" s="73">
        <f>D9*F9</f>
        <v>866.68</v>
      </c>
      <c r="H9" s="64">
        <f>D9*E9+G9</f>
        <v>3466.72</v>
      </c>
      <c r="I9" s="74"/>
      <c r="J9" s="75"/>
      <c r="K9" s="75"/>
      <c r="L9" s="76"/>
      <c r="M9" s="53">
        <f>I9+H9+0.28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6</v>
      </c>
      <c r="U9">
        <v>2</v>
      </c>
      <c r="V9">
        <v>0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2</v>
      </c>
      <c r="F10" s="62"/>
      <c r="G10" s="82">
        <v>0</v>
      </c>
      <c r="H10" s="64">
        <f>D10*E10+D10*F10</f>
        <v>560</v>
      </c>
      <c r="I10" s="83"/>
      <c r="J10" s="84"/>
      <c r="K10" s="84"/>
      <c r="L10" s="85">
        <v>0</v>
      </c>
      <c r="M10" s="53">
        <f t="shared" ref="M10:M16" si="2">I10+H10+G10-L10</f>
        <v>560</v>
      </c>
      <c r="N10" s="86">
        <v>0</v>
      </c>
      <c r="O10" s="87">
        <v>0</v>
      </c>
      <c r="P10" s="88">
        <f t="shared" si="1"/>
        <v>560</v>
      </c>
      <c r="Q10" s="89" t="s">
        <v>19</v>
      </c>
      <c r="R10" s="90"/>
      <c r="S10" s="90"/>
      <c r="T10">
        <v>0</v>
      </c>
      <c r="U10">
        <v>2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14">
        <v>6</v>
      </c>
      <c r="F13" s="62"/>
      <c r="G13" s="63"/>
      <c r="H13" s="64">
        <f>D13*E13</f>
        <v>2200.02</v>
      </c>
      <c r="I13" s="208"/>
      <c r="J13" s="208"/>
      <c r="K13" s="208"/>
      <c r="L13" s="209">
        <v>0</v>
      </c>
      <c r="M13" s="53">
        <f>I13+H13+G13-L13-0.02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3</v>
      </c>
      <c r="U13" s="197">
        <v>2</v>
      </c>
      <c r="V13" s="197">
        <v>2</v>
      </c>
      <c r="W13" s="197">
        <v>0</v>
      </c>
      <c r="X13" s="197">
        <v>5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>
        <v>3</v>
      </c>
      <c r="G14" s="63">
        <f>D14*F14</f>
        <v>1250.01</v>
      </c>
      <c r="H14" s="64">
        <f>D14*E14</f>
        <v>2500.02</v>
      </c>
      <c r="I14" s="111"/>
      <c r="J14" s="111"/>
      <c r="K14" s="111"/>
      <c r="L14" s="112"/>
      <c r="M14" s="53">
        <f>I14+H14+G14-L14-0.03</f>
        <v>3749.9999999999995</v>
      </c>
      <c r="N14" s="193">
        <v>0</v>
      </c>
      <c r="O14" s="194">
        <v>0</v>
      </c>
      <c r="P14" s="105">
        <f>M14-O14</f>
        <v>3749.9999999999995</v>
      </c>
      <c r="Q14" s="124" t="s">
        <v>19</v>
      </c>
      <c r="R14" s="116"/>
      <c r="S14" s="108"/>
      <c r="T14" s="196">
        <v>6</v>
      </c>
      <c r="U14" s="197" t="s">
        <v>0</v>
      </c>
      <c r="V14" s="197">
        <v>0</v>
      </c>
      <c r="W14" s="197">
        <v>1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3</v>
      </c>
      <c r="V15" s="197">
        <v>1</v>
      </c>
      <c r="W15" s="197">
        <v>2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22</v>
      </c>
      <c r="U16" s="220">
        <f t="shared" si="3"/>
        <v>13</v>
      </c>
      <c r="V16" s="220">
        <f t="shared" si="3"/>
        <v>4</v>
      </c>
      <c r="W16" s="220">
        <f t="shared" si="3"/>
        <v>6</v>
      </c>
      <c r="X16" s="220">
        <f t="shared" si="3"/>
        <v>11</v>
      </c>
      <c r="Y16" s="220">
        <f t="shared" si="3"/>
        <v>3</v>
      </c>
      <c r="Z16" s="220">
        <f t="shared" si="3"/>
        <v>2</v>
      </c>
      <c r="AA16" s="220">
        <f t="shared" si="3"/>
        <v>4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14293.76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15164.32</v>
      </c>
      <c r="N17" s="144">
        <f>SUM(N8:N16)</f>
        <v>0</v>
      </c>
      <c r="O17" s="145">
        <f>SUM(O8:O16)</f>
        <v>0</v>
      </c>
      <c r="P17" s="146">
        <f>SUM(P7:P16)</f>
        <v>15164.32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11000</v>
      </c>
      <c r="U18" s="151">
        <f t="shared" si="4"/>
        <v>2600</v>
      </c>
      <c r="V18" s="151">
        <f t="shared" si="4"/>
        <v>400</v>
      </c>
      <c r="W18" s="152">
        <f t="shared" si="4"/>
        <v>300</v>
      </c>
      <c r="X18" s="151">
        <f t="shared" si="4"/>
        <v>220</v>
      </c>
      <c r="Y18" s="151">
        <f t="shared" si="4"/>
        <v>30</v>
      </c>
      <c r="Z18" s="151">
        <f t="shared" si="4"/>
        <v>10</v>
      </c>
      <c r="AA18" s="151">
        <f t="shared" si="4"/>
        <v>4</v>
      </c>
      <c r="AB18" s="153">
        <f>SUM(T18:AA18)</f>
        <v>14564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15164.32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3" si="5">B24+C25</f>
        <v>4000</v>
      </c>
      <c r="C25" s="251">
        <v>-500</v>
      </c>
      <c r="D25" s="254">
        <v>44548</v>
      </c>
    </row>
    <row r="26" spans="2:28" ht="15.75" x14ac:dyDescent="0.25">
      <c r="B26" s="253">
        <f t="shared" si="5"/>
        <v>3500</v>
      </c>
      <c r="C26" s="251">
        <v>-500</v>
      </c>
      <c r="D26" s="254">
        <v>44554</v>
      </c>
    </row>
    <row r="27" spans="2:28" ht="15.75" x14ac:dyDescent="0.25">
      <c r="B27" s="253">
        <f t="shared" si="5"/>
        <v>3500</v>
      </c>
      <c r="C27" s="251"/>
      <c r="D27" s="254">
        <v>44560</v>
      </c>
    </row>
    <row r="28" spans="2:28" ht="15.75" x14ac:dyDescent="0.25">
      <c r="B28" s="253">
        <f t="shared" si="5"/>
        <v>3500</v>
      </c>
      <c r="C28" s="251"/>
      <c r="D28" s="254">
        <v>44204</v>
      </c>
    </row>
    <row r="29" spans="2:28" ht="15.75" x14ac:dyDescent="0.25">
      <c r="B29" s="253">
        <f t="shared" si="5"/>
        <v>3500</v>
      </c>
      <c r="C29" s="251"/>
      <c r="D29" s="254">
        <v>44211</v>
      </c>
    </row>
    <row r="30" spans="2:28" ht="15.75" x14ac:dyDescent="0.25">
      <c r="B30" s="253">
        <f t="shared" si="5"/>
        <v>3500</v>
      </c>
      <c r="C30" s="251"/>
      <c r="D30" s="254">
        <v>44218</v>
      </c>
    </row>
    <row r="31" spans="2:28" ht="15.75" x14ac:dyDescent="0.25">
      <c r="B31" s="253">
        <f t="shared" si="5"/>
        <v>3500</v>
      </c>
      <c r="C31" s="251"/>
      <c r="D31" s="254">
        <v>44225</v>
      </c>
    </row>
    <row r="32" spans="2:28" ht="15.75" x14ac:dyDescent="0.25">
      <c r="B32" s="253">
        <f t="shared" si="5"/>
        <v>3500</v>
      </c>
      <c r="C32" s="251"/>
      <c r="D32" s="254">
        <v>44232</v>
      </c>
    </row>
    <row r="33" spans="2:4" ht="15.75" x14ac:dyDescent="0.25">
      <c r="B33" s="253">
        <f t="shared" si="5"/>
        <v>3500</v>
      </c>
      <c r="C33" s="251"/>
      <c r="D33" s="254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4" sqref="B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122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6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249">
        <v>6</v>
      </c>
      <c r="F9" s="72"/>
      <c r="G9" s="73">
        <f>D9*F9</f>
        <v>0</v>
      </c>
      <c r="H9" s="64">
        <f>D9*E9+G9-0.04</f>
        <v>2600</v>
      </c>
      <c r="I9" s="74"/>
      <c r="J9" s="75"/>
      <c r="K9" s="75"/>
      <c r="L9" s="76"/>
      <c r="M9" s="53">
        <f>I9+H9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27</v>
      </c>
      <c r="C10" s="81"/>
      <c r="D10" s="46">
        <v>280</v>
      </c>
      <c r="E10" s="62">
        <v>3</v>
      </c>
      <c r="F10" s="62"/>
      <c r="G10" s="82">
        <v>0</v>
      </c>
      <c r="H10" s="64">
        <f>D10*E10+D10*F10</f>
        <v>840</v>
      </c>
      <c r="I10" s="83"/>
      <c r="J10" s="84"/>
      <c r="K10" s="84"/>
      <c r="L10" s="85">
        <v>0</v>
      </c>
      <c r="M10" s="53">
        <f t="shared" ref="M10:M16" si="2">I10+H10+G10-L10</f>
        <v>840</v>
      </c>
      <c r="N10" s="86">
        <v>0</v>
      </c>
      <c r="O10" s="87">
        <v>0</v>
      </c>
      <c r="P10" s="88">
        <f t="shared" si="1"/>
        <v>840</v>
      </c>
      <c r="Q10" s="89" t="s">
        <v>19</v>
      </c>
      <c r="R10" s="90"/>
      <c r="S10" s="90"/>
      <c r="T10">
        <v>0</v>
      </c>
      <c r="U10">
        <v>4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0</v>
      </c>
      <c r="F11" s="91"/>
      <c r="G11" s="92">
        <v>0</v>
      </c>
      <c r="H11" s="64">
        <f>D11*F11</f>
        <v>0</v>
      </c>
      <c r="I11" s="93">
        <v>0</v>
      </c>
      <c r="J11" s="94"/>
      <c r="K11" s="94"/>
      <c r="L11" s="95">
        <v>0</v>
      </c>
      <c r="M11" s="53">
        <f t="shared" si="2"/>
        <v>0</v>
      </c>
      <c r="N11" s="227">
        <v>0</v>
      </c>
      <c r="O11" s="97">
        <v>0</v>
      </c>
      <c r="P11" s="98">
        <f t="shared" si="1"/>
        <v>0</v>
      </c>
      <c r="Q11" s="99" t="s">
        <v>22</v>
      </c>
      <c r="R11" s="90"/>
      <c r="S11" s="90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0</v>
      </c>
      <c r="F12" s="72"/>
      <c r="G12" s="73">
        <v>0</v>
      </c>
      <c r="H12" s="64">
        <f>D12*0+D12*F12</f>
        <v>0</v>
      </c>
      <c r="I12" s="101">
        <v>0</v>
      </c>
      <c r="J12" s="102"/>
      <c r="K12" s="102"/>
      <c r="L12" s="103">
        <v>0</v>
      </c>
      <c r="M12" s="53">
        <f t="shared" si="2"/>
        <v>0</v>
      </c>
      <c r="N12" s="104">
        <v>0</v>
      </c>
      <c r="O12" s="87">
        <v>0</v>
      </c>
      <c r="P12" s="105">
        <f t="shared" si="1"/>
        <v>0</v>
      </c>
      <c r="Q12" s="106" t="s">
        <v>22</v>
      </c>
      <c r="R12" s="107"/>
      <c r="S12" s="108"/>
      <c r="T12" s="109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55</v>
      </c>
      <c r="C13" s="210">
        <v>44242</v>
      </c>
      <c r="D13" s="211">
        <v>366.67</v>
      </c>
      <c r="E13" s="214">
        <v>6</v>
      </c>
      <c r="F13" s="62"/>
      <c r="G13" s="63"/>
      <c r="H13" s="64">
        <f>D13*E13-0.02</f>
        <v>2200</v>
      </c>
      <c r="I13" s="208"/>
      <c r="J13" s="208"/>
      <c r="K13" s="208"/>
      <c r="L13" s="209">
        <v>0</v>
      </c>
      <c r="M13" s="53">
        <f>I13+H13+G13-L13</f>
        <v>2200</v>
      </c>
      <c r="N13" s="193">
        <v>0</v>
      </c>
      <c r="O13" s="194">
        <v>0</v>
      </c>
      <c r="P13" s="105">
        <f>M13-O13</f>
        <v>2200</v>
      </c>
      <c r="Q13" s="124" t="s">
        <v>19</v>
      </c>
      <c r="R13" s="116"/>
      <c r="S13" s="108"/>
      <c r="T13" s="196">
        <v>3</v>
      </c>
      <c r="U13" s="197">
        <v>2</v>
      </c>
      <c r="V13" s="197">
        <v>2</v>
      </c>
      <c r="W13" s="197">
        <v>0</v>
      </c>
      <c r="X13" s="197">
        <v>5</v>
      </c>
      <c r="Y13" s="197">
        <v>0</v>
      </c>
      <c r="Z13" s="197">
        <v>0</v>
      </c>
      <c r="AA13" s="197">
        <v>0</v>
      </c>
      <c r="AB13" s="117"/>
    </row>
    <row r="14" spans="1:28" ht="23.25" x14ac:dyDescent="0.3">
      <c r="A14" s="31">
        <v>6</v>
      </c>
      <c r="B14" s="44" t="s">
        <v>77</v>
      </c>
      <c r="C14" s="210">
        <v>44354</v>
      </c>
      <c r="D14" s="211">
        <v>416.67</v>
      </c>
      <c r="E14" s="62">
        <v>6</v>
      </c>
      <c r="F14" s="62"/>
      <c r="G14" s="63">
        <f>D14*F14</f>
        <v>0</v>
      </c>
      <c r="H14" s="64">
        <f>D14*E14-0.02</f>
        <v>2500</v>
      </c>
      <c r="I14" s="111"/>
      <c r="J14" s="111"/>
      <c r="K14" s="111"/>
      <c r="L14" s="112"/>
      <c r="M14" s="53">
        <f>I14+H14+G14-L14</f>
        <v>2500</v>
      </c>
      <c r="N14" s="193">
        <v>0</v>
      </c>
      <c r="O14" s="194">
        <v>0</v>
      </c>
      <c r="P14" s="105">
        <f>M14-O14</f>
        <v>2500</v>
      </c>
      <c r="Q14" s="124" t="s">
        <v>19</v>
      </c>
      <c r="R14" s="116"/>
      <c r="S14" s="108"/>
      <c r="T14" s="196">
        <v>3</v>
      </c>
      <c r="U14" s="197">
        <v>2</v>
      </c>
      <c r="V14" s="197">
        <v>4</v>
      </c>
      <c r="W14" s="197">
        <v>2</v>
      </c>
      <c r="X14" s="197">
        <v>5</v>
      </c>
      <c r="Y14" s="197">
        <v>0</v>
      </c>
      <c r="Z14" s="197">
        <v>0</v>
      </c>
      <c r="AA14" s="197">
        <v>0</v>
      </c>
      <c r="AB14" s="117"/>
    </row>
    <row r="15" spans="1:28" ht="24" thickBot="1" x14ac:dyDescent="0.35">
      <c r="A15" s="31">
        <v>7</v>
      </c>
      <c r="B15" s="44" t="s">
        <v>78</v>
      </c>
      <c r="C15" s="210">
        <v>44354</v>
      </c>
      <c r="D15" s="211">
        <v>300</v>
      </c>
      <c r="E15" s="62">
        <v>6</v>
      </c>
      <c r="F15" s="62"/>
      <c r="G15" s="63">
        <v>0</v>
      </c>
      <c r="H15" s="64">
        <f>D15*E15</f>
        <v>1800</v>
      </c>
      <c r="I15" s="212"/>
      <c r="J15" s="212"/>
      <c r="K15" s="212" t="s">
        <v>0</v>
      </c>
      <c r="L15" s="213"/>
      <c r="M15" s="53">
        <f>I15+H15+G15-L15</f>
        <v>1800</v>
      </c>
      <c r="N15" s="193">
        <v>0</v>
      </c>
      <c r="O15" s="194">
        <v>0</v>
      </c>
      <c r="P15" s="105">
        <f>M15-O15</f>
        <v>1800</v>
      </c>
      <c r="Q15" s="124" t="s">
        <v>19</v>
      </c>
      <c r="R15" s="116"/>
      <c r="S15" s="108"/>
      <c r="T15" s="196">
        <v>2</v>
      </c>
      <c r="U15" s="197">
        <v>3</v>
      </c>
      <c r="V15" s="197">
        <v>1</v>
      </c>
      <c r="W15" s="197">
        <v>2</v>
      </c>
      <c r="X15" s="197">
        <v>0</v>
      </c>
      <c r="Y15" s="197">
        <v>0</v>
      </c>
      <c r="Z15" s="197">
        <v>0</v>
      </c>
      <c r="AA15" s="197">
        <v>0</v>
      </c>
      <c r="AB15" s="117" t="s">
        <v>70</v>
      </c>
    </row>
    <row r="16" spans="1:28" ht="30.75" customHeight="1" thickBot="1" x14ac:dyDescent="0.3">
      <c r="D16" s="129"/>
      <c r="E16" s="6"/>
      <c r="F16" s="1"/>
      <c r="G16" s="48">
        <v>0</v>
      </c>
      <c r="H16" s="7">
        <v>0</v>
      </c>
      <c r="I16" s="130"/>
      <c r="J16" s="130"/>
      <c r="K16" s="130"/>
      <c r="L16" s="131">
        <v>0</v>
      </c>
      <c r="M16" s="132">
        <f t="shared" si="2"/>
        <v>0</v>
      </c>
      <c r="N16" s="133">
        <v>0</v>
      </c>
      <c r="O16" s="134">
        <v>0</v>
      </c>
      <c r="P16" s="88">
        <f t="shared" si="1"/>
        <v>0</v>
      </c>
      <c r="Q16" s="43" t="s">
        <v>19</v>
      </c>
      <c r="S16" s="109"/>
      <c r="T16" s="220">
        <f t="shared" ref="T16:AA16" si="3">SUM(T7:T15)</f>
        <v>17</v>
      </c>
      <c r="U16" s="220">
        <f t="shared" si="3"/>
        <v>21</v>
      </c>
      <c r="V16" s="220">
        <f t="shared" si="3"/>
        <v>9</v>
      </c>
      <c r="W16" s="220">
        <f t="shared" si="3"/>
        <v>4</v>
      </c>
      <c r="X16" s="220">
        <f t="shared" si="3"/>
        <v>13</v>
      </c>
      <c r="Y16" s="220">
        <f t="shared" si="3"/>
        <v>0</v>
      </c>
      <c r="Z16" s="220">
        <f t="shared" si="3"/>
        <v>0</v>
      </c>
      <c r="AA16" s="220">
        <f t="shared" si="3"/>
        <v>0</v>
      </c>
    </row>
    <row r="17" spans="2:28" ht="20.25" thickTop="1" thickBot="1" x14ac:dyDescent="0.35">
      <c r="B17" s="135"/>
      <c r="C17" s="136"/>
      <c r="D17" s="137"/>
      <c r="E17" s="6"/>
      <c r="F17" s="138"/>
      <c r="G17" s="139" t="s">
        <v>38</v>
      </c>
      <c r="H17" s="140">
        <f>SUM(H7:H16)</f>
        <v>14440</v>
      </c>
      <c r="I17" s="141">
        <f>SUM(I7:I16)</f>
        <v>168.38</v>
      </c>
      <c r="J17" s="141"/>
      <c r="K17" s="141"/>
      <c r="L17" s="142">
        <f>SUM(L7:L16)</f>
        <v>0</v>
      </c>
      <c r="M17" s="143">
        <f>SUM(M7:M16)</f>
        <v>14060.32</v>
      </c>
      <c r="N17" s="144">
        <f>SUM(N8:N16)</f>
        <v>0</v>
      </c>
      <c r="O17" s="145">
        <f>SUM(O8:O16)</f>
        <v>0</v>
      </c>
      <c r="P17" s="146">
        <f>SUM(P7:P16)</f>
        <v>14060.32</v>
      </c>
      <c r="Q17" s="124"/>
      <c r="S17" s="109"/>
      <c r="T17" s="109"/>
      <c r="U17" s="109"/>
      <c r="V17" s="109"/>
      <c r="Z17">
        <v>0</v>
      </c>
      <c r="AB17" t="s">
        <v>0</v>
      </c>
    </row>
    <row r="18" spans="2:28" ht="19.5" thickBot="1" x14ac:dyDescent="0.35">
      <c r="B18" s="147"/>
      <c r="C18" s="148"/>
      <c r="D18" s="149"/>
      <c r="M18" s="7"/>
      <c r="P18">
        <v>1616</v>
      </c>
      <c r="Q18" s="150"/>
      <c r="S18" s="109"/>
      <c r="T18" s="151">
        <f t="shared" ref="T18:AA18" si="4">T16*T6</f>
        <v>8500</v>
      </c>
      <c r="U18" s="151">
        <f t="shared" si="4"/>
        <v>4200</v>
      </c>
      <c r="V18" s="151">
        <f t="shared" si="4"/>
        <v>900</v>
      </c>
      <c r="W18" s="152">
        <f t="shared" si="4"/>
        <v>200</v>
      </c>
      <c r="X18" s="151">
        <f t="shared" si="4"/>
        <v>260</v>
      </c>
      <c r="Y18" s="151">
        <f t="shared" si="4"/>
        <v>0</v>
      </c>
      <c r="Z18" s="151">
        <f t="shared" si="4"/>
        <v>0</v>
      </c>
      <c r="AA18" s="151">
        <f t="shared" si="4"/>
        <v>0</v>
      </c>
      <c r="AB18" s="153">
        <f>SUM(T18:AA18)</f>
        <v>14060</v>
      </c>
    </row>
    <row r="19" spans="2:28" ht="21.75" thickBot="1" x14ac:dyDescent="0.4">
      <c r="B19" s="154"/>
      <c r="C19" s="154"/>
      <c r="D19" s="31"/>
      <c r="E19" s="154"/>
      <c r="F19" s="155"/>
      <c r="G19" s="155"/>
      <c r="H19" s="156"/>
      <c r="I19" s="156"/>
      <c r="J19" s="156"/>
      <c r="K19" s="156"/>
      <c r="L19" s="156"/>
      <c r="M19" s="155"/>
      <c r="N19" s="155"/>
      <c r="P19" s="157"/>
      <c r="T19" s="158"/>
      <c r="U19" s="158"/>
      <c r="V19" s="158"/>
      <c r="W19" s="158"/>
      <c r="X19" s="158"/>
      <c r="Y19" s="158"/>
      <c r="Z19" s="158"/>
      <c r="AA19" s="158"/>
      <c r="AB19" t="s">
        <v>0</v>
      </c>
    </row>
    <row r="20" spans="2:28" ht="21.75" thickTop="1" x14ac:dyDescent="0.35">
      <c r="B20" s="154"/>
      <c r="C20" s="154"/>
      <c r="D20" s="159"/>
      <c r="E20" s="160"/>
      <c r="F20" s="160"/>
      <c r="G20" s="160"/>
      <c r="H20" s="156"/>
      <c r="I20" s="161"/>
      <c r="J20" s="161"/>
      <c r="K20" s="161"/>
      <c r="L20" s="161"/>
      <c r="M20" s="162"/>
      <c r="N20" s="282"/>
      <c r="O20" s="282"/>
      <c r="P20" s="283">
        <f>M17+P19</f>
        <v>14060.32</v>
      </c>
      <c r="Q20" s="283"/>
      <c r="W20" s="10"/>
      <c r="X20" s="163"/>
    </row>
    <row r="21" spans="2:28" ht="23.25" x14ac:dyDescent="0.35">
      <c r="B21" s="243" t="s">
        <v>111</v>
      </c>
      <c r="C21" s="243"/>
      <c r="D21" s="244"/>
      <c r="E21" s="245"/>
      <c r="F21" s="237"/>
      <c r="G21" s="160"/>
      <c r="H21" s="164"/>
      <c r="I21" s="165"/>
      <c r="J21" s="165"/>
      <c r="K21" s="165"/>
      <c r="L21" s="166"/>
      <c r="M21" s="162"/>
      <c r="N21" s="162"/>
      <c r="O21" s="162"/>
      <c r="P21" s="162"/>
      <c r="Q21" s="162"/>
      <c r="W21" t="s">
        <v>0</v>
      </c>
      <c r="X21">
        <v>0</v>
      </c>
    </row>
    <row r="22" spans="2:28" ht="15.75" x14ac:dyDescent="0.25">
      <c r="C22" s="252">
        <v>5500</v>
      </c>
      <c r="D22" s="159"/>
      <c r="E22" s="160"/>
      <c r="F22" s="160"/>
      <c r="G22" s="160"/>
      <c r="H22" s="167"/>
      <c r="I22" s="168"/>
      <c r="J22" s="168"/>
      <c r="K22" s="168"/>
      <c r="L22" s="168"/>
      <c r="M22" s="169"/>
    </row>
    <row r="23" spans="2:28" ht="15.75" x14ac:dyDescent="0.25">
      <c r="B23" s="253">
        <f>C22+C23</f>
        <v>5000</v>
      </c>
      <c r="C23" s="250">
        <v>-500</v>
      </c>
      <c r="D23" s="255">
        <v>44534</v>
      </c>
      <c r="E23" s="171"/>
      <c r="F23" s="6"/>
      <c r="G23" s="6"/>
      <c r="I23" s="172"/>
      <c r="J23" s="172"/>
      <c r="K23" s="172"/>
      <c r="L23" s="173"/>
    </row>
    <row r="24" spans="2:28" ht="15.75" x14ac:dyDescent="0.25">
      <c r="B24" s="253">
        <f>B23+C24</f>
        <v>4500</v>
      </c>
      <c r="C24" s="251">
        <v>-500</v>
      </c>
      <c r="D24" s="256">
        <v>44541</v>
      </c>
    </row>
    <row r="25" spans="2:28" ht="15.75" x14ac:dyDescent="0.25">
      <c r="B25" s="253">
        <f t="shared" ref="B25:B33" si="5">B24+C25</f>
        <v>4000</v>
      </c>
      <c r="C25" s="251">
        <v>-500</v>
      </c>
      <c r="D25" s="254">
        <v>44548</v>
      </c>
    </row>
    <row r="26" spans="2:28" ht="15.75" x14ac:dyDescent="0.25">
      <c r="B26" s="253">
        <f t="shared" si="5"/>
        <v>3500</v>
      </c>
      <c r="C26" s="251">
        <v>-500</v>
      </c>
      <c r="D26" s="254">
        <v>44554</v>
      </c>
    </row>
    <row r="27" spans="2:28" ht="15.75" x14ac:dyDescent="0.25">
      <c r="B27" s="253">
        <f t="shared" si="5"/>
        <v>3500</v>
      </c>
      <c r="C27" s="251"/>
      <c r="D27" s="254">
        <v>44560</v>
      </c>
    </row>
    <row r="28" spans="2:28" ht="15.75" x14ac:dyDescent="0.25">
      <c r="B28" s="253">
        <f t="shared" si="5"/>
        <v>3500</v>
      </c>
      <c r="C28" s="251"/>
      <c r="D28" s="254">
        <v>44204</v>
      </c>
    </row>
    <row r="29" spans="2:28" ht="15.75" x14ac:dyDescent="0.25">
      <c r="B29" s="253">
        <f t="shared" si="5"/>
        <v>3500</v>
      </c>
      <c r="C29" s="251"/>
      <c r="D29" s="254">
        <v>44211</v>
      </c>
    </row>
    <row r="30" spans="2:28" ht="15.75" x14ac:dyDescent="0.25">
      <c r="B30" s="253">
        <f t="shared" si="5"/>
        <v>3500</v>
      </c>
      <c r="C30" s="251"/>
      <c r="D30" s="254">
        <v>44218</v>
      </c>
    </row>
    <row r="31" spans="2:28" ht="15.75" x14ac:dyDescent="0.25">
      <c r="B31" s="253">
        <f t="shared" si="5"/>
        <v>3500</v>
      </c>
      <c r="C31" s="251"/>
      <c r="D31" s="254">
        <v>44225</v>
      </c>
    </row>
    <row r="32" spans="2:28" ht="15.75" x14ac:dyDescent="0.25">
      <c r="B32" s="253">
        <f t="shared" si="5"/>
        <v>3500</v>
      </c>
      <c r="C32" s="251"/>
      <c r="D32" s="254">
        <v>44232</v>
      </c>
    </row>
    <row r="33" spans="2:4" ht="15.75" x14ac:dyDescent="0.25">
      <c r="B33" s="253">
        <f t="shared" si="5"/>
        <v>3500</v>
      </c>
      <c r="C33" s="251"/>
      <c r="D33" s="254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31"/>
  <sheetViews>
    <sheetView topLeftCell="O1" workbookViewId="0">
      <selection activeCell="Z11" sqref="Z1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123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99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D7*E7+F7*D7-0.02</f>
        <v>2200</v>
      </c>
      <c r="I7" s="38"/>
      <c r="J7" s="38"/>
      <c r="K7" s="38"/>
      <c r="L7" s="39"/>
      <c r="M7" s="219">
        <f t="shared" ref="M7" si="0">I7+H7+G7-L7</f>
        <v>2200</v>
      </c>
      <c r="N7" s="41">
        <v>0</v>
      </c>
      <c r="O7" s="39">
        <v>0</v>
      </c>
      <c r="P7" s="42">
        <f t="shared" ref="P7:P14" si="1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4</v>
      </c>
      <c r="B8" s="44" t="s">
        <v>27</v>
      </c>
      <c r="C8" s="81"/>
      <c r="D8" s="46">
        <v>280</v>
      </c>
      <c r="E8" s="62">
        <v>6</v>
      </c>
      <c r="F8" s="62"/>
      <c r="G8" s="82">
        <v>0</v>
      </c>
      <c r="H8" s="64">
        <f>D8*E8+D8*F8</f>
        <v>1680</v>
      </c>
      <c r="I8" s="83"/>
      <c r="J8" s="84"/>
      <c r="K8" s="84"/>
      <c r="L8" s="85">
        <v>0</v>
      </c>
      <c r="M8" s="53">
        <f t="shared" ref="M8:M14" si="2">I8+H8+G8-L8</f>
        <v>1680</v>
      </c>
      <c r="N8" s="86">
        <v>0</v>
      </c>
      <c r="O8" s="87">
        <v>0</v>
      </c>
      <c r="P8" s="88">
        <f t="shared" si="1"/>
        <v>1680</v>
      </c>
      <c r="Q8" s="89" t="s">
        <v>19</v>
      </c>
      <c r="R8" s="90"/>
      <c r="S8" s="90"/>
      <c r="T8">
        <v>2</v>
      </c>
      <c r="U8">
        <v>2</v>
      </c>
      <c r="V8">
        <v>1</v>
      </c>
      <c r="W8">
        <v>1</v>
      </c>
      <c r="X8">
        <v>4</v>
      </c>
      <c r="Y8">
        <v>0</v>
      </c>
      <c r="Z8">
        <v>10</v>
      </c>
      <c r="AA8">
        <v>0</v>
      </c>
    </row>
    <row r="9" spans="1:28" ht="19.5" hidden="1" thickBot="1" x14ac:dyDescent="0.35">
      <c r="A9" s="31">
        <v>5</v>
      </c>
      <c r="B9" s="44" t="s">
        <v>28</v>
      </c>
      <c r="C9" s="81" t="s">
        <v>56</v>
      </c>
      <c r="D9" s="71">
        <v>642.86</v>
      </c>
      <c r="E9" s="72">
        <v>0</v>
      </c>
      <c r="F9" s="91"/>
      <c r="G9" s="92">
        <v>0</v>
      </c>
      <c r="H9" s="64">
        <f>D9*F9</f>
        <v>0</v>
      </c>
      <c r="I9" s="93">
        <v>0</v>
      </c>
      <c r="J9" s="94"/>
      <c r="K9" s="94"/>
      <c r="L9" s="95">
        <v>0</v>
      </c>
      <c r="M9" s="53">
        <f t="shared" si="2"/>
        <v>0</v>
      </c>
      <c r="N9" s="227">
        <v>0</v>
      </c>
      <c r="O9" s="97">
        <v>0</v>
      </c>
      <c r="P9" s="98">
        <f t="shared" si="1"/>
        <v>0</v>
      </c>
      <c r="Q9" s="99" t="s">
        <v>22</v>
      </c>
      <c r="R9" s="90"/>
      <c r="S9" s="90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hidden="1" x14ac:dyDescent="0.3">
      <c r="A10" s="31">
        <v>6</v>
      </c>
      <c r="B10" s="44" t="s">
        <v>30</v>
      </c>
      <c r="C10" s="100" t="s">
        <v>31</v>
      </c>
      <c r="D10" s="71">
        <v>357.14</v>
      </c>
      <c r="E10" s="72">
        <v>0</v>
      </c>
      <c r="F10" s="72"/>
      <c r="G10" s="73">
        <v>0</v>
      </c>
      <c r="H10" s="64">
        <f>D10*0+D10*F10</f>
        <v>0</v>
      </c>
      <c r="I10" s="101">
        <v>0</v>
      </c>
      <c r="J10" s="102"/>
      <c r="K10" s="102"/>
      <c r="L10" s="103">
        <v>0</v>
      </c>
      <c r="M10" s="53">
        <f t="shared" si="2"/>
        <v>0</v>
      </c>
      <c r="N10" s="104">
        <v>0</v>
      </c>
      <c r="O10" s="87">
        <v>0</v>
      </c>
      <c r="P10" s="105">
        <f t="shared" si="1"/>
        <v>0</v>
      </c>
      <c r="Q10" s="106" t="s">
        <v>22</v>
      </c>
      <c r="R10" s="107"/>
      <c r="S10" s="108"/>
      <c r="T10" s="109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23.25" x14ac:dyDescent="0.3">
      <c r="A11" s="31">
        <v>5</v>
      </c>
      <c r="B11" s="44" t="s">
        <v>55</v>
      </c>
      <c r="C11" s="210">
        <v>44242</v>
      </c>
      <c r="D11" s="211">
        <v>366.67</v>
      </c>
      <c r="E11" s="214">
        <v>6</v>
      </c>
      <c r="F11" s="62"/>
      <c r="G11" s="63"/>
      <c r="H11" s="64">
        <f>D11*E11-0.02</f>
        <v>2200</v>
      </c>
      <c r="I11" s="208"/>
      <c r="J11" s="208"/>
      <c r="K11" s="208"/>
      <c r="L11" s="209">
        <v>0</v>
      </c>
      <c r="M11" s="53">
        <f>I11+H11+G11-L11</f>
        <v>2200</v>
      </c>
      <c r="N11" s="193">
        <v>0</v>
      </c>
      <c r="O11" s="194">
        <v>0</v>
      </c>
      <c r="P11" s="105">
        <f>M11-O11</f>
        <v>2200</v>
      </c>
      <c r="Q11" s="124" t="s">
        <v>19</v>
      </c>
      <c r="R11" s="116"/>
      <c r="S11" s="108"/>
      <c r="T11" s="196">
        <v>2</v>
      </c>
      <c r="U11" s="197">
        <v>5</v>
      </c>
      <c r="V11" s="197">
        <v>2</v>
      </c>
      <c r="W11" s="197">
        <v>0</v>
      </c>
      <c r="X11" s="197">
        <v>0</v>
      </c>
      <c r="Y11" s="197">
        <v>0</v>
      </c>
      <c r="Z11" s="197">
        <v>0</v>
      </c>
      <c r="AA11" s="197">
        <v>0</v>
      </c>
      <c r="AB11" s="117"/>
    </row>
    <row r="12" spans="1:28" ht="23.25" x14ac:dyDescent="0.3">
      <c r="A12" s="31">
        <v>6</v>
      </c>
      <c r="B12" s="44" t="s">
        <v>77</v>
      </c>
      <c r="C12" s="210">
        <v>44354</v>
      </c>
      <c r="D12" s="211">
        <v>416.67</v>
      </c>
      <c r="E12" s="62">
        <v>6</v>
      </c>
      <c r="F12" s="62">
        <v>3</v>
      </c>
      <c r="G12" s="63">
        <f>D12*F12</f>
        <v>1250.01</v>
      </c>
      <c r="H12" s="64">
        <f>D12*E12-0.02</f>
        <v>2500</v>
      </c>
      <c r="I12" s="111"/>
      <c r="J12" s="111"/>
      <c r="K12" s="111"/>
      <c r="L12" s="112"/>
      <c r="M12" s="53">
        <f>I12+H12+G12-L12</f>
        <v>3750.01</v>
      </c>
      <c r="N12" s="193">
        <v>0</v>
      </c>
      <c r="O12" s="194">
        <v>0</v>
      </c>
      <c r="P12" s="105">
        <f>M12-O12</f>
        <v>3750.01</v>
      </c>
      <c r="Q12" s="124" t="s">
        <v>19</v>
      </c>
      <c r="R12" s="116"/>
      <c r="S12" s="108"/>
      <c r="T12" s="196">
        <v>6</v>
      </c>
      <c r="U12" s="197">
        <v>2</v>
      </c>
      <c r="V12" s="197">
        <v>1</v>
      </c>
      <c r="W12" s="197">
        <v>2</v>
      </c>
      <c r="X12" s="197">
        <v>5</v>
      </c>
      <c r="Y12" s="197">
        <v>5</v>
      </c>
      <c r="Z12" s="197">
        <v>0</v>
      </c>
      <c r="AA12" s="197">
        <v>0</v>
      </c>
      <c r="AB12" s="117"/>
    </row>
    <row r="13" spans="1:28" ht="24" thickBot="1" x14ac:dyDescent="0.35">
      <c r="A13" s="31">
        <v>7</v>
      </c>
      <c r="B13" s="44" t="s">
        <v>78</v>
      </c>
      <c r="C13" s="210">
        <v>44354</v>
      </c>
      <c r="D13" s="211">
        <v>300</v>
      </c>
      <c r="E13" s="62">
        <v>6</v>
      </c>
      <c r="F13" s="62"/>
      <c r="G13" s="63">
        <v>0</v>
      </c>
      <c r="H13" s="64">
        <f>D13*E13</f>
        <v>1800</v>
      </c>
      <c r="I13" s="212"/>
      <c r="J13" s="212"/>
      <c r="K13" s="212" t="s">
        <v>0</v>
      </c>
      <c r="L13" s="213"/>
      <c r="M13" s="53">
        <f>I13+H13+G13-L13</f>
        <v>1800</v>
      </c>
      <c r="N13" s="193">
        <v>0</v>
      </c>
      <c r="O13" s="194">
        <v>0</v>
      </c>
      <c r="P13" s="105">
        <f>M13-O13</f>
        <v>1800</v>
      </c>
      <c r="Q13" s="124" t="s">
        <v>19</v>
      </c>
      <c r="R13" s="116"/>
      <c r="S13" s="108"/>
      <c r="T13" s="196">
        <v>2</v>
      </c>
      <c r="U13" s="197">
        <v>3</v>
      </c>
      <c r="V13" s="197">
        <v>1</v>
      </c>
      <c r="W13" s="197">
        <v>2</v>
      </c>
      <c r="X13" s="197">
        <v>0</v>
      </c>
      <c r="Y13" s="197">
        <v>0</v>
      </c>
      <c r="Z13" s="197">
        <v>0</v>
      </c>
      <c r="AA13" s="197">
        <v>0</v>
      </c>
      <c r="AB13" s="117" t="s">
        <v>70</v>
      </c>
    </row>
    <row r="14" spans="1:28" ht="30.75" customHeight="1" thickBot="1" x14ac:dyDescent="0.3">
      <c r="D14" s="129"/>
      <c r="E14" s="6"/>
      <c r="F14" s="1"/>
      <c r="G14" s="48">
        <v>0</v>
      </c>
      <c r="H14" s="7">
        <v>0</v>
      </c>
      <c r="I14" s="130"/>
      <c r="J14" s="130"/>
      <c r="K14" s="130"/>
      <c r="L14" s="131">
        <v>0</v>
      </c>
      <c r="M14" s="132">
        <f t="shared" si="2"/>
        <v>0</v>
      </c>
      <c r="N14" s="133">
        <v>0</v>
      </c>
      <c r="O14" s="134">
        <v>0</v>
      </c>
      <c r="P14" s="88">
        <f t="shared" si="1"/>
        <v>0</v>
      </c>
      <c r="Q14" s="43" t="s">
        <v>19</v>
      </c>
      <c r="S14" s="109"/>
      <c r="T14" s="220">
        <f>SUM(T7:T13)</f>
        <v>14</v>
      </c>
      <c r="U14" s="220">
        <f>SUM(U7:U13)</f>
        <v>17</v>
      </c>
      <c r="V14" s="220">
        <f>SUM(V7:V13)</f>
        <v>7</v>
      </c>
      <c r="W14" s="220">
        <f>SUM(W7:W13)</f>
        <v>5</v>
      </c>
      <c r="X14" s="220">
        <f>SUM(X7:X13)</f>
        <v>9</v>
      </c>
      <c r="Y14" s="220">
        <f>SUM(Y7:Y13)</f>
        <v>5</v>
      </c>
      <c r="Z14" s="220">
        <f>SUM(Z7:Z13)</f>
        <v>10</v>
      </c>
      <c r="AA14" s="220">
        <f>SUM(AA7:AA13)</f>
        <v>0</v>
      </c>
    </row>
    <row r="15" spans="1:28" ht="20.25" thickTop="1" thickBot="1" x14ac:dyDescent="0.35">
      <c r="B15" s="135"/>
      <c r="C15" s="136"/>
      <c r="D15" s="137"/>
      <c r="E15" s="6"/>
      <c r="F15" s="138"/>
      <c r="G15" s="139" t="s">
        <v>38</v>
      </c>
      <c r="H15" s="140">
        <f>SUM(H7:H14)</f>
        <v>10380</v>
      </c>
      <c r="I15" s="141">
        <f>SUM(I7:I14)</f>
        <v>0</v>
      </c>
      <c r="J15" s="141"/>
      <c r="K15" s="141"/>
      <c r="L15" s="142">
        <f>SUM(L7:L14)</f>
        <v>0</v>
      </c>
      <c r="M15" s="143">
        <f>SUM(M7:M14)</f>
        <v>11630.01</v>
      </c>
      <c r="N15" s="144">
        <f>SUM(N8:N14)</f>
        <v>0</v>
      </c>
      <c r="O15" s="145">
        <f>SUM(O8:O14)</f>
        <v>0</v>
      </c>
      <c r="P15" s="146">
        <f>SUM(P7:P14)</f>
        <v>11630.01</v>
      </c>
      <c r="Q15" s="124"/>
      <c r="S15" s="109"/>
      <c r="T15" s="109"/>
      <c r="U15" s="109"/>
      <c r="V15" s="109"/>
      <c r="Z15">
        <v>0</v>
      </c>
      <c r="AB15" t="s">
        <v>0</v>
      </c>
    </row>
    <row r="16" spans="1:28" ht="19.5" thickBot="1" x14ac:dyDescent="0.35">
      <c r="B16" s="147"/>
      <c r="C16" s="148"/>
      <c r="D16" s="149"/>
      <c r="M16" s="7"/>
      <c r="P16">
        <v>1616</v>
      </c>
      <c r="Q16" s="150"/>
      <c r="S16" s="109"/>
      <c r="T16" s="151">
        <f>T14*T6</f>
        <v>7000</v>
      </c>
      <c r="U16" s="151">
        <f>U14*U6</f>
        <v>3400</v>
      </c>
      <c r="V16" s="151">
        <f>V14*V6</f>
        <v>700</v>
      </c>
      <c r="W16" s="152">
        <f>W14*W6</f>
        <v>250</v>
      </c>
      <c r="X16" s="151">
        <f>X14*X6</f>
        <v>180</v>
      </c>
      <c r="Y16" s="151">
        <f>Y14*Y6</f>
        <v>50</v>
      </c>
      <c r="Z16" s="151">
        <f>Z14*Z6</f>
        <v>50</v>
      </c>
      <c r="AA16" s="151">
        <f>AA14*AA6</f>
        <v>0</v>
      </c>
      <c r="AB16" s="153">
        <f>SUM(T16:AA16)</f>
        <v>11630</v>
      </c>
    </row>
    <row r="17" spans="2:28" ht="21.75" thickBot="1" x14ac:dyDescent="0.4">
      <c r="B17" s="154"/>
      <c r="C17" s="154"/>
      <c r="D17" s="31"/>
      <c r="E17" s="154"/>
      <c r="F17" s="155"/>
      <c r="G17" s="155"/>
      <c r="H17" s="156"/>
      <c r="I17" s="156"/>
      <c r="J17" s="156"/>
      <c r="K17" s="156"/>
      <c r="L17" s="156"/>
      <c r="M17" s="155"/>
      <c r="N17" s="155"/>
      <c r="P17" s="157"/>
      <c r="T17" s="158"/>
      <c r="U17" s="158"/>
      <c r="V17" s="158"/>
      <c r="W17" s="158"/>
      <c r="X17" s="158"/>
      <c r="Y17" s="158"/>
      <c r="Z17" s="158"/>
      <c r="AA17" s="158"/>
      <c r="AB17" t="s">
        <v>0</v>
      </c>
    </row>
    <row r="18" spans="2:28" ht="21.75" thickTop="1" x14ac:dyDescent="0.35">
      <c r="B18" s="154"/>
      <c r="C18" s="154"/>
      <c r="D18" s="159"/>
      <c r="E18" s="160"/>
      <c r="F18" s="160"/>
      <c r="G18" s="160"/>
      <c r="H18" s="156"/>
      <c r="I18" s="161"/>
      <c r="J18" s="161"/>
      <c r="K18" s="161"/>
      <c r="L18" s="161"/>
      <c r="M18" s="162"/>
      <c r="N18" s="282"/>
      <c r="O18" s="282"/>
      <c r="P18" s="283">
        <f>M15+P17</f>
        <v>11630.01</v>
      </c>
      <c r="Q18" s="283"/>
      <c r="W18" s="10"/>
      <c r="X18" s="163"/>
    </row>
    <row r="19" spans="2:28" ht="23.25" x14ac:dyDescent="0.35">
      <c r="B19" s="243" t="s">
        <v>111</v>
      </c>
      <c r="C19" s="243"/>
      <c r="D19" s="244"/>
      <c r="E19" s="245"/>
      <c r="F19" s="237"/>
      <c r="G19" s="160"/>
      <c r="H19" s="164"/>
      <c r="I19" s="165"/>
      <c r="J19" s="165"/>
      <c r="K19" s="165"/>
      <c r="L19" s="166"/>
      <c r="M19" s="162"/>
      <c r="N19" s="162"/>
      <c r="O19" s="162"/>
      <c r="P19" s="162"/>
      <c r="Q19" s="162"/>
      <c r="W19" t="s">
        <v>0</v>
      </c>
      <c r="X19">
        <v>0</v>
      </c>
    </row>
    <row r="20" spans="2:28" ht="15.75" x14ac:dyDescent="0.25">
      <c r="C20" s="252">
        <v>5500</v>
      </c>
      <c r="D20" s="159"/>
      <c r="E20" s="160"/>
      <c r="F20" s="160"/>
      <c r="G20" s="160"/>
      <c r="H20" s="167"/>
      <c r="I20" s="168"/>
      <c r="J20" s="168"/>
      <c r="K20" s="168"/>
      <c r="L20" s="168"/>
      <c r="M20" s="169"/>
    </row>
    <row r="21" spans="2:28" ht="15.75" x14ac:dyDescent="0.25">
      <c r="B21" s="253">
        <f>C20+C21</f>
        <v>5000</v>
      </c>
      <c r="C21" s="250">
        <v>-500</v>
      </c>
      <c r="D21" s="255">
        <v>44534</v>
      </c>
      <c r="E21" s="171"/>
      <c r="F21" s="6"/>
      <c r="G21" s="6"/>
      <c r="I21" s="172"/>
      <c r="J21" s="172"/>
      <c r="K21" s="172"/>
      <c r="L21" s="173"/>
    </row>
    <row r="22" spans="2:28" ht="15.75" x14ac:dyDescent="0.25">
      <c r="B22" s="253">
        <f>B21+C22</f>
        <v>4500</v>
      </c>
      <c r="C22" s="251">
        <v>-500</v>
      </c>
      <c r="D22" s="256">
        <v>44541</v>
      </c>
    </row>
    <row r="23" spans="2:28" ht="15.75" x14ac:dyDescent="0.25">
      <c r="B23" s="253">
        <f t="shared" ref="B23:B31" si="3">B22+C23</f>
        <v>4000</v>
      </c>
      <c r="C23" s="251">
        <v>-500</v>
      </c>
      <c r="D23" s="254">
        <v>44548</v>
      </c>
    </row>
    <row r="24" spans="2:28" ht="15.75" x14ac:dyDescent="0.25">
      <c r="B24" s="253">
        <f t="shared" si="3"/>
        <v>3500</v>
      </c>
      <c r="C24" s="251">
        <v>-500</v>
      </c>
      <c r="D24" s="254">
        <v>44554</v>
      </c>
    </row>
    <row r="25" spans="2:28" ht="15.75" x14ac:dyDescent="0.25">
      <c r="B25" s="253">
        <f t="shared" si="3"/>
        <v>3500</v>
      </c>
      <c r="C25" s="251"/>
      <c r="D25" s="254">
        <v>44560</v>
      </c>
    </row>
    <row r="26" spans="2:28" ht="15.75" x14ac:dyDescent="0.25">
      <c r="B26" s="253">
        <f t="shared" si="3"/>
        <v>3500</v>
      </c>
      <c r="C26" s="251"/>
      <c r="D26" s="254">
        <v>44204</v>
      </c>
    </row>
    <row r="27" spans="2:28" ht="15.75" x14ac:dyDescent="0.25">
      <c r="B27" s="253">
        <f t="shared" si="3"/>
        <v>3500</v>
      </c>
      <c r="C27" s="251"/>
      <c r="D27" s="254">
        <v>44211</v>
      </c>
    </row>
    <row r="28" spans="2:28" ht="15.75" x14ac:dyDescent="0.25">
      <c r="B28" s="253">
        <f t="shared" si="3"/>
        <v>3500</v>
      </c>
      <c r="C28" s="251"/>
      <c r="D28" s="254">
        <v>44218</v>
      </c>
    </row>
    <row r="29" spans="2:28" ht="15.75" x14ac:dyDescent="0.25">
      <c r="B29" s="253">
        <f t="shared" si="3"/>
        <v>3500</v>
      </c>
      <c r="C29" s="251"/>
      <c r="D29" s="254">
        <v>44225</v>
      </c>
    </row>
    <row r="30" spans="2:28" ht="15.75" x14ac:dyDescent="0.25">
      <c r="B30" s="253">
        <f t="shared" si="3"/>
        <v>3500</v>
      </c>
      <c r="C30" s="251"/>
      <c r="D30" s="254">
        <v>44232</v>
      </c>
    </row>
    <row r="31" spans="2:28" ht="15.75" x14ac:dyDescent="0.25">
      <c r="B31" s="253">
        <f t="shared" si="3"/>
        <v>3500</v>
      </c>
      <c r="C31" s="251"/>
      <c r="D31" s="254">
        <v>44239</v>
      </c>
    </row>
  </sheetData>
  <mergeCells count="3">
    <mergeCell ref="B1:O2"/>
    <mergeCell ref="N18:O18"/>
    <mergeCell ref="P18:Q18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tabSelected="1" workbookViewId="0">
      <selection activeCell="D9" sqref="D9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9.6" customHeight="1" x14ac:dyDescent="0.25">
      <c r="B2" s="201" t="s">
        <v>77</v>
      </c>
      <c r="D2" s="6"/>
    </row>
    <row r="3" spans="2:6" ht="35.450000000000003" customHeight="1" thickBot="1" x14ac:dyDescent="0.3">
      <c r="F3" s="203" t="s">
        <v>17</v>
      </c>
    </row>
    <row r="4" spans="2:6" s="6" customFormat="1" ht="35.450000000000003" customHeight="1" x14ac:dyDescent="0.3">
      <c r="B4" s="177"/>
      <c r="C4" s="178"/>
      <c r="D4" s="178"/>
      <c r="E4" s="178"/>
      <c r="F4" s="204" t="s">
        <v>23</v>
      </c>
    </row>
    <row r="5" spans="2:6" ht="35.450000000000003" customHeight="1" x14ac:dyDescent="0.25">
      <c r="B5" s="6" t="s">
        <v>0</v>
      </c>
      <c r="F5" s="205" t="s">
        <v>24</v>
      </c>
    </row>
    <row r="6" spans="2:6" ht="35.450000000000003" customHeight="1" x14ac:dyDescent="0.25">
      <c r="B6" t="s">
        <v>0</v>
      </c>
      <c r="F6" s="202" t="s">
        <v>39</v>
      </c>
    </row>
    <row r="7" spans="2:6" ht="35.450000000000003" customHeight="1" x14ac:dyDescent="0.25">
      <c r="B7" t="s">
        <v>0</v>
      </c>
      <c r="F7" s="201" t="s">
        <v>55</v>
      </c>
    </row>
    <row r="8" spans="2:6" ht="34.5" customHeight="1" x14ac:dyDescent="0.25">
      <c r="F8" s="201" t="s">
        <v>77</v>
      </c>
    </row>
    <row r="9" spans="2:6" ht="35.25" customHeight="1" x14ac:dyDescent="0.25">
      <c r="B9" s="246"/>
      <c r="F9" s="234" t="s">
        <v>79</v>
      </c>
    </row>
    <row r="10" spans="2:6" x14ac:dyDescent="0.25">
      <c r="B10" s="246"/>
    </row>
    <row r="11" spans="2:6" ht="18.75" x14ac:dyDescent="0.25">
      <c r="B11" s="246"/>
      <c r="F11" s="201" t="s">
        <v>74</v>
      </c>
    </row>
    <row r="12" spans="2:6" x14ac:dyDescent="0.25">
      <c r="B12" s="246"/>
    </row>
    <row r="13" spans="2:6" ht="18.75" x14ac:dyDescent="0.3">
      <c r="B13" s="247"/>
    </row>
    <row r="14" spans="2:6" ht="18.75" x14ac:dyDescent="0.3">
      <c r="B14" s="247"/>
    </row>
    <row r="15" spans="2:6" x14ac:dyDescent="0.25">
      <c r="B15" s="246"/>
    </row>
    <row r="16" spans="2:6" x14ac:dyDescent="0.25">
      <c r="B16" s="246"/>
    </row>
  </sheetData>
  <pageMargins left="0.7" right="0.7" top="0.75" bottom="0.75" header="0.3" footer="0.3"/>
  <pageSetup orientation="portrait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9" sqref="B19"/>
    </sheetView>
  </sheetViews>
  <sheetFormatPr baseColWidth="10" defaultRowHeight="15" x14ac:dyDescent="0.25"/>
  <cols>
    <col min="2" max="2" width="48.85546875" customWidth="1"/>
    <col min="3" max="3" width="23.140625" customWidth="1"/>
    <col min="4" max="4" width="12.7109375" bestFit="1" customWidth="1"/>
    <col min="9" max="9" width="48.7109375" customWidth="1"/>
  </cols>
  <sheetData>
    <row r="1" spans="1:5" ht="21.75" thickBot="1" x14ac:dyDescent="0.4">
      <c r="B1" s="186" t="s">
        <v>41</v>
      </c>
    </row>
    <row r="3" spans="1:5" ht="18.75" x14ac:dyDescent="0.3">
      <c r="A3" s="62">
        <v>1</v>
      </c>
      <c r="B3" s="44" t="s">
        <v>23</v>
      </c>
      <c r="C3" s="60">
        <v>41820</v>
      </c>
      <c r="D3" s="61">
        <f>460*5</f>
        <v>2300</v>
      </c>
      <c r="E3" s="6"/>
    </row>
    <row r="4" spans="1:5" ht="18.75" x14ac:dyDescent="0.3">
      <c r="A4" s="62">
        <v>2</v>
      </c>
      <c r="B4" s="69" t="s">
        <v>34</v>
      </c>
      <c r="C4" s="187" t="s">
        <v>35</v>
      </c>
      <c r="D4" s="71">
        <f>416.67*6-0.02</f>
        <v>2500</v>
      </c>
    </row>
    <row r="5" spans="1:5" ht="18.75" x14ac:dyDescent="0.3">
      <c r="A5" s="62">
        <v>3</v>
      </c>
      <c r="B5" s="44" t="s">
        <v>32</v>
      </c>
      <c r="C5" s="110" t="s">
        <v>33</v>
      </c>
      <c r="D5" s="46">
        <f>257.15*7-0.05</f>
        <v>1799.9999999999998</v>
      </c>
    </row>
    <row r="6" spans="1:5" ht="18.75" x14ac:dyDescent="0.3">
      <c r="A6" s="62">
        <v>4</v>
      </c>
      <c r="B6" s="69" t="s">
        <v>24</v>
      </c>
      <c r="C6" s="188" t="s">
        <v>25</v>
      </c>
      <c r="D6" s="71">
        <f>433.34*6-0.04</f>
        <v>2600</v>
      </c>
    </row>
    <row r="7" spans="1:5" ht="18.75" x14ac:dyDescent="0.3">
      <c r="A7" s="62">
        <v>5</v>
      </c>
      <c r="B7" s="44" t="s">
        <v>37</v>
      </c>
      <c r="C7" s="189">
        <v>44076</v>
      </c>
      <c r="D7" s="71">
        <f>266.67*6-0.02</f>
        <v>1600</v>
      </c>
    </row>
    <row r="8" spans="1:5" ht="18.75" x14ac:dyDescent="0.3">
      <c r="A8" s="62">
        <v>6</v>
      </c>
      <c r="B8" s="44" t="s">
        <v>28</v>
      </c>
      <c r="C8" s="81" t="s">
        <v>42</v>
      </c>
      <c r="D8" s="46">
        <f>607.14*7+0.02</f>
        <v>4250</v>
      </c>
    </row>
    <row r="9" spans="1:5" ht="18.75" x14ac:dyDescent="0.3">
      <c r="A9" s="62">
        <v>7</v>
      </c>
      <c r="B9" s="44" t="s">
        <v>36</v>
      </c>
      <c r="C9" s="190">
        <v>44060</v>
      </c>
      <c r="D9" s="46">
        <f>416.67*6-0.02</f>
        <v>2500</v>
      </c>
    </row>
    <row r="10" spans="1:5" ht="18.75" x14ac:dyDescent="0.3">
      <c r="A10" s="62">
        <v>8</v>
      </c>
      <c r="B10" s="118" t="s">
        <v>30</v>
      </c>
      <c r="C10" s="191" t="s">
        <v>31</v>
      </c>
      <c r="D10" s="120">
        <f>314.29*7-0.03</f>
        <v>2200</v>
      </c>
    </row>
    <row r="11" spans="1:5" ht="38.25" thickBot="1" x14ac:dyDescent="0.35">
      <c r="A11" s="62">
        <v>9</v>
      </c>
      <c r="B11" s="32" t="s">
        <v>17</v>
      </c>
      <c r="C11" s="33" t="s">
        <v>18</v>
      </c>
      <c r="D11" s="46">
        <v>2200</v>
      </c>
    </row>
    <row r="12" spans="1:5" ht="18.75" x14ac:dyDescent="0.3">
      <c r="A12" s="62">
        <v>10</v>
      </c>
      <c r="B12" s="8" t="s">
        <v>43</v>
      </c>
      <c r="C12" s="192" t="s">
        <v>44</v>
      </c>
      <c r="D12" s="129"/>
    </row>
  </sheetData>
  <pageMargins left="0.7" right="0.7" top="0.75" bottom="0.75" header="0.3" footer="0.3"/>
  <pageSetup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5:G19"/>
  <sheetViews>
    <sheetView workbookViewId="0">
      <selection activeCell="F21" sqref="F21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9"/>
      <c r="E5" s="179"/>
      <c r="F5" s="179"/>
      <c r="G5" s="179"/>
    </row>
    <row r="6" spans="4:7" ht="26.25" x14ac:dyDescent="0.4">
      <c r="D6" s="180">
        <v>500</v>
      </c>
      <c r="E6" s="181" t="s">
        <v>40</v>
      </c>
      <c r="F6" s="182">
        <v>14</v>
      </c>
      <c r="G6" s="183">
        <f>F6*D6</f>
        <v>7000</v>
      </c>
    </row>
    <row r="7" spans="4:7" ht="26.25" x14ac:dyDescent="0.4">
      <c r="D7" s="180">
        <v>200</v>
      </c>
      <c r="E7" s="181" t="s">
        <v>40</v>
      </c>
      <c r="F7" s="182">
        <v>17</v>
      </c>
      <c r="G7" s="183">
        <f t="shared" ref="G7:G13" si="0">F7*D7</f>
        <v>3400</v>
      </c>
    </row>
    <row r="8" spans="4:7" ht="26.25" x14ac:dyDescent="0.4">
      <c r="D8" s="180">
        <v>100</v>
      </c>
      <c r="E8" s="181" t="s">
        <v>40</v>
      </c>
      <c r="F8" s="182">
        <v>7</v>
      </c>
      <c r="G8" s="183">
        <f t="shared" si="0"/>
        <v>700</v>
      </c>
    </row>
    <row r="9" spans="4:7" ht="26.25" x14ac:dyDescent="0.4">
      <c r="D9" s="180">
        <v>50</v>
      </c>
      <c r="E9" s="181" t="s">
        <v>40</v>
      </c>
      <c r="F9" s="182">
        <v>5</v>
      </c>
      <c r="G9" s="183">
        <f t="shared" si="0"/>
        <v>250</v>
      </c>
    </row>
    <row r="10" spans="4:7" ht="26.25" x14ac:dyDescent="0.4">
      <c r="D10" s="180">
        <v>20</v>
      </c>
      <c r="E10" s="181" t="s">
        <v>40</v>
      </c>
      <c r="F10" s="182">
        <v>9</v>
      </c>
      <c r="G10" s="183">
        <f t="shared" si="0"/>
        <v>180</v>
      </c>
    </row>
    <row r="11" spans="4:7" ht="26.25" x14ac:dyDescent="0.4">
      <c r="D11" s="180">
        <v>10</v>
      </c>
      <c r="E11" s="181" t="s">
        <v>40</v>
      </c>
      <c r="F11" s="182">
        <v>5</v>
      </c>
      <c r="G11" s="183">
        <f t="shared" si="0"/>
        <v>50</v>
      </c>
    </row>
    <row r="12" spans="4:7" ht="26.25" x14ac:dyDescent="0.4">
      <c r="D12" s="180">
        <v>5</v>
      </c>
      <c r="E12" s="181" t="s">
        <v>40</v>
      </c>
      <c r="F12" s="182">
        <v>10</v>
      </c>
      <c r="G12" s="183">
        <f t="shared" si="0"/>
        <v>50</v>
      </c>
    </row>
    <row r="13" spans="4:7" ht="26.25" x14ac:dyDescent="0.4">
      <c r="D13" s="180">
        <v>1</v>
      </c>
      <c r="E13" s="181" t="s">
        <v>40</v>
      </c>
      <c r="F13" s="182">
        <v>0</v>
      </c>
      <c r="G13" s="183">
        <f t="shared" si="0"/>
        <v>0</v>
      </c>
    </row>
    <row r="14" spans="4:7" ht="27" thickBot="1" x14ac:dyDescent="0.45">
      <c r="D14" s="184"/>
      <c r="G14" s="185">
        <f>SUM(G6:G13)</f>
        <v>11630</v>
      </c>
    </row>
    <row r="15" spans="4:7" ht="15.75" thickTop="1" x14ac:dyDescent="0.25"/>
    <row r="19" spans="3:3" x14ac:dyDescent="0.25">
      <c r="C19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B1:M27"/>
  <sheetViews>
    <sheetView workbookViewId="0">
      <selection activeCell="B11" sqref="B11"/>
    </sheetView>
  </sheetViews>
  <sheetFormatPr baseColWidth="10" defaultRowHeight="15" x14ac:dyDescent="0.25"/>
  <cols>
    <col min="2" max="2" width="76.7109375" customWidth="1"/>
    <col min="3" max="3" width="15.85546875" bestFit="1" customWidth="1"/>
    <col min="4" max="7" width="0" hidden="1" customWidth="1"/>
    <col min="8" max="8" width="18" customWidth="1"/>
    <col min="13" max="13" width="47.85546875" bestFit="1" customWidth="1"/>
  </cols>
  <sheetData>
    <row r="1" spans="2:13" ht="15.75" thickBot="1" x14ac:dyDescent="0.3"/>
    <row r="2" spans="2:13" ht="33.75" thickBot="1" x14ac:dyDescent="0.4">
      <c r="B2" s="257" t="s">
        <v>112</v>
      </c>
      <c r="C2" s="258"/>
      <c r="D2" s="258"/>
      <c r="E2" s="258"/>
      <c r="F2" s="258"/>
      <c r="G2" s="258"/>
      <c r="H2" s="259" t="s">
        <v>113</v>
      </c>
    </row>
    <row r="3" spans="2:13" ht="19.5" thickTop="1" x14ac:dyDescent="0.3">
      <c r="B3" s="44" t="s">
        <v>114</v>
      </c>
      <c r="C3" s="260">
        <v>44354</v>
      </c>
      <c r="D3" s="261">
        <v>300</v>
      </c>
      <c r="E3" s="72">
        <v>6</v>
      </c>
      <c r="F3" s="72"/>
      <c r="G3" s="73">
        <v>0</v>
      </c>
      <c r="H3" s="262">
        <f>D3*E3</f>
        <v>1800</v>
      </c>
    </row>
    <row r="4" spans="2:13" ht="18.75" x14ac:dyDescent="0.3">
      <c r="B4" s="44" t="s">
        <v>115</v>
      </c>
      <c r="C4" s="263">
        <v>41820</v>
      </c>
      <c r="D4" s="61">
        <v>460</v>
      </c>
      <c r="E4" s="62">
        <v>5</v>
      </c>
      <c r="F4" s="62"/>
      <c r="G4" s="63">
        <v>0</v>
      </c>
      <c r="H4" s="262">
        <f>D4*E4+D4*F4</f>
        <v>2300</v>
      </c>
    </row>
    <row r="5" spans="2:13" ht="19.5" thickBot="1" x14ac:dyDescent="0.35">
      <c r="B5" s="264" t="s">
        <v>116</v>
      </c>
      <c r="C5" s="265">
        <v>44354</v>
      </c>
      <c r="D5" s="266">
        <v>416.67</v>
      </c>
      <c r="E5" s="267">
        <v>6</v>
      </c>
      <c r="F5" s="267"/>
      <c r="G5" s="268">
        <f>D5*F5</f>
        <v>0</v>
      </c>
      <c r="H5" s="269">
        <f>D5*E5-0.02</f>
        <v>2500</v>
      </c>
    </row>
    <row r="6" spans="2:13" ht="18.75" x14ac:dyDescent="0.3">
      <c r="B6" s="44" t="s">
        <v>117</v>
      </c>
      <c r="C6" s="210">
        <v>44242</v>
      </c>
      <c r="D6" s="211">
        <v>366.67</v>
      </c>
      <c r="E6" s="214">
        <v>6</v>
      </c>
      <c r="F6" s="62"/>
      <c r="G6" s="63"/>
      <c r="H6" s="262">
        <f>D6*E6-0.02</f>
        <v>2200</v>
      </c>
    </row>
    <row r="7" spans="2:13" ht="18.75" x14ac:dyDescent="0.3">
      <c r="B7" s="69" t="s">
        <v>118</v>
      </c>
      <c r="C7" s="270" t="s">
        <v>18</v>
      </c>
      <c r="D7" s="46">
        <v>366.67</v>
      </c>
      <c r="E7" s="62">
        <v>6</v>
      </c>
      <c r="F7" s="62"/>
      <c r="G7" s="63">
        <v>0</v>
      </c>
      <c r="H7" s="262">
        <f>D7*E7+F7*D7-0.02</f>
        <v>2200</v>
      </c>
    </row>
    <row r="8" spans="2:13" ht="18.75" x14ac:dyDescent="0.3">
      <c r="B8" s="69" t="s">
        <v>119</v>
      </c>
      <c r="C8" s="188" t="s">
        <v>25</v>
      </c>
      <c r="D8" s="46">
        <v>433.34</v>
      </c>
      <c r="E8" s="214">
        <v>6</v>
      </c>
      <c r="F8" s="62"/>
      <c r="G8" s="63">
        <v>0</v>
      </c>
      <c r="H8" s="262">
        <f>D8*E8+D8*F8-0.04</f>
        <v>2600</v>
      </c>
    </row>
    <row r="9" spans="2:13" ht="27" customHeight="1" x14ac:dyDescent="0.25"/>
    <row r="10" spans="2:13" ht="27" customHeight="1" x14ac:dyDescent="0.25"/>
    <row r="15" spans="2:13" x14ac:dyDescent="0.25"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</row>
    <row r="16" spans="2:13" x14ac:dyDescent="0.25"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</row>
    <row r="17" spans="2:13" x14ac:dyDescent="0.25"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</row>
    <row r="18" spans="2:13" x14ac:dyDescent="0.25"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</row>
    <row r="19" spans="2:13" ht="18.75" x14ac:dyDescent="0.3"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2"/>
    </row>
    <row r="20" spans="2:13" ht="18.75" x14ac:dyDescent="0.3"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2"/>
    </row>
    <row r="21" spans="2:13" ht="18.75" x14ac:dyDescent="0.3">
      <c r="B21" s="272"/>
      <c r="C21" s="273"/>
      <c r="D21" s="274"/>
      <c r="E21" s="275"/>
      <c r="F21" s="275"/>
      <c r="G21" s="276"/>
      <c r="H21" s="276"/>
      <c r="I21" s="271"/>
      <c r="J21" s="271"/>
      <c r="K21" s="271"/>
      <c r="L21" s="271"/>
      <c r="M21" s="272"/>
    </row>
    <row r="22" spans="2:13" ht="18.75" x14ac:dyDescent="0.3">
      <c r="B22" s="277"/>
      <c r="C22" s="278"/>
      <c r="D22" s="274"/>
      <c r="E22" s="275"/>
      <c r="F22" s="275"/>
      <c r="G22" s="276"/>
      <c r="H22" s="276"/>
      <c r="I22" s="271"/>
      <c r="J22" s="271"/>
      <c r="K22" s="271"/>
      <c r="L22" s="271"/>
      <c r="M22" s="272"/>
    </row>
    <row r="23" spans="2:13" ht="18.75" x14ac:dyDescent="0.3">
      <c r="B23" s="272"/>
      <c r="C23" s="273"/>
      <c r="D23" s="274"/>
      <c r="E23" s="275"/>
      <c r="F23" s="275"/>
      <c r="G23" s="276"/>
      <c r="H23" s="276"/>
      <c r="I23" s="271"/>
      <c r="J23" s="271"/>
      <c r="K23" s="271"/>
      <c r="L23" s="271"/>
      <c r="M23" s="277"/>
    </row>
    <row r="24" spans="2:13" ht="18.75" x14ac:dyDescent="0.3">
      <c r="B24" s="272"/>
      <c r="C24" s="279"/>
      <c r="D24" s="280"/>
      <c r="E24" s="275"/>
      <c r="F24" s="275"/>
      <c r="G24" s="276"/>
      <c r="H24" s="276"/>
      <c r="I24" s="271"/>
      <c r="J24" s="271"/>
      <c r="K24" s="271"/>
      <c r="L24" s="271"/>
      <c r="M24" s="277"/>
    </row>
    <row r="25" spans="2:13" ht="18.75" x14ac:dyDescent="0.3">
      <c r="B25" s="272"/>
      <c r="C25" s="273"/>
      <c r="D25" s="274"/>
      <c r="E25" s="275"/>
      <c r="F25" s="275"/>
      <c r="G25" s="276"/>
      <c r="H25" s="276"/>
      <c r="I25" s="271"/>
      <c r="J25" s="271"/>
      <c r="K25" s="271"/>
      <c r="L25" s="271"/>
      <c r="M25" s="271"/>
    </row>
    <row r="26" spans="2:13" ht="18.75" x14ac:dyDescent="0.3">
      <c r="B26" s="277"/>
      <c r="C26" s="278"/>
      <c r="D26" s="274"/>
      <c r="E26" s="275"/>
      <c r="F26" s="275"/>
      <c r="G26" s="276"/>
      <c r="H26" s="276"/>
      <c r="I26" s="271"/>
      <c r="J26" s="271"/>
      <c r="K26" s="271"/>
      <c r="L26" s="271"/>
      <c r="M26" s="271"/>
    </row>
    <row r="27" spans="2:13" x14ac:dyDescent="0.25">
      <c r="B27" s="271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6"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D9*E9+D9*F9-0.06</f>
        <v>2599.98</v>
      </c>
      <c r="I9" s="74"/>
      <c r="J9" s="75"/>
      <c r="K9" s="75"/>
      <c r="L9" s="76"/>
      <c r="M9" s="53">
        <f>I9+H9+G9-L9+0.02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560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2240</v>
      </c>
      <c r="N10" s="86">
        <v>0</v>
      </c>
      <c r="O10" s="87">
        <v>0</v>
      </c>
      <c r="P10" s="88">
        <f t="shared" si="1"/>
        <v>2240</v>
      </c>
      <c r="Q10" s="89" t="s">
        <v>19</v>
      </c>
      <c r="R10" s="90"/>
      <c r="S10" s="90"/>
      <c r="T10">
        <v>4</v>
      </c>
      <c r="U10">
        <v>1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643.86</v>
      </c>
      <c r="E11" s="72">
        <v>5</v>
      </c>
      <c r="F11" s="91">
        <v>2</v>
      </c>
      <c r="G11" s="92">
        <v>0</v>
      </c>
      <c r="H11" s="64">
        <f>D11*7+D11*F11+0.26</f>
        <v>5795.0000000000009</v>
      </c>
      <c r="I11" s="93">
        <v>0</v>
      </c>
      <c r="J11" s="94"/>
      <c r="K11" s="94"/>
      <c r="L11" s="95">
        <v>1500</v>
      </c>
      <c r="M11" s="53">
        <f t="shared" si="2"/>
        <v>4295.0000000000009</v>
      </c>
      <c r="N11" s="96">
        <v>2800</v>
      </c>
      <c r="O11" s="97">
        <v>500</v>
      </c>
      <c r="P11" s="98">
        <f t="shared" si="1"/>
        <v>3795.0000000000009</v>
      </c>
      <c r="Q11" s="99" t="s">
        <v>22</v>
      </c>
      <c r="R11" s="90"/>
      <c r="S11" s="90"/>
      <c r="T11">
        <v>5</v>
      </c>
      <c r="U11">
        <v>5</v>
      </c>
      <c r="V11">
        <v>4</v>
      </c>
      <c r="W11">
        <v>5</v>
      </c>
      <c r="X11">
        <v>7</v>
      </c>
      <c r="Y11">
        <v>0</v>
      </c>
      <c r="Z11">
        <v>1</v>
      </c>
      <c r="AA11">
        <v>0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>
        <v>1</v>
      </c>
      <c r="G14" s="48">
        <v>0</v>
      </c>
      <c r="H14" s="64">
        <f>D14*E14+F14*D14+0.31</f>
        <v>2917</v>
      </c>
      <c r="I14" s="121">
        <v>0</v>
      </c>
      <c r="J14" s="122"/>
      <c r="K14" s="122"/>
      <c r="L14" s="52">
        <v>0</v>
      </c>
      <c r="M14" s="53">
        <f t="shared" si="2"/>
        <v>2917</v>
      </c>
      <c r="N14" s="123">
        <v>0</v>
      </c>
      <c r="O14" s="55">
        <v>0</v>
      </c>
      <c r="P14" s="105">
        <f>M14-O14</f>
        <v>2917</v>
      </c>
      <c r="Q14" s="124" t="s">
        <v>19</v>
      </c>
      <c r="R14" s="116"/>
      <c r="S14" s="108"/>
      <c r="T14" s="109">
        <v>4</v>
      </c>
      <c r="U14" s="117">
        <v>4</v>
      </c>
      <c r="V14" s="117">
        <v>1</v>
      </c>
      <c r="W14" s="117">
        <v>0</v>
      </c>
      <c r="X14" s="117">
        <v>0</v>
      </c>
      <c r="Y14" s="117">
        <v>1</v>
      </c>
      <c r="Z14" s="117">
        <v>1</v>
      </c>
      <c r="AA14" s="117">
        <v>2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125">
        <v>44214</v>
      </c>
      <c r="D16" s="126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>SUM(T7:T16)</f>
        <v>34</v>
      </c>
      <c r="U17" s="109">
        <f t="shared" ref="U17:W17" si="3">SUM(U7:U16)</f>
        <v>27</v>
      </c>
      <c r="V17" s="109">
        <f t="shared" si="3"/>
        <v>12</v>
      </c>
      <c r="W17" s="109">
        <f t="shared" si="3"/>
        <v>6</v>
      </c>
      <c r="X17" s="109">
        <f>SUM(X7:X16)</f>
        <v>10</v>
      </c>
      <c r="Y17" s="109">
        <f>SUM(Y7:Y16)</f>
        <v>1</v>
      </c>
      <c r="Z17" s="109">
        <f>SUM(Z7:Z16)</f>
        <v>2</v>
      </c>
      <c r="AA17" s="109">
        <f>SUM(AA7:AA16)</f>
        <v>5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26448.98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24125.32</v>
      </c>
      <c r="N18" s="144">
        <f>SUM(N8:N17)</f>
        <v>2800</v>
      </c>
      <c r="O18" s="145">
        <f>SUM(O8:O17)</f>
        <v>500</v>
      </c>
      <c r="P18" s="146">
        <f>SUM(P7:P17)</f>
        <v>23625.32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17000</v>
      </c>
      <c r="U19" s="151">
        <f t="shared" si="4"/>
        <v>5400</v>
      </c>
      <c r="V19" s="151">
        <f t="shared" si="4"/>
        <v>1200</v>
      </c>
      <c r="W19" s="152">
        <f t="shared" si="4"/>
        <v>300</v>
      </c>
      <c r="X19" s="151">
        <f t="shared" si="4"/>
        <v>200</v>
      </c>
      <c r="Y19" s="151">
        <f t="shared" si="4"/>
        <v>10</v>
      </c>
      <c r="Z19" s="151">
        <f t="shared" si="4"/>
        <v>10</v>
      </c>
      <c r="AA19" s="151">
        <f t="shared" si="4"/>
        <v>5</v>
      </c>
      <c r="AB19" s="153">
        <f>SUM(T19:AA19)</f>
        <v>24125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24125.32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3</v>
      </c>
      <c r="G9" s="73">
        <v>0</v>
      </c>
      <c r="H9" s="64">
        <f>D9*E9+D9*F9-0.06</f>
        <v>3900</v>
      </c>
      <c r="I9" s="74"/>
      <c r="J9" s="75"/>
      <c r="K9" s="75"/>
      <c r="L9" s="76"/>
      <c r="M9" s="53">
        <f>I9+H9+G9-L9</f>
        <v>3900</v>
      </c>
      <c r="N9" s="77" t="s">
        <v>26</v>
      </c>
      <c r="O9" s="55">
        <v>0</v>
      </c>
      <c r="P9" s="66">
        <f t="shared" si="1"/>
        <v>3900</v>
      </c>
      <c r="Q9" s="78" t="s">
        <v>19</v>
      </c>
      <c r="R9" s="79"/>
      <c r="S9" s="80"/>
      <c r="T9">
        <v>6</v>
      </c>
      <c r="U9">
        <v>4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840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29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2300</v>
      </c>
      <c r="O11" s="97">
        <v>500</v>
      </c>
      <c r="P11" s="98">
        <f t="shared" si="1"/>
        <v>3143</v>
      </c>
      <c r="Q11" s="99" t="s">
        <v>22</v>
      </c>
      <c r="R11" s="90"/>
      <c r="S11" s="90"/>
      <c r="T11">
        <v>4</v>
      </c>
      <c r="U11">
        <v>5</v>
      </c>
      <c r="V11">
        <v>2</v>
      </c>
      <c r="W11">
        <v>4</v>
      </c>
      <c r="X11">
        <v>5</v>
      </c>
      <c r="Y11">
        <v>10</v>
      </c>
      <c r="Z11">
        <v>8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6</v>
      </c>
      <c r="F14" s="47"/>
      <c r="G14" s="48">
        <v>0</v>
      </c>
      <c r="H14" s="64">
        <f>D14*E14+F14*D14-0.02</f>
        <v>2500</v>
      </c>
      <c r="I14" s="121">
        <v>0</v>
      </c>
      <c r="J14" s="122"/>
      <c r="K14" s="122"/>
      <c r="L14" s="52">
        <v>0</v>
      </c>
      <c r="M14" s="53">
        <f t="shared" si="2"/>
        <v>2500</v>
      </c>
      <c r="N14" s="123">
        <v>0</v>
      </c>
      <c r="O14" s="55">
        <v>0</v>
      </c>
      <c r="P14" s="105">
        <f>M14-O14</f>
        <v>2500</v>
      </c>
      <c r="Q14" s="124" t="s">
        <v>19</v>
      </c>
      <c r="R14" s="116"/>
      <c r="S14" s="108"/>
      <c r="T14" s="109">
        <v>4</v>
      </c>
      <c r="U14" s="117">
        <v>2</v>
      </c>
      <c r="V14" s="117">
        <v>1</v>
      </c>
      <c r="W14" s="117">
        <v>0</v>
      </c>
      <c r="X14" s="117">
        <v>0</v>
      </c>
      <c r="Y14" s="117">
        <v>0</v>
      </c>
      <c r="Z14" s="117">
        <v>0</v>
      </c>
      <c r="AA14" s="117">
        <v>0</v>
      </c>
      <c r="AB14" s="117"/>
    </row>
    <row r="15" spans="1:28" ht="23.25" x14ac:dyDescent="0.3">
      <c r="A15" s="31">
        <v>9</v>
      </c>
      <c r="B15" s="44" t="s">
        <v>37</v>
      </c>
      <c r="C15" s="125">
        <v>44076</v>
      </c>
      <c r="D15" s="126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125">
        <v>44214</v>
      </c>
      <c r="D16" s="126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>SUM(T7:T16)</f>
        <v>36</v>
      </c>
      <c r="U17" s="109">
        <f t="shared" ref="U17:W17" si="3">SUM(U7:U16)</f>
        <v>25</v>
      </c>
      <c r="V17" s="109">
        <f t="shared" si="3"/>
        <v>11</v>
      </c>
      <c r="W17" s="109">
        <f t="shared" si="3"/>
        <v>5</v>
      </c>
      <c r="X17" s="109">
        <f>SUM(X7:X16)</f>
        <v>7</v>
      </c>
      <c r="Y17" s="109">
        <f>SUM(Y7:Y16)</f>
        <v>10</v>
      </c>
      <c r="Z17" s="109">
        <f>SUM(Z7:Z16)</f>
        <v>8</v>
      </c>
      <c r="AA17" s="109">
        <f>SUM(AA7:AA16)</f>
        <v>6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26680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24636.32</v>
      </c>
      <c r="N18" s="144">
        <f>SUM(N8:N17)</f>
        <v>2300</v>
      </c>
      <c r="O18" s="145">
        <f>SUM(O8:O17)</f>
        <v>500</v>
      </c>
      <c r="P18" s="146">
        <f>SUM(P7:P17)</f>
        <v>24136.32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18000</v>
      </c>
      <c r="U19" s="151">
        <f t="shared" si="4"/>
        <v>5000</v>
      </c>
      <c r="V19" s="151">
        <f t="shared" si="4"/>
        <v>1100</v>
      </c>
      <c r="W19" s="152">
        <f t="shared" si="4"/>
        <v>250</v>
      </c>
      <c r="X19" s="151">
        <f t="shared" si="4"/>
        <v>140</v>
      </c>
      <c r="Y19" s="151">
        <f t="shared" si="4"/>
        <v>100</v>
      </c>
      <c r="Z19" s="151">
        <f t="shared" si="4"/>
        <v>40</v>
      </c>
      <c r="AA19" s="151">
        <f t="shared" si="4"/>
        <v>6</v>
      </c>
      <c r="AB19" s="153">
        <f>SUM(T19:AA19)</f>
        <v>24636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24636.32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D1" zoomScale="115" zoomScaleNormal="115" workbookViewId="0">
      <selection activeCell="N12" sqref="N1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54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8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0</v>
      </c>
      <c r="G9" s="73">
        <v>0</v>
      </c>
      <c r="H9" s="64">
        <f>D9*E9+D9*F9-0.04</f>
        <v>2600</v>
      </c>
      <c r="I9" s="74"/>
      <c r="J9" s="75"/>
      <c r="K9" s="75"/>
      <c r="L9" s="76"/>
      <c r="M9" s="53">
        <f>I9+H9+G9-L9</f>
        <v>2600</v>
      </c>
      <c r="N9" s="77" t="s">
        <v>26</v>
      </c>
      <c r="O9" s="55">
        <v>0</v>
      </c>
      <c r="P9" s="66">
        <f t="shared" si="1"/>
        <v>2600</v>
      </c>
      <c r="Q9" s="78" t="s">
        <v>19</v>
      </c>
      <c r="R9" s="79"/>
      <c r="S9" s="80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700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8" si="2">I10+H10+G10-L10</f>
        <v>2380</v>
      </c>
      <c r="N10" s="86">
        <v>0</v>
      </c>
      <c r="O10" s="87">
        <v>0</v>
      </c>
      <c r="P10" s="88">
        <f t="shared" si="1"/>
        <v>2380</v>
      </c>
      <c r="Q10" s="89" t="s">
        <v>19</v>
      </c>
      <c r="R10" s="90"/>
      <c r="S10" s="90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1800</v>
      </c>
      <c r="O11" s="97">
        <v>0</v>
      </c>
      <c r="P11" s="98">
        <f t="shared" si="1"/>
        <v>3643</v>
      </c>
      <c r="Q11" s="99" t="s">
        <v>22</v>
      </c>
      <c r="R11" s="90"/>
      <c r="S11" s="90"/>
      <c r="T11">
        <v>6</v>
      </c>
      <c r="U11">
        <v>2</v>
      </c>
      <c r="V11">
        <v>0</v>
      </c>
      <c r="W11">
        <v>2</v>
      </c>
      <c r="X11">
        <v>5</v>
      </c>
      <c r="Y11">
        <v>4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118" t="s">
        <v>36</v>
      </c>
      <c r="C14" s="119">
        <v>44060</v>
      </c>
      <c r="D14" s="120">
        <v>416.67</v>
      </c>
      <c r="E14" s="47">
        <v>1</v>
      </c>
      <c r="F14" s="47"/>
      <c r="G14" s="48">
        <v>0</v>
      </c>
      <c r="H14" s="64">
        <f>D14*E14+F14*D14+0.33</f>
        <v>417</v>
      </c>
      <c r="I14" s="121">
        <v>0</v>
      </c>
      <c r="J14" s="122"/>
      <c r="K14" s="122"/>
      <c r="L14" s="52">
        <v>0</v>
      </c>
      <c r="M14" s="53">
        <f t="shared" si="2"/>
        <v>417</v>
      </c>
      <c r="N14" s="123">
        <v>0</v>
      </c>
      <c r="O14" s="55">
        <v>0</v>
      </c>
      <c r="P14" s="105">
        <f>M14-O14</f>
        <v>417</v>
      </c>
      <c r="Q14" s="124" t="s">
        <v>19</v>
      </c>
      <c r="R14" s="116"/>
      <c r="S14" s="108"/>
      <c r="T14" s="109">
        <v>0</v>
      </c>
      <c r="U14" s="117">
        <v>2</v>
      </c>
      <c r="V14" s="117">
        <v>0</v>
      </c>
      <c r="W14" s="117">
        <v>0</v>
      </c>
      <c r="X14" s="117">
        <v>0</v>
      </c>
      <c r="Y14" s="117">
        <v>1</v>
      </c>
      <c r="Z14" s="117">
        <v>1</v>
      </c>
      <c r="AA14" s="117">
        <v>2</v>
      </c>
      <c r="AB14" s="117"/>
    </row>
    <row r="15" spans="1:28" ht="23.25" x14ac:dyDescent="0.3">
      <c r="A15" s="31">
        <v>9</v>
      </c>
      <c r="B15" s="44" t="s">
        <v>37</v>
      </c>
      <c r="C15" s="210">
        <v>44076</v>
      </c>
      <c r="D15" s="211">
        <v>266.67</v>
      </c>
      <c r="E15" s="62">
        <v>6</v>
      </c>
      <c r="F15" s="62"/>
      <c r="G15" s="63">
        <v>0</v>
      </c>
      <c r="H15" s="64">
        <f>D15*E15-0.02</f>
        <v>1600</v>
      </c>
      <c r="I15" s="121">
        <v>0</v>
      </c>
      <c r="J15" s="122"/>
      <c r="K15" s="122"/>
      <c r="L15" s="52">
        <v>0</v>
      </c>
      <c r="M15" s="53">
        <f t="shared" si="2"/>
        <v>1600</v>
      </c>
      <c r="N15" s="123">
        <v>0</v>
      </c>
      <c r="O15" s="55">
        <v>0</v>
      </c>
      <c r="P15" s="105">
        <f>M15-O15</f>
        <v>1600</v>
      </c>
      <c r="Q15" s="124" t="s">
        <v>19</v>
      </c>
      <c r="R15" s="116"/>
      <c r="S15" s="108"/>
      <c r="T15" s="196">
        <v>1</v>
      </c>
      <c r="U15" s="197">
        <v>5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3.25" x14ac:dyDescent="0.3">
      <c r="A16" s="31">
        <v>10</v>
      </c>
      <c r="B16" s="44" t="s">
        <v>55</v>
      </c>
      <c r="C16" s="210">
        <v>44242</v>
      </c>
      <c r="D16" s="211">
        <v>366.67</v>
      </c>
      <c r="E16" s="62">
        <v>6</v>
      </c>
      <c r="F16" s="62"/>
      <c r="G16" s="63"/>
      <c r="H16" s="64">
        <f>D16*E16-0.02</f>
        <v>2200</v>
      </c>
      <c r="I16" s="208"/>
      <c r="J16" s="208"/>
      <c r="K16" s="208"/>
      <c r="L16" s="209">
        <v>0</v>
      </c>
      <c r="M16" s="53">
        <f t="shared" si="2"/>
        <v>2200</v>
      </c>
      <c r="N16" s="193">
        <v>0</v>
      </c>
      <c r="O16" s="194">
        <v>0</v>
      </c>
      <c r="P16" s="105">
        <f>M16-O16</f>
        <v>2200</v>
      </c>
      <c r="Q16" s="124" t="s">
        <v>19</v>
      </c>
      <c r="R16" s="116"/>
      <c r="S16" s="108"/>
      <c r="T16" s="196">
        <v>3</v>
      </c>
      <c r="U16" s="197">
        <v>3</v>
      </c>
      <c r="V16" s="197">
        <v>1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17"/>
    </row>
    <row r="17" spans="1:28" ht="24" thickBot="1" x14ac:dyDescent="0.35">
      <c r="A17" s="31">
        <v>11</v>
      </c>
      <c r="B17" s="44" t="s">
        <v>50</v>
      </c>
      <c r="C17" s="210">
        <v>44214</v>
      </c>
      <c r="D17" s="211">
        <v>333.33</v>
      </c>
      <c r="E17" s="62">
        <v>6</v>
      </c>
      <c r="F17" s="62"/>
      <c r="G17" s="63">
        <v>0</v>
      </c>
      <c r="H17" s="64">
        <f>D17*E17+0.02</f>
        <v>2000</v>
      </c>
      <c r="I17" s="111"/>
      <c r="J17" s="111"/>
      <c r="K17" s="111"/>
      <c r="L17" s="112"/>
      <c r="M17" s="53">
        <f t="shared" si="2"/>
        <v>2000</v>
      </c>
      <c r="N17" s="193"/>
      <c r="O17" s="194"/>
      <c r="P17" s="105">
        <f>M17-O17</f>
        <v>2000</v>
      </c>
      <c r="Q17" s="124" t="s">
        <v>19</v>
      </c>
      <c r="R17" s="116"/>
      <c r="S17" s="108"/>
      <c r="T17" s="127">
        <v>3</v>
      </c>
      <c r="U17" s="128">
        <v>2</v>
      </c>
      <c r="V17" s="128">
        <v>1</v>
      </c>
      <c r="W17" s="128">
        <v>0</v>
      </c>
      <c r="X17" s="128">
        <v>0</v>
      </c>
      <c r="Y17" s="128">
        <v>0</v>
      </c>
      <c r="Z17" s="128">
        <v>0</v>
      </c>
      <c r="AA17" s="128">
        <v>0</v>
      </c>
      <c r="AB17" s="117"/>
    </row>
    <row r="18" spans="1:28" ht="17.25" thickTop="1" thickBot="1" x14ac:dyDescent="0.3">
      <c r="D18" s="129"/>
      <c r="E18" s="6"/>
      <c r="F18" s="1"/>
      <c r="G18" s="48">
        <v>0</v>
      </c>
      <c r="H18" s="7">
        <v>0</v>
      </c>
      <c r="I18" s="130"/>
      <c r="J18" s="130"/>
      <c r="K18" s="130"/>
      <c r="L18" s="131">
        <v>0</v>
      </c>
      <c r="M18" s="132">
        <f t="shared" si="2"/>
        <v>0</v>
      </c>
      <c r="N18" s="133">
        <v>0</v>
      </c>
      <c r="O18" s="134">
        <v>0</v>
      </c>
      <c r="P18" s="88">
        <f t="shared" si="1"/>
        <v>0</v>
      </c>
      <c r="Q18" s="43"/>
      <c r="S18" s="109"/>
      <c r="T18" s="109">
        <f>SUM(T7:T17)</f>
        <v>34</v>
      </c>
      <c r="U18" s="109">
        <f t="shared" ref="U18:W18" si="3">SUM(U7:U17)</f>
        <v>25</v>
      </c>
      <c r="V18" s="109">
        <f t="shared" si="3"/>
        <v>9</v>
      </c>
      <c r="W18" s="109">
        <f t="shared" si="3"/>
        <v>4</v>
      </c>
      <c r="X18" s="109">
        <f>SUM(X7:X17)</f>
        <v>7</v>
      </c>
      <c r="Y18" s="109">
        <f>SUM(Y7:Y17)</f>
        <v>6</v>
      </c>
      <c r="Z18" s="109">
        <f>SUM(Z7:Z17)</f>
        <v>1</v>
      </c>
      <c r="AA18" s="109">
        <f>SUM(AA7:AA17)</f>
        <v>8</v>
      </c>
    </row>
    <row r="19" spans="1:28" ht="20.25" thickTop="1" thickBot="1" x14ac:dyDescent="0.35">
      <c r="B19" s="135"/>
      <c r="C19" s="136"/>
      <c r="D19" s="137"/>
      <c r="E19" s="6"/>
      <c r="F19" s="138"/>
      <c r="G19" s="139" t="s">
        <v>38</v>
      </c>
      <c r="H19" s="140">
        <f>SUM(H7:H18)</f>
        <v>25497</v>
      </c>
      <c r="I19" s="141">
        <f>SUM(I7:I18)</f>
        <v>168.38</v>
      </c>
      <c r="J19" s="141"/>
      <c r="K19" s="141"/>
      <c r="L19" s="142">
        <f>SUM(L7:L18)</f>
        <v>2504</v>
      </c>
      <c r="M19" s="143">
        <f>SUM(M7:M18)</f>
        <v>23313.32</v>
      </c>
      <c r="N19" s="144">
        <f>SUM(N8:N18)</f>
        <v>1800</v>
      </c>
      <c r="O19" s="145">
        <f>SUM(O8:O18)</f>
        <v>0</v>
      </c>
      <c r="P19" s="146">
        <f>SUM(P7:P18)</f>
        <v>23313.32</v>
      </c>
      <c r="Q19" s="124"/>
      <c r="S19" s="109"/>
      <c r="T19" s="109"/>
      <c r="U19" s="109"/>
      <c r="V19" s="109"/>
      <c r="Z19">
        <v>0</v>
      </c>
      <c r="AB19" t="s">
        <v>0</v>
      </c>
    </row>
    <row r="20" spans="1:28" ht="19.5" thickBot="1" x14ac:dyDescent="0.35">
      <c r="B20" s="147"/>
      <c r="C20" s="148"/>
      <c r="D20" s="149"/>
      <c r="M20" s="7"/>
      <c r="P20">
        <v>1616</v>
      </c>
      <c r="Q20" s="150"/>
      <c r="S20" s="109"/>
      <c r="T20" s="151">
        <f t="shared" ref="T20:AA20" si="4">T18*T6</f>
        <v>17000</v>
      </c>
      <c r="U20" s="151">
        <f t="shared" si="4"/>
        <v>5000</v>
      </c>
      <c r="V20" s="151">
        <f t="shared" si="4"/>
        <v>900</v>
      </c>
      <c r="W20" s="152">
        <f t="shared" si="4"/>
        <v>200</v>
      </c>
      <c r="X20" s="151">
        <f t="shared" si="4"/>
        <v>140</v>
      </c>
      <c r="Y20" s="151">
        <f t="shared" si="4"/>
        <v>60</v>
      </c>
      <c r="Z20" s="151">
        <f t="shared" si="4"/>
        <v>5</v>
      </c>
      <c r="AA20" s="151">
        <f t="shared" si="4"/>
        <v>8</v>
      </c>
      <c r="AB20" s="153">
        <f>SUM(T20:AA20)</f>
        <v>23313</v>
      </c>
    </row>
    <row r="21" spans="1:28" ht="21.75" thickBot="1" x14ac:dyDescent="0.4">
      <c r="B21" s="154"/>
      <c r="C21" s="154"/>
      <c r="D21" s="31"/>
      <c r="E21" s="154"/>
      <c r="F21" s="155"/>
      <c r="G21" s="155"/>
      <c r="H21" s="156"/>
      <c r="I21" s="156"/>
      <c r="J21" s="156"/>
      <c r="K21" s="156"/>
      <c r="L21" s="156"/>
      <c r="M21" s="155"/>
      <c r="N21" s="155"/>
      <c r="P21" s="157"/>
      <c r="T21" s="158"/>
      <c r="U21" s="158"/>
      <c r="V21" s="158"/>
      <c r="W21" s="158"/>
      <c r="X21" s="158"/>
      <c r="Y21" s="158"/>
      <c r="Z21" s="158"/>
      <c r="AA21" s="158"/>
      <c r="AB21" t="s">
        <v>0</v>
      </c>
    </row>
    <row r="22" spans="1:28" ht="21.75" thickTop="1" x14ac:dyDescent="0.35">
      <c r="B22" s="154"/>
      <c r="C22" s="154"/>
      <c r="D22" s="159"/>
      <c r="E22" s="160"/>
      <c r="F22" s="160"/>
      <c r="G22" s="160"/>
      <c r="H22" s="156"/>
      <c r="I22" s="161"/>
      <c r="J22" s="161"/>
      <c r="K22" s="161"/>
      <c r="L22" s="161"/>
      <c r="M22" s="162"/>
      <c r="N22" s="282"/>
      <c r="O22" s="282"/>
      <c r="P22" s="283">
        <f>M19+P21</f>
        <v>23313.32</v>
      </c>
      <c r="Q22" s="283"/>
      <c r="W22" s="10"/>
      <c r="X22" s="163"/>
    </row>
    <row r="23" spans="1:28" ht="18.75" x14ac:dyDescent="0.3">
      <c r="B23" s="154"/>
      <c r="C23" s="154"/>
      <c r="D23" s="159"/>
      <c r="E23" s="160"/>
      <c r="F23" s="160"/>
      <c r="G23" s="160"/>
      <c r="H23" s="164"/>
      <c r="I23" s="165"/>
      <c r="J23" s="165"/>
      <c r="K23" s="165"/>
      <c r="L23" s="166"/>
      <c r="M23" s="162"/>
      <c r="N23" s="162"/>
      <c r="O23" s="162"/>
      <c r="P23" s="162"/>
      <c r="Q23" s="162"/>
      <c r="X23">
        <v>0</v>
      </c>
    </row>
    <row r="24" spans="1:28" x14ac:dyDescent="0.25">
      <c r="D24" s="159"/>
      <c r="E24" s="160"/>
      <c r="F24" s="160"/>
      <c r="G24" s="160"/>
      <c r="H24" s="167"/>
      <c r="I24" s="168"/>
      <c r="J24" s="168"/>
      <c r="K24" s="168"/>
      <c r="L24" s="168"/>
      <c r="M24" s="169"/>
    </row>
    <row r="25" spans="1:28" ht="15.75" x14ac:dyDescent="0.25">
      <c r="B25" s="170"/>
      <c r="D25" s="1"/>
      <c r="E25" s="171"/>
      <c r="F25" s="6"/>
      <c r="G25" s="6"/>
      <c r="I25" s="172"/>
      <c r="J25" s="172"/>
      <c r="K25" s="172"/>
      <c r="L25" s="173"/>
    </row>
    <row r="26" spans="1:28" ht="21" x14ac:dyDescent="0.35">
      <c r="C26" s="174"/>
      <c r="D26" s="175"/>
    </row>
    <row r="27" spans="1:28" ht="18.75" x14ac:dyDescent="0.3">
      <c r="B27" s="176"/>
      <c r="D27" s="1"/>
    </row>
    <row r="28" spans="1:28" ht="18.75" x14ac:dyDescent="0.3">
      <c r="B28" s="8"/>
    </row>
    <row r="29" spans="1:28" ht="18.75" x14ac:dyDescent="0.3">
      <c r="B29" s="8"/>
    </row>
  </sheetData>
  <mergeCells count="3">
    <mergeCell ref="B1:O2"/>
    <mergeCell ref="N22:O22"/>
    <mergeCell ref="P22:Q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L1" workbookViewId="0">
      <selection activeCell="O11" sqref="O1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81" t="s">
        <v>57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</row>
    <row r="2" spans="1:28" ht="21" x14ac:dyDescent="0.35"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/>
      <c r="H7" s="37">
        <f>D7*E7+F7*D7-0.02</f>
        <v>2200</v>
      </c>
      <c r="I7" s="38"/>
      <c r="J7" s="38"/>
      <c r="K7" s="38"/>
      <c r="L7" s="39"/>
      <c r="M7" s="40">
        <f t="shared" ref="M7" si="0">I7+H7+G7-L7</f>
        <v>2200</v>
      </c>
      <c r="N7" s="41">
        <v>0</v>
      </c>
      <c r="O7" s="39">
        <v>0</v>
      </c>
      <c r="P7" s="42">
        <f t="shared" ref="P7:P17" si="1">M7-O7</f>
        <v>2200</v>
      </c>
      <c r="Q7" s="43" t="s">
        <v>19</v>
      </c>
      <c r="T7">
        <v>4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23</v>
      </c>
      <c r="C8" s="60">
        <v>41820</v>
      </c>
      <c r="D8" s="61">
        <v>460</v>
      </c>
      <c r="E8" s="62">
        <v>5</v>
      </c>
      <c r="F8" s="62"/>
      <c r="G8" s="63">
        <v>0</v>
      </c>
      <c r="H8" s="64">
        <f>D8*E8+D8*F8</f>
        <v>2300</v>
      </c>
      <c r="I8" s="65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66">
        <f t="shared" si="1"/>
        <v>1920.3199999999997</v>
      </c>
      <c r="Q8" s="57" t="s">
        <v>22</v>
      </c>
      <c r="R8" s="67"/>
      <c r="S8" s="68"/>
      <c r="T8">
        <v>3</v>
      </c>
      <c r="U8">
        <v>2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9" t="s">
        <v>24</v>
      </c>
      <c r="C9" s="70" t="s">
        <v>25</v>
      </c>
      <c r="D9" s="71">
        <v>433.34</v>
      </c>
      <c r="E9" s="72">
        <v>6</v>
      </c>
      <c r="F9" s="72">
        <v>2</v>
      </c>
      <c r="G9" s="73">
        <v>0</v>
      </c>
      <c r="H9" s="64">
        <f>D9*E9+D9*F9+0.28</f>
        <v>3467</v>
      </c>
      <c r="I9" s="74"/>
      <c r="J9" s="75"/>
      <c r="K9" s="75"/>
      <c r="L9" s="76"/>
      <c r="M9" s="53">
        <f>I9+H9+G9-L9</f>
        <v>3467</v>
      </c>
      <c r="N9" s="77" t="s">
        <v>26</v>
      </c>
      <c r="O9" s="55">
        <v>0</v>
      </c>
      <c r="P9" s="66">
        <f t="shared" si="1"/>
        <v>3467</v>
      </c>
      <c r="Q9" s="78" t="s">
        <v>19</v>
      </c>
      <c r="R9" s="79"/>
      <c r="S9" s="80"/>
      <c r="T9">
        <v>4</v>
      </c>
      <c r="U9">
        <v>5</v>
      </c>
      <c r="V9">
        <v>4</v>
      </c>
      <c r="W9">
        <v>1</v>
      </c>
      <c r="X9">
        <v>0</v>
      </c>
      <c r="Y9">
        <v>1</v>
      </c>
      <c r="Z9">
        <v>1</v>
      </c>
      <c r="AA9">
        <v>2</v>
      </c>
    </row>
    <row r="10" spans="1:28" ht="19.5" thickBot="1" x14ac:dyDescent="0.35">
      <c r="A10" s="31">
        <v>4</v>
      </c>
      <c r="B10" s="44" t="s">
        <v>27</v>
      </c>
      <c r="C10" s="81"/>
      <c r="D10" s="46">
        <v>280</v>
      </c>
      <c r="E10" s="62">
        <v>5</v>
      </c>
      <c r="F10" s="62">
        <v>1</v>
      </c>
      <c r="G10" s="82">
        <v>840</v>
      </c>
      <c r="H10" s="64">
        <f>D10*E10+D10*F10</f>
        <v>1680</v>
      </c>
      <c r="I10" s="83"/>
      <c r="J10" s="84"/>
      <c r="K10" s="84"/>
      <c r="L10" s="85">
        <v>0</v>
      </c>
      <c r="M10" s="53">
        <f t="shared" ref="M10:M17" si="2">I10+H10+G10-L10</f>
        <v>2520</v>
      </c>
      <c r="N10" s="86">
        <v>0</v>
      </c>
      <c r="O10" s="87">
        <v>0</v>
      </c>
      <c r="P10" s="88">
        <f t="shared" si="1"/>
        <v>2520</v>
      </c>
      <c r="Q10" s="89" t="s">
        <v>19</v>
      </c>
      <c r="R10" s="90"/>
      <c r="S10" s="90"/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8" ht="19.5" thickBot="1" x14ac:dyDescent="0.35">
      <c r="A11" s="31">
        <v>5</v>
      </c>
      <c r="B11" s="44" t="s">
        <v>28</v>
      </c>
      <c r="C11" s="81" t="s">
        <v>56</v>
      </c>
      <c r="D11" s="71">
        <v>642.86</v>
      </c>
      <c r="E11" s="72">
        <v>5</v>
      </c>
      <c r="F11" s="91">
        <v>1</v>
      </c>
      <c r="G11" s="92">
        <v>0</v>
      </c>
      <c r="H11" s="64">
        <f>D11*7+D11*F11+0.12</f>
        <v>5143</v>
      </c>
      <c r="I11" s="93">
        <v>0</v>
      </c>
      <c r="J11" s="94"/>
      <c r="K11" s="94"/>
      <c r="L11" s="95">
        <v>1500</v>
      </c>
      <c r="M11" s="53">
        <f t="shared" si="2"/>
        <v>3643</v>
      </c>
      <c r="N11" s="96">
        <v>1800</v>
      </c>
      <c r="O11" s="97">
        <v>500</v>
      </c>
      <c r="P11" s="98">
        <f t="shared" si="1"/>
        <v>3143</v>
      </c>
      <c r="Q11" s="99" t="s">
        <v>22</v>
      </c>
      <c r="R11" s="90"/>
      <c r="S11" s="90"/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0</v>
      </c>
      <c r="AA11">
        <v>3</v>
      </c>
    </row>
    <row r="12" spans="1:28" ht="18.75" x14ac:dyDescent="0.3">
      <c r="A12" s="31">
        <v>6</v>
      </c>
      <c r="B12" s="44" t="s">
        <v>30</v>
      </c>
      <c r="C12" s="100" t="s">
        <v>31</v>
      </c>
      <c r="D12" s="71">
        <v>357.14</v>
      </c>
      <c r="E12" s="72">
        <v>5</v>
      </c>
      <c r="F12" s="72">
        <v>1</v>
      </c>
      <c r="G12" s="73">
        <v>0</v>
      </c>
      <c r="H12" s="64">
        <f>D12*7+D12*F12-0.12</f>
        <v>2857</v>
      </c>
      <c r="I12" s="101">
        <v>0</v>
      </c>
      <c r="J12" s="102"/>
      <c r="K12" s="102"/>
      <c r="L12" s="103">
        <v>1004</v>
      </c>
      <c r="M12" s="53">
        <f t="shared" si="2"/>
        <v>1853</v>
      </c>
      <c r="N12" s="104">
        <v>0</v>
      </c>
      <c r="O12" s="87">
        <v>0</v>
      </c>
      <c r="P12" s="105">
        <f t="shared" si="1"/>
        <v>1853</v>
      </c>
      <c r="Q12" s="106" t="s">
        <v>22</v>
      </c>
      <c r="R12" s="107"/>
      <c r="S12" s="108"/>
      <c r="T12" s="109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0</v>
      </c>
      <c r="AA12">
        <v>3</v>
      </c>
    </row>
    <row r="13" spans="1:28" ht="32.25" x14ac:dyDescent="0.3">
      <c r="A13" s="31">
        <v>7</v>
      </c>
      <c r="B13" s="69" t="s">
        <v>34</v>
      </c>
      <c r="C13" s="113" t="s">
        <v>35</v>
      </c>
      <c r="D13" s="206">
        <v>416.67</v>
      </c>
      <c r="E13" s="207">
        <v>6</v>
      </c>
      <c r="F13" s="207"/>
      <c r="G13" s="63">
        <v>0</v>
      </c>
      <c r="H13" s="63">
        <f>D13*E13+F13*D13-0.02</f>
        <v>2500</v>
      </c>
      <c r="I13" s="111"/>
      <c r="J13" s="111"/>
      <c r="K13" s="111"/>
      <c r="L13" s="112">
        <v>0</v>
      </c>
      <c r="M13" s="114">
        <f t="shared" si="2"/>
        <v>2500</v>
      </c>
      <c r="N13" s="82">
        <v>0</v>
      </c>
      <c r="O13" s="112">
        <v>0</v>
      </c>
      <c r="P13" s="88">
        <f t="shared" si="1"/>
        <v>2500</v>
      </c>
      <c r="Q13" s="115" t="s">
        <v>19</v>
      </c>
      <c r="R13" s="116"/>
      <c r="S13" s="108"/>
      <c r="T13" s="109">
        <v>5</v>
      </c>
      <c r="U13" s="117">
        <v>0</v>
      </c>
      <c r="V13" s="117">
        <v>0</v>
      </c>
      <c r="W13" s="117">
        <v>0</v>
      </c>
      <c r="X13" s="117">
        <v>0</v>
      </c>
      <c r="Y13" s="117">
        <v>0</v>
      </c>
      <c r="Z13" s="117">
        <v>0</v>
      </c>
      <c r="AA13" s="117">
        <v>0</v>
      </c>
      <c r="AB13" s="117"/>
    </row>
    <row r="14" spans="1:28" ht="23.25" x14ac:dyDescent="0.3">
      <c r="A14" s="31">
        <v>8</v>
      </c>
      <c r="B14" s="44" t="s">
        <v>37</v>
      </c>
      <c r="C14" s="210">
        <v>44076</v>
      </c>
      <c r="D14" s="211">
        <v>266.67</v>
      </c>
      <c r="E14" s="62">
        <v>6</v>
      </c>
      <c r="F14" s="62"/>
      <c r="G14" s="63">
        <v>0</v>
      </c>
      <c r="H14" s="64">
        <f>D14*E14-0.02</f>
        <v>1600</v>
      </c>
      <c r="I14" s="121">
        <v>0</v>
      </c>
      <c r="J14" s="122"/>
      <c r="K14" s="122"/>
      <c r="L14" s="52">
        <v>0</v>
      </c>
      <c r="M14" s="53">
        <f t="shared" si="2"/>
        <v>1600</v>
      </c>
      <c r="N14" s="123">
        <v>0</v>
      </c>
      <c r="O14" s="55">
        <v>0</v>
      </c>
      <c r="P14" s="105">
        <f>M14-O14</f>
        <v>1600</v>
      </c>
      <c r="Q14" s="124" t="s">
        <v>19</v>
      </c>
      <c r="R14" s="116"/>
      <c r="S14" s="108"/>
      <c r="T14" s="196">
        <v>1</v>
      </c>
      <c r="U14" s="197">
        <v>5</v>
      </c>
      <c r="V14" s="197">
        <v>1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17"/>
    </row>
    <row r="15" spans="1:28" ht="23.25" x14ac:dyDescent="0.3">
      <c r="A15" s="31">
        <v>9</v>
      </c>
      <c r="B15" s="44" t="s">
        <v>55</v>
      </c>
      <c r="C15" s="210">
        <v>44242</v>
      </c>
      <c r="D15" s="211">
        <v>366.67</v>
      </c>
      <c r="E15" s="62">
        <v>6</v>
      </c>
      <c r="F15" s="62"/>
      <c r="G15" s="63"/>
      <c r="H15" s="64">
        <f>D15*E15-0.02</f>
        <v>2200</v>
      </c>
      <c r="I15" s="208"/>
      <c r="J15" s="208"/>
      <c r="K15" s="208"/>
      <c r="L15" s="209">
        <v>0</v>
      </c>
      <c r="M15" s="53">
        <f t="shared" si="2"/>
        <v>2200</v>
      </c>
      <c r="N15" s="193">
        <v>0</v>
      </c>
      <c r="O15" s="194">
        <v>0</v>
      </c>
      <c r="P15" s="105">
        <f>M15-O15</f>
        <v>2200</v>
      </c>
      <c r="Q15" s="124" t="s">
        <v>19</v>
      </c>
      <c r="R15" s="116"/>
      <c r="S15" s="108"/>
      <c r="T15" s="196">
        <v>3</v>
      </c>
      <c r="U15" s="197">
        <v>3</v>
      </c>
      <c r="V15" s="197">
        <v>1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17"/>
    </row>
    <row r="16" spans="1:28" ht="24" thickBot="1" x14ac:dyDescent="0.35">
      <c r="A16" s="31">
        <v>10</v>
      </c>
      <c r="B16" s="44" t="s">
        <v>50</v>
      </c>
      <c r="C16" s="210">
        <v>44214</v>
      </c>
      <c r="D16" s="211">
        <v>333.33</v>
      </c>
      <c r="E16" s="62">
        <v>6</v>
      </c>
      <c r="F16" s="62"/>
      <c r="G16" s="63">
        <v>0</v>
      </c>
      <c r="H16" s="64">
        <f>D16*E16+0.02</f>
        <v>2000</v>
      </c>
      <c r="I16" s="111"/>
      <c r="J16" s="111"/>
      <c r="K16" s="111"/>
      <c r="L16" s="112"/>
      <c r="M16" s="53">
        <f t="shared" si="2"/>
        <v>2000</v>
      </c>
      <c r="N16" s="193"/>
      <c r="O16" s="194"/>
      <c r="P16" s="105">
        <f>M16-O16</f>
        <v>2000</v>
      </c>
      <c r="Q16" s="124" t="s">
        <v>19</v>
      </c>
      <c r="R16" s="116"/>
      <c r="S16" s="108"/>
      <c r="T16" s="127">
        <v>3</v>
      </c>
      <c r="U16" s="128">
        <v>2</v>
      </c>
      <c r="V16" s="128">
        <v>1</v>
      </c>
      <c r="W16" s="128">
        <v>0</v>
      </c>
      <c r="X16" s="128">
        <v>0</v>
      </c>
      <c r="Y16" s="128">
        <v>0</v>
      </c>
      <c r="Z16" s="128">
        <v>0</v>
      </c>
      <c r="AA16" s="128">
        <v>0</v>
      </c>
      <c r="AB16" s="117"/>
    </row>
    <row r="17" spans="2:28" ht="17.25" thickTop="1" thickBot="1" x14ac:dyDescent="0.3">
      <c r="D17" s="129"/>
      <c r="E17" s="6"/>
      <c r="F17" s="1"/>
      <c r="G17" s="48">
        <v>0</v>
      </c>
      <c r="H17" s="7">
        <v>0</v>
      </c>
      <c r="I17" s="130"/>
      <c r="J17" s="130"/>
      <c r="K17" s="130"/>
      <c r="L17" s="131">
        <v>0</v>
      </c>
      <c r="M17" s="132">
        <f t="shared" si="2"/>
        <v>0</v>
      </c>
      <c r="N17" s="133">
        <v>0</v>
      </c>
      <c r="O17" s="134">
        <v>0</v>
      </c>
      <c r="P17" s="88">
        <f t="shared" si="1"/>
        <v>0</v>
      </c>
      <c r="Q17" s="43"/>
      <c r="S17" s="109"/>
      <c r="T17" s="109">
        <f t="shared" ref="T17:AA17" si="3">SUM(T7:T16)</f>
        <v>33</v>
      </c>
      <c r="U17" s="109">
        <f t="shared" si="3"/>
        <v>27</v>
      </c>
      <c r="V17" s="109">
        <f t="shared" si="3"/>
        <v>15</v>
      </c>
      <c r="W17" s="109">
        <f t="shared" si="3"/>
        <v>6</v>
      </c>
      <c r="X17" s="109">
        <f t="shared" si="3"/>
        <v>7</v>
      </c>
      <c r="Y17" s="109">
        <f t="shared" si="3"/>
        <v>5</v>
      </c>
      <c r="Z17" s="109">
        <f t="shared" si="3"/>
        <v>1</v>
      </c>
      <c r="AA17" s="109">
        <f t="shared" si="3"/>
        <v>8</v>
      </c>
    </row>
    <row r="18" spans="2:28" ht="20.25" thickTop="1" thickBot="1" x14ac:dyDescent="0.35">
      <c r="B18" s="135"/>
      <c r="C18" s="136"/>
      <c r="D18" s="137"/>
      <c r="E18" s="6"/>
      <c r="F18" s="138"/>
      <c r="G18" s="139" t="s">
        <v>38</v>
      </c>
      <c r="H18" s="140">
        <f>SUM(H7:H17)</f>
        <v>25947</v>
      </c>
      <c r="I18" s="141">
        <f>SUM(I7:I17)</f>
        <v>168.38</v>
      </c>
      <c r="J18" s="141"/>
      <c r="K18" s="141"/>
      <c r="L18" s="142">
        <f>SUM(L7:L17)</f>
        <v>2504</v>
      </c>
      <c r="M18" s="143">
        <f>SUM(M7:M17)</f>
        <v>23903.32</v>
      </c>
      <c r="N18" s="144">
        <f>SUM(N8:N17)</f>
        <v>1800</v>
      </c>
      <c r="O18" s="145">
        <f>SUM(O8:O17)</f>
        <v>500</v>
      </c>
      <c r="P18" s="146">
        <f>SUM(P7:P17)</f>
        <v>23403.32</v>
      </c>
      <c r="Q18" s="124"/>
      <c r="S18" s="109"/>
      <c r="T18" s="109"/>
      <c r="U18" s="109"/>
      <c r="V18" s="109"/>
      <c r="Z18">
        <v>0</v>
      </c>
      <c r="AB18" t="s">
        <v>0</v>
      </c>
    </row>
    <row r="19" spans="2:28" ht="19.5" thickBot="1" x14ac:dyDescent="0.35">
      <c r="B19" s="147"/>
      <c r="C19" s="148"/>
      <c r="D19" s="149"/>
      <c r="M19" s="7"/>
      <c r="P19">
        <v>1616</v>
      </c>
      <c r="Q19" s="150"/>
      <c r="S19" s="109"/>
      <c r="T19" s="151">
        <f t="shared" ref="T19:AA19" si="4">T17*T6</f>
        <v>16500</v>
      </c>
      <c r="U19" s="151">
        <f t="shared" si="4"/>
        <v>5400</v>
      </c>
      <c r="V19" s="151">
        <f t="shared" si="4"/>
        <v>1500</v>
      </c>
      <c r="W19" s="152">
        <f t="shared" si="4"/>
        <v>300</v>
      </c>
      <c r="X19" s="151">
        <f t="shared" si="4"/>
        <v>140</v>
      </c>
      <c r="Y19" s="151">
        <f t="shared" si="4"/>
        <v>50</v>
      </c>
      <c r="Z19" s="151">
        <f t="shared" si="4"/>
        <v>5</v>
      </c>
      <c r="AA19" s="151">
        <f t="shared" si="4"/>
        <v>8</v>
      </c>
      <c r="AB19" s="153">
        <f>SUM(T19:AA19)</f>
        <v>23903</v>
      </c>
    </row>
    <row r="20" spans="2:28" ht="21.75" thickBot="1" x14ac:dyDescent="0.4">
      <c r="B20" s="154"/>
      <c r="C20" s="154"/>
      <c r="D20" s="31"/>
      <c r="E20" s="154"/>
      <c r="F20" s="155"/>
      <c r="G20" s="155"/>
      <c r="H20" s="156"/>
      <c r="I20" s="156"/>
      <c r="J20" s="156"/>
      <c r="K20" s="156"/>
      <c r="L20" s="156"/>
      <c r="M20" s="155"/>
      <c r="N20" s="155"/>
      <c r="P20" s="157"/>
      <c r="T20" s="158"/>
      <c r="U20" s="158"/>
      <c r="V20" s="158"/>
      <c r="W20" s="158"/>
      <c r="X20" s="158"/>
      <c r="Y20" s="158"/>
      <c r="Z20" s="158"/>
      <c r="AA20" s="158"/>
      <c r="AB20" t="s">
        <v>0</v>
      </c>
    </row>
    <row r="21" spans="2:28" ht="21.75" thickTop="1" x14ac:dyDescent="0.35">
      <c r="B21" s="154"/>
      <c r="C21" s="154"/>
      <c r="D21" s="159"/>
      <c r="E21" s="160"/>
      <c r="F21" s="160"/>
      <c r="G21" s="160"/>
      <c r="H21" s="156"/>
      <c r="I21" s="161"/>
      <c r="J21" s="161"/>
      <c r="K21" s="161"/>
      <c r="L21" s="161"/>
      <c r="M21" s="162"/>
      <c r="N21" s="282"/>
      <c r="O21" s="282"/>
      <c r="P21" s="283">
        <f>M18+P20</f>
        <v>23903.32</v>
      </c>
      <c r="Q21" s="283"/>
      <c r="W21" s="10"/>
      <c r="X21" s="163"/>
    </row>
    <row r="22" spans="2:28" ht="18.75" x14ac:dyDescent="0.3">
      <c r="B22" s="154"/>
      <c r="C22" s="154"/>
      <c r="D22" s="159"/>
      <c r="E22" s="160"/>
      <c r="F22" s="160"/>
      <c r="G22" s="160"/>
      <c r="H22" s="164"/>
      <c r="I22" s="165"/>
      <c r="J22" s="165"/>
      <c r="K22" s="165"/>
      <c r="L22" s="166"/>
      <c r="M22" s="162"/>
      <c r="N22" s="162"/>
      <c r="O22" s="162"/>
      <c r="P22" s="162"/>
      <c r="Q22" s="162"/>
      <c r="X22">
        <v>0</v>
      </c>
    </row>
    <row r="23" spans="2:28" x14ac:dyDescent="0.25">
      <c r="D23" s="159"/>
      <c r="E23" s="160"/>
      <c r="F23" s="160"/>
      <c r="G23" s="160"/>
      <c r="H23" s="167"/>
      <c r="I23" s="168"/>
      <c r="J23" s="168"/>
      <c r="K23" s="168"/>
      <c r="L23" s="168"/>
      <c r="M23" s="169"/>
    </row>
    <row r="24" spans="2:28" ht="15.75" x14ac:dyDescent="0.25">
      <c r="B24" s="170"/>
      <c r="D24" s="1"/>
      <c r="E24" s="171"/>
      <c r="F24" s="6"/>
      <c r="G24" s="6"/>
      <c r="I24" s="172"/>
      <c r="J24" s="172"/>
      <c r="K24" s="172"/>
      <c r="L24" s="173"/>
    </row>
    <row r="25" spans="2:28" ht="21" x14ac:dyDescent="0.35">
      <c r="C25" s="174"/>
      <c r="D25" s="175"/>
    </row>
    <row r="26" spans="2:28" ht="18.75" x14ac:dyDescent="0.3">
      <c r="B26" s="176"/>
      <c r="D26" s="1"/>
    </row>
    <row r="27" spans="2:28" ht="18.75" x14ac:dyDescent="0.3">
      <c r="B27" s="8"/>
    </row>
    <row r="28" spans="2:28" ht="18.75" x14ac:dyDescent="0.3">
      <c r="B28" s="8"/>
    </row>
  </sheetData>
  <mergeCells count="3">
    <mergeCell ref="B1:O2"/>
    <mergeCell ref="N21:O21"/>
    <mergeCell ref="P21:Q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59</vt:i4>
      </vt:variant>
    </vt:vector>
  </HeadingPairs>
  <TitlesOfParts>
    <vt:vector size="59" baseType="lpstr">
      <vt:lpstr>SEMANA    01    2021   </vt:lpstr>
      <vt:lpstr>SEMANA   02    2021</vt:lpstr>
      <vt:lpstr>SEMANA  03     2021   </vt:lpstr>
      <vt:lpstr>SEMANA   04     2021    </vt:lpstr>
      <vt:lpstr>SEMANA  05    2021    </vt:lpstr>
      <vt:lpstr>SEMANA  06    2021   </vt:lpstr>
      <vt:lpstr>SEMANA    07   2021    </vt:lpstr>
      <vt:lpstr>SEMANA   08    2021     </vt:lpstr>
      <vt:lpstr>SEMANA   09     2021    </vt:lpstr>
      <vt:lpstr>SEMANA  10   2021      </vt:lpstr>
      <vt:lpstr>SEMANA   11    2021     </vt:lpstr>
      <vt:lpstr>SEMANA    12     2021   </vt:lpstr>
      <vt:lpstr>SEMANA  13    2021   </vt:lpstr>
      <vt:lpstr>SEMANA   14    2021    </vt:lpstr>
      <vt:lpstr>SEMANA  15    2 0 2 1      </vt:lpstr>
      <vt:lpstr>SEMANA    16      2021    </vt:lpstr>
      <vt:lpstr>SEMANA   17    2021    </vt:lpstr>
      <vt:lpstr>SEMANA   18    2021     </vt:lpstr>
      <vt:lpstr>SEMANA   19     2021    </vt:lpstr>
      <vt:lpstr>SEMANA   20       2021     </vt:lpstr>
      <vt:lpstr>SEMANA    21      2021    </vt:lpstr>
      <vt:lpstr>SEMANA   22      2021    </vt:lpstr>
      <vt:lpstr>SEMANA    23      2021     </vt:lpstr>
      <vt:lpstr>SEMANA  24    2021    </vt:lpstr>
      <vt:lpstr>SEMANA   25     2021   </vt:lpstr>
      <vt:lpstr>SEMANA    26      2 0 2 1    </vt:lpstr>
      <vt:lpstr>SEMANA   27      2021   </vt:lpstr>
      <vt:lpstr>SEMANA   28   2021   </vt:lpstr>
      <vt:lpstr>SEMANA   29   2021   </vt:lpstr>
      <vt:lpstr>SEMANA  30    2021   </vt:lpstr>
      <vt:lpstr>SEMANA   31    20 21        </vt:lpstr>
      <vt:lpstr>SEMANA   32     2021     </vt:lpstr>
      <vt:lpstr>SEMANA    33    2021     </vt:lpstr>
      <vt:lpstr>SEMANA   34   2021    </vt:lpstr>
      <vt:lpstr>SEMANA  35    2021    </vt:lpstr>
      <vt:lpstr>SEMANA  36       2021    </vt:lpstr>
      <vt:lpstr>SEMANA   37      2021     </vt:lpstr>
      <vt:lpstr>SEMANA  38      2021   </vt:lpstr>
      <vt:lpstr>SEMANA   39     2021    </vt:lpstr>
      <vt:lpstr>SEMANA  40      2021   </vt:lpstr>
      <vt:lpstr>SEMANA   41      2021    </vt:lpstr>
      <vt:lpstr>SEMANA   42      2021      </vt:lpstr>
      <vt:lpstr>SEMANA   43     2021      </vt:lpstr>
      <vt:lpstr>SEMANA    44    2021    </vt:lpstr>
      <vt:lpstr>SEMANA  45     2 0 2 1        </vt:lpstr>
      <vt:lpstr>SEMANA     46    2021     </vt:lpstr>
      <vt:lpstr>SEMANA  47   2021   </vt:lpstr>
      <vt:lpstr>SEMANA   48    2021    </vt:lpstr>
      <vt:lpstr>SEMANA   49     2021</vt:lpstr>
      <vt:lpstr>SEMANA   50     2021    </vt:lpstr>
      <vt:lpstr>SEMANA   51    2 0 2 1    </vt:lpstr>
      <vt:lpstr>SEMANA   52    2 0 2 1    </vt:lpstr>
      <vt:lpstr>SEMANA    53    2 0 2 1        </vt:lpstr>
      <vt:lpstr>SEMANA     23     2022         </vt:lpstr>
      <vt:lpstr>Hoja4</vt:lpstr>
      <vt:lpstr>Hoja6</vt:lpstr>
      <vt:lpstr>Hoja5</vt:lpstr>
      <vt:lpstr>C A S A  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2022-06-11T13:47:56Z</cp:lastPrinted>
  <dcterms:created xsi:type="dcterms:W3CDTF">2021-01-08T16:59:20Z</dcterms:created>
  <dcterms:modified xsi:type="dcterms:W3CDTF">2022-06-11T13:49:22Z</dcterms:modified>
</cp:coreProperties>
</file>