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20715" windowHeight="11730" firstSheet="10" activeTab="12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   J U N I O     2 0 2 3     " sheetId="13" r:id="rId11"/>
    <sheet name=" COMPRAS    JUNIO   2 0 2 3    " sheetId="14" r:id="rId12"/>
    <sheet name="   J U L I O     2 0 2 3       " sheetId="15" r:id="rId13"/>
    <sheet name="   COMPRAS   JULIO    2 0 2 3  " sheetId="16" r:id="rId14"/>
    <sheet name="Hoja1" sheetId="17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5" l="1"/>
  <c r="Q11" i="15"/>
  <c r="M11" i="15"/>
  <c r="M10" i="15" l="1"/>
  <c r="M9" i="15"/>
  <c r="M8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6" i="15"/>
  <c r="Q47" i="15"/>
  <c r="Q7" i="15"/>
  <c r="M6" i="15" l="1"/>
  <c r="M5" i="15"/>
  <c r="R5" i="15" s="1"/>
  <c r="P5" i="15" l="1"/>
  <c r="E79" i="16" l="1"/>
  <c r="C79" i="16"/>
  <c r="J37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K55" i="15"/>
  <c r="L49" i="15"/>
  <c r="I49" i="15"/>
  <c r="F49" i="15"/>
  <c r="C49" i="15"/>
  <c r="R45" i="15"/>
  <c r="N45" i="15"/>
  <c r="P44" i="15"/>
  <c r="P36" i="15"/>
  <c r="P35" i="15"/>
  <c r="P34" i="15"/>
  <c r="P33" i="15"/>
  <c r="P32" i="15"/>
  <c r="Q32" i="15" s="1"/>
  <c r="P31" i="15"/>
  <c r="Q31" i="15" s="1"/>
  <c r="P30" i="15"/>
  <c r="Q30" i="15" s="1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P10" i="15"/>
  <c r="Q10" i="15" s="1"/>
  <c r="P9" i="15"/>
  <c r="P8" i="15"/>
  <c r="Q8" i="15" s="1"/>
  <c r="P7" i="15"/>
  <c r="P6" i="15"/>
  <c r="Q6" i="15" s="1"/>
  <c r="K51" i="15" l="1"/>
  <c r="F52" i="15" s="1"/>
  <c r="F55" i="15" s="1"/>
  <c r="K53" i="15" s="1"/>
  <c r="K57" i="15" s="1"/>
  <c r="M45" i="15"/>
  <c r="M51" i="15" s="1"/>
  <c r="M32" i="13"/>
  <c r="P45" i="15" l="1"/>
  <c r="Q45" i="15" s="1"/>
  <c r="M31" i="13"/>
  <c r="M30" i="13" l="1"/>
  <c r="M29" i="13"/>
  <c r="M28" i="13"/>
  <c r="M27" i="13"/>
  <c r="M26" i="13" l="1"/>
  <c r="M25" i="13" l="1"/>
  <c r="M24" i="13"/>
  <c r="M23" i="13"/>
  <c r="M22" i="13" l="1"/>
  <c r="M21" i="13"/>
  <c r="M20" i="13" l="1"/>
  <c r="M19" i="13"/>
  <c r="M18" i="13"/>
  <c r="M17" i="13"/>
  <c r="M16" i="13" l="1"/>
  <c r="M15" i="13"/>
  <c r="M14" i="13" l="1"/>
  <c r="M13" i="13"/>
  <c r="M12" i="13"/>
  <c r="M11" i="13" l="1"/>
  <c r="M10" i="13" l="1"/>
  <c r="M8" i="13" l="1"/>
  <c r="M6" i="13"/>
  <c r="Q33" i="13" l="1"/>
  <c r="Q34" i="13"/>
  <c r="Q37" i="13"/>
  <c r="Q38" i="13"/>
  <c r="Q39" i="13"/>
  <c r="Q40" i="13"/>
  <c r="Q41" i="13"/>
  <c r="Q42" i="13"/>
  <c r="Q43" i="13"/>
  <c r="Q44" i="13"/>
  <c r="M5" i="13"/>
  <c r="E79" i="14" l="1"/>
  <c r="C79" i="14"/>
  <c r="J37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K55" i="13"/>
  <c r="L49" i="13"/>
  <c r="I49" i="13"/>
  <c r="F49" i="13"/>
  <c r="C49" i="13"/>
  <c r="R45" i="13"/>
  <c r="N45" i="13"/>
  <c r="P44" i="13"/>
  <c r="P36" i="13"/>
  <c r="P35" i="13"/>
  <c r="Q45" i="13" s="1"/>
  <c r="P34" i="13"/>
  <c r="P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Q13" i="13" s="1"/>
  <c r="P12" i="13"/>
  <c r="Q12" i="13" s="1"/>
  <c r="P11" i="13"/>
  <c r="P10" i="13"/>
  <c r="Q10" i="13" s="1"/>
  <c r="P9" i="13"/>
  <c r="Q9" i="13" s="1"/>
  <c r="M45" i="13"/>
  <c r="P7" i="13"/>
  <c r="P6" i="13"/>
  <c r="P5" i="13"/>
  <c r="K51" i="13" l="1"/>
  <c r="F52" i="13" s="1"/>
  <c r="F55" i="13" s="1"/>
  <c r="K53" i="13" s="1"/>
  <c r="K57" i="13" s="1"/>
  <c r="M51" i="13"/>
  <c r="P45" i="13"/>
  <c r="P8" i="13"/>
  <c r="Q8" i="13" s="1"/>
  <c r="M35" i="11"/>
  <c r="M34" i="11"/>
  <c r="M33" i="11"/>
  <c r="M31" i="11" l="1"/>
  <c r="M29" i="11"/>
  <c r="M28" i="11"/>
  <c r="M27" i="11"/>
  <c r="M26" i="11"/>
  <c r="M24" i="11" l="1"/>
  <c r="M23" i="11"/>
  <c r="M22" i="11" l="1"/>
  <c r="M21" i="11" l="1"/>
  <c r="M20" i="11"/>
  <c r="M19" i="11" l="1"/>
  <c r="M18" i="11"/>
  <c r="M16" i="11" l="1"/>
  <c r="M15" i="11"/>
  <c r="M14" i="11"/>
  <c r="M13" i="11" l="1"/>
  <c r="M12" i="11" l="1"/>
  <c r="M11" i="11"/>
  <c r="M10" i="11"/>
  <c r="M8" i="11"/>
  <c r="M7" i="11"/>
  <c r="Q36" i="11" l="1"/>
  <c r="Q41" i="11"/>
  <c r="M5" i="11"/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Q43" i="11"/>
  <c r="Q42" i="11"/>
  <c r="Q40" i="11"/>
  <c r="Q39" i="11"/>
  <c r="Q38" i="11"/>
  <c r="Q37" i="11"/>
  <c r="P36" i="1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N45" i="11"/>
  <c r="P8" i="11"/>
  <c r="P7" i="11"/>
  <c r="P6" i="11"/>
  <c r="Q6" i="11" s="1"/>
  <c r="M45" i="11"/>
  <c r="K51" i="11" l="1"/>
  <c r="F52" i="11" s="1"/>
  <c r="F55" i="11" s="1"/>
  <c r="K53" i="11" s="1"/>
  <c r="K57" i="11" s="1"/>
  <c r="M51" i="11"/>
  <c r="P45" i="11"/>
  <c r="Q45" i="11"/>
  <c r="P5" i="11"/>
  <c r="M39" i="9"/>
  <c r="P37" i="9"/>
  <c r="P38" i="9"/>
  <c r="P39" i="9"/>
  <c r="P40" i="9"/>
  <c r="M37" i="9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<sst xmlns="http://schemas.openxmlformats.org/spreadsheetml/2006/main" count="704" uniqueCount="383">
  <si>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</si>
  <si>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</si>
  <si>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</si>
  <si>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</si>
  <si>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</si>
  <si>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</si>
  <si>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</si>
  <si>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</si>
  <si>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</si>
  <si>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</si>
  <si>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</si>
  <si>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</si>
  <si>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</si>
  <si>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</si>
  <si>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</si>
  <si>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</si>
  <si>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</si>
  <si>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</si>
  <si>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</si>
  <si>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</si>
  <si>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</si>
  <si>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</si>
  <si>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</si>
  <si>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</si>
  <si>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</si>
  <si>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</si>
  <si>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</si>
  <si>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</si>
  <si>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</si>
  <si>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</si>
  <si>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</si>
  <si>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</si>
  <si>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</si>
  <si>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</si>
  <si>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</si>
  <si>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</si>
  <si>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</si>
  <si>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</si>
  <si>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</si>
  <si>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</si>
  <si>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</si>
  <si>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</si>
  <si>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</si>
  <si>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</si>
  <si>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</si>
  <si>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</si>
  <si>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</si>
  <si>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</si>
  <si>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</si>
  <si>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</si>
  <si>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</si>
  <si>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</si>
  <si>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</si>
  <si>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</si>
  <si>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</si>
  <si>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</si>
  <si>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</si>
  <si>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</si>
  <si>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</si>
  <si>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</si>
  <si>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</si>
  <si>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</si>
  <si>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</si>
  <si>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</si>
  <si>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</si>
  <si>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</si>
  <si>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</si>
  <si>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</si>
  <si>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</si>
  <si>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</si>
  <si>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</si>
  <si>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</si>
  <si>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</si>
  <si>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</si>
  <si>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</si>
  <si>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</si>
  <si>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</si>
  <si>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</si>
  <si>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</si>
  <si>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</si>
  <si>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</si>
  <si>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</si>
  <si>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</si>
  <si>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</si>
  <si>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</si>
  <si>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</si>
  <si>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</si>
  <si>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</si>
  <si>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</si>
  <si>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</si>
  <si>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</si>
  <si>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</si>
  <si>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</si>
  <si>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</si>
  <si>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</si>
  <si>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</si>
  <si>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</si>
  <si>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</si>
  <si>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</si>
  <si>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</si>
  <si>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</si>
  <si>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</si>
  <si>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</si>
  <si>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</si>
  <si>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</si>
  <si>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</si>
  <si>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</si>
  <si>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</si>
  <si>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</si>
  <si>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</si>
  <si>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</si>
  <si>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</si>
  <si>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</si>
  <si>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</si>
  <si>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</si>
  <si>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</si>
  <si>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</si>
  <si>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</si>
  <si>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</si>
  <si>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</si>
  <si>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</si>
  <si>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</si>
  <si>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</si>
  <si>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</si>
  <si>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</si>
  <si>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</si>
  <si>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</si>
  <si>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</si>
  <si>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</si>
  <si>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</si>
  <si>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</si>
  <si>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</si>
  <si>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</si>
  <si>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</si>
  <si>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</si>
  <si>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</si>
  <si>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</si>
  <si>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</si>
  <si>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</si>
  <si>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</si>
  <si>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</si>
  <si>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</si>
  <si>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</si>
  <si>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</si>
  <si>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</si>
  <si>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</si>
  <si>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</si>
  <si>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</si>
  <si>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</si>
  <si>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</si>
  <si>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</si>
  <si>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</si>
  <si>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</si>
  <si>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</si>
  <si>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</si>
  <si>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</si>
  <si>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</si>
  <si>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</si>
  <si>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</si>
  <si>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</si>
  <si>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</si>
  <si>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</si>
  <si>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</si>
  <si>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</si>
  <si>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</si>
  <si>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</si>
  <si>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</si>
  <si>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</si>
  <si>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</si>
  <si>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</si>
  <si>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</si>
  <si>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</si>
  <si>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</si>
  <si>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</si>
  <si>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</si>
  <si>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</si>
  <si>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</si>
  <si>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</si>
  <si>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</si>
  <si>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</si>
  <si>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</si>
  <si>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</si>
  <si>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</si>
  <si>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</si>
  <si>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</si>
  <si>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</si>
  <si>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</si>
  <si>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</si>
  <si>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</si>
  <si>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</si>
  <si>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</si>
  <si>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</si>
  <si>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</si>
  <si>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</si>
  <si>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</si>
  <si>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</si>
  <si>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</si>
  <si>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</si>
  <si>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</si>
  <si>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</si>
  <si>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</si>
  <si>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</si>
  <si>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</si>
  <si>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</si>
  <si>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</si>
  <si>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</si>
  <si>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</si>
  <si>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</si>
  <si>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</si>
  <si>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</si>
  <si>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</si>
  <si>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</si>
  <si>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</si>
  <si>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</si>
  <si>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</si>
  <si>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</si>
  <si>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</si>
  <si>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</si>
  <si>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</si>
  <si>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</si>
  <si>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</si>
  <si>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</si>
  <si>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</si>
  <si>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</si>
  <si>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</si>
  <si>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</si>
  <si>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</si>
  <si>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</si>
  <si>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</si>
  <si>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</si>
  <si>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</si>
  <si>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</si>
  <si>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</si>
  <si>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</si>
  <si>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</si>
  <si>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</si>
  <si>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</si>
  <si>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</si>
  <si>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</si>
  <si>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</si>
  <si>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</si>
  <si>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</si>
  <si>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</si>
  <si>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</si>
  <si>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</si>
  <si>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</si>
  <si>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</si>
  <si>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</si>
  <si>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</si>
  <si>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</si>
  <si>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</si>
  <si>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</si>
  <si>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</si>
  <si>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</si>
  <si>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</si>
  <si>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</si>
  <si>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</si>
  <si>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</si>
  <si>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</si>
  <si>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</si>
  <si>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</si>
  <si>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</si>
  <si>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</si>
  <si>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</si>
  <si>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</si>
  <si>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</si>
  <si>
    <t>NOMINA  # 18</t>
  </si>
  <si>
    <t xml:space="preserve">COMPRAS CENTRAL </t>
  </si>
  <si>
    <t>NOMINA # 19</t>
  </si>
  <si>
    <t>LONGANIZA-ENCHILADA</t>
  </si>
  <si>
    <t>s/comision</t>
  </si>
  <si>
    <t xml:space="preserve">LONGANIZA   </t>
  </si>
  <si>
    <t>NOMINA # 20</t>
  </si>
  <si>
    <t>NORMA</t>
  </si>
  <si>
    <t>ESTHER</t>
  </si>
  <si>
    <t>P.T.U.  2022</t>
  </si>
  <si>
    <t>NOMIAN # 21</t>
  </si>
  <si>
    <t>11226 E</t>
  </si>
  <si>
    <t>11292 E</t>
  </si>
  <si>
    <t>11337 E</t>
  </si>
  <si>
    <t>12188 E</t>
  </si>
  <si>
    <t>11524 E</t>
  </si>
  <si>
    <t>11680 E</t>
  </si>
  <si>
    <t>11686 E</t>
  </si>
  <si>
    <t>11802 E</t>
  </si>
  <si>
    <t>11836 E</t>
  </si>
  <si>
    <t>11862 E</t>
  </si>
  <si>
    <t>11878 E</t>
  </si>
  <si>
    <t>12054 E</t>
  </si>
  <si>
    <t>12125 E</t>
  </si>
  <si>
    <t>12378 E</t>
  </si>
  <si>
    <t>12393 E</t>
  </si>
  <si>
    <t>12394 E</t>
  </si>
  <si>
    <t>NOMINA # 22</t>
  </si>
  <si>
    <t>ENCHILADA</t>
  </si>
  <si>
    <t>Servicio Banco</t>
  </si>
  <si>
    <t>comision ???</t>
  </si>
  <si>
    <t>Comsiones banco</t>
  </si>
  <si>
    <t xml:space="preserve">guadia </t>
  </si>
  <si>
    <t>6-jun-2023</t>
  </si>
  <si>
    <t>E-12533</t>
  </si>
  <si>
    <t>E-12593</t>
  </si>
  <si>
    <t>E-12606</t>
  </si>
  <si>
    <t>7-jun-2023</t>
  </si>
  <si>
    <t>E-12709</t>
  </si>
  <si>
    <t>8-jun-2023</t>
  </si>
  <si>
    <t>E-12837</t>
  </si>
  <si>
    <t>E-12840</t>
  </si>
  <si>
    <t>9-jun-2023</t>
  </si>
  <si>
    <t>E-12871</t>
  </si>
  <si>
    <t>E-12969</t>
  </si>
  <si>
    <t>10-jun-2023</t>
  </si>
  <si>
    <t>E-13074</t>
  </si>
  <si>
    <t>E-13086</t>
  </si>
  <si>
    <t>12-jun-2023</t>
  </si>
  <si>
    <t>E-13220</t>
  </si>
  <si>
    <t>E-13221</t>
  </si>
  <si>
    <t>13-jun-2023</t>
  </si>
  <si>
    <t>E-13236</t>
  </si>
  <si>
    <t>E-13307</t>
  </si>
  <si>
    <t>15-jun-2023</t>
  </si>
  <si>
    <t>E-13436</t>
  </si>
  <si>
    <t>E-13456</t>
  </si>
  <si>
    <t>E-13530</t>
  </si>
  <si>
    <t>16-jun-2023</t>
  </si>
  <si>
    <t>E-13625</t>
  </si>
  <si>
    <t>17-jun-2023</t>
  </si>
  <si>
    <t>E-13769</t>
  </si>
  <si>
    <t>E-13775</t>
  </si>
  <si>
    <t>E-13807</t>
  </si>
  <si>
    <t>19-jun-2023</t>
  </si>
  <si>
    <t>E-13871</t>
  </si>
  <si>
    <t>20-jun-2023</t>
  </si>
  <si>
    <t>E-14022</t>
  </si>
  <si>
    <t>E-14024</t>
  </si>
  <si>
    <t>22-jun-2023</t>
  </si>
  <si>
    <t>E-14204</t>
  </si>
  <si>
    <t>E-14205</t>
  </si>
  <si>
    <t>E-14232</t>
  </si>
  <si>
    <t>E-14234</t>
  </si>
  <si>
    <t>E-14244</t>
  </si>
  <si>
    <t>23-jun-2023</t>
  </si>
  <si>
    <t>E-14295</t>
  </si>
  <si>
    <t>E-14296</t>
  </si>
  <si>
    <t>E-14297</t>
  </si>
  <si>
    <t>24-jun-2023</t>
  </si>
  <si>
    <t>E-14478</t>
  </si>
  <si>
    <t>E-14483</t>
  </si>
  <si>
    <t>26-jun-2023</t>
  </si>
  <si>
    <t>E-14536</t>
  </si>
  <si>
    <t>E-14553</t>
  </si>
  <si>
    <t>27-jun-2023</t>
  </si>
  <si>
    <t>E-14675</t>
  </si>
  <si>
    <t>28-jun-2023</t>
  </si>
  <si>
    <t>E-14765</t>
  </si>
  <si>
    <t>E-14819</t>
  </si>
  <si>
    <t>29-jun-2023</t>
  </si>
  <si>
    <t>E-14842</t>
  </si>
  <si>
    <t>E-14854</t>
  </si>
  <si>
    <t>E-14898</t>
  </si>
  <si>
    <t>E-14902</t>
  </si>
  <si>
    <t>30-jun-2023</t>
  </si>
  <si>
    <t>E-14960</t>
  </si>
  <si>
    <t xml:space="preserve">  </t>
  </si>
  <si>
    <t>E-15127</t>
  </si>
  <si>
    <t>E-15132</t>
  </si>
  <si>
    <t>NOMINA # 23</t>
  </si>
  <si>
    <t>NOMINA # 24 y Vacaciones Esther Morlaes Alarcon</t>
  </si>
  <si>
    <t>LONGANIZA--QUESO GOUDA</t>
  </si>
  <si>
    <t>NOMINA # 25</t>
  </si>
  <si>
    <t>NOMINA # 26</t>
  </si>
  <si>
    <t>bancanet</t>
  </si>
  <si>
    <t>comision ????</t>
  </si>
  <si>
    <t>guardia junio</t>
  </si>
  <si>
    <t>telmex</t>
  </si>
  <si>
    <t>fumigacion</t>
  </si>
  <si>
    <t>ADT SEGURITY</t>
  </si>
  <si>
    <t>Comisiones banco</t>
  </si>
  <si>
    <t>Material limpieza</t>
  </si>
  <si>
    <t>Bascuela</t>
  </si>
  <si>
    <t>BALANCE      ABASTO 4 CARNES    H E R R A D U R A    JUNIO       2 0 2 3</t>
  </si>
  <si>
    <t>BALANCE      ABASTO 4 CARNES    H E R R A D U R A    JULIO       2 0 2 3</t>
  </si>
  <si>
    <t>NOMINA #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</si>
</sst>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6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Fill="1" applyBorder="1"/>
    <xf numFmtId="16" fontId="3" fillId="0" borderId="24" xfId="0" applyNumberFormat="1" applyFont="1" applyFill="1" applyBorder="1"/>
    <xf numFmtId="165" fontId="3" fillId="0" borderId="26" xfId="0" applyNumberFormat="1" applyFont="1" applyFill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Fill="1" applyBorder="1" applyAlignment="1">
      <alignment wrapText="1"/>
    </xf>
    <xf numFmtId="16" fontId="50" fillId="0" borderId="26" xfId="0" applyNumberFormat="1" applyFont="1" applyFill="1" applyBorder="1"/>
    <xf numFmtId="0" fontId="3" fillId="0" borderId="27" xfId="0" applyFont="1" applyFill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Fill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Fill="1" applyBorder="1" applyAlignment="1">
      <alignment horizontal="left"/>
    </xf>
    <xf numFmtId="0" fontId="13" fillId="0" borderId="24" xfId="0" applyFont="1" applyFill="1" applyBorder="1"/>
    <xf numFmtId="44" fontId="13" fillId="0" borderId="25" xfId="1" applyFont="1" applyFill="1" applyBorder="1"/>
    <xf numFmtId="0" fontId="13" fillId="0" borderId="24" xfId="0" applyFont="1" applyFill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Fill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Fill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8" fontId="53" fillId="0" borderId="0" xfId="0" applyNumberFormat="1" applyFont="1" applyAlignment="1">
      <alignment horizontal="center"/>
    </xf>
    <xf numFmtId="16" fontId="53" fillId="0" borderId="0" xfId="0" applyNumberFormat="1" applyFont="1" applyAlignment="1">
      <alignment horizontal="center"/>
    </xf>
    <xf numFmtId="44" fontId="54" fillId="0" borderId="5" xfId="1" applyFont="1" applyBorder="1"/>
    <xf numFmtId="44" fontId="14" fillId="0" borderId="8" xfId="1" applyFont="1" applyBorder="1" applyAlignment="1">
      <alignment vertical="center"/>
    </xf>
    <xf numFmtId="16" fontId="13" fillId="0" borderId="24" xfId="0" applyNumberFormat="1" applyFont="1" applyFill="1" applyBorder="1" applyAlignment="1">
      <alignment horizontal="left" vertical="center"/>
    </xf>
    <xf numFmtId="16" fontId="13" fillId="0" borderId="24" xfId="0" applyNumberFormat="1" applyFont="1" applyFill="1" applyBorder="1" applyAlignment="1">
      <alignment horizontal="center"/>
    </xf>
    <xf numFmtId="49" fontId="3" fillId="0" borderId="69" xfId="0" applyNumberFormat="1" applyFont="1" applyFill="1" applyBorder="1"/>
    <xf numFmtId="49" fontId="3" fillId="0" borderId="70" xfId="0" applyNumberFormat="1" applyFont="1" applyFill="1" applyBorder="1"/>
    <xf numFmtId="44" fontId="3" fillId="0" borderId="70" xfId="1" applyFont="1" applyFill="1" applyBorder="1"/>
    <xf numFmtId="44" fontId="3" fillId="4" borderId="70" xfId="1" applyFont="1" applyFill="1" applyBorder="1"/>
    <xf numFmtId="15" fontId="48" fillId="0" borderId="24" xfId="0" applyNumberFormat="1" applyFont="1" applyFill="1" applyBorder="1" applyAlignment="1">
      <alignment horizontal="center"/>
    </xf>
    <xf numFmtId="15" fontId="3" fillId="0" borderId="69" xfId="0" applyNumberFormat="1" applyFont="1" applyFill="1" applyBorder="1" applyAlignment="1">
      <alignment horizontal="center"/>
    </xf>
    <xf numFmtId="0" fontId="25" fillId="0" borderId="24" xfId="0" applyFont="1" applyFill="1" applyBorder="1"/>
    <xf numFmtId="44" fontId="3" fillId="0" borderId="71" xfId="1" applyFont="1" applyFill="1" applyBorder="1"/>
    <xf numFmtId="44" fontId="3" fillId="0" borderId="15" xfId="1" applyFont="1" applyFill="1" applyBorder="1"/>
    <xf numFmtId="44" fontId="3" fillId="8" borderId="38" xfId="1" applyFont="1" applyFill="1" applyBorder="1"/>
    <xf numFmtId="16" fontId="22" fillId="0" borderId="24" xfId="0" applyNumberFormat="1" applyFont="1" applyFill="1" applyBorder="1" applyAlignment="1">
      <alignment horizontal="left" vertic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12" borderId="1" xfId="1" applyFont="1" applyFill="1" applyBorder="1" applyAlignment="1">
      <alignment horizontal="center" wrapText="1"/>
    </xf>
    <xf numFmtId="44" fontId="51" fillId="12" borderId="62" xfId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FF66FF"/>
      <color rgb="FF66FFFF"/>
      <color rgb="FFFFCCCC"/>
      <color rgb="FFCCFF33"/>
      <color rgb="FFFF9900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8"/>
      <c r="C1" s="350" t="s">
        <v>29</v>
      </c>
      <c r="D1" s="351"/>
      <c r="E1" s="351"/>
      <c r="F1" s="351"/>
      <c r="G1" s="351"/>
      <c r="H1" s="351"/>
      <c r="I1" s="351"/>
      <c r="J1" s="351"/>
      <c r="K1" s="351"/>
      <c r="L1" s="351"/>
      <c r="M1" s="351"/>
    </row>
    <row r="2" spans="1:21" ht="16.5" thickBot="1" x14ac:dyDescent="0.3">
      <c r="B2" s="349"/>
      <c r="C2" s="4"/>
      <c r="H2" s="6"/>
      <c r="I2" s="7"/>
      <c r="J2" s="8"/>
      <c r="L2" s="3"/>
      <c r="M2" s="7"/>
      <c r="N2" s="9"/>
    </row>
    <row r="3" spans="1:21" ht="21.75" thickBot="1" x14ac:dyDescent="0.35">
      <c r="B3" s="352" t="s">
        <v>0</v>
      </c>
      <c r="C3" s="353"/>
      <c r="D3" s="10"/>
      <c r="E3" s="11"/>
      <c r="F3" s="11"/>
      <c r="H3" s="354" t="s">
        <v>1</v>
      </c>
      <c r="I3" s="354"/>
      <c r="K3" s="13"/>
      <c r="L3" s="13"/>
      <c r="M3" s="6"/>
      <c r="R3" s="331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33" t="s">
        <v>4</v>
      </c>
      <c r="F4" s="334"/>
      <c r="H4" s="335" t="s">
        <v>5</v>
      </c>
      <c r="I4" s="336"/>
      <c r="J4" s="18"/>
      <c r="K4" s="19"/>
      <c r="L4" s="20"/>
      <c r="M4" s="21" t="s">
        <v>6</v>
      </c>
      <c r="N4" s="22" t="s">
        <v>7</v>
      </c>
      <c r="P4" s="337" t="s">
        <v>8</v>
      </c>
      <c r="Q4" s="338"/>
      <c r="R4" s="332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355">
        <f>SUM(M5:M39)</f>
        <v>1666347.5</v>
      </c>
      <c r="N49" s="340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356"/>
      <c r="N50" s="341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342" t="s">
        <v>13</v>
      </c>
      <c r="I55" s="343"/>
      <c r="J55" s="135"/>
      <c r="K55" s="344">
        <f>I53+L53</f>
        <v>63475.360000000001</v>
      </c>
      <c r="L55" s="345"/>
      <c r="M55" s="346">
        <f>N49+M49</f>
        <v>1715746.5</v>
      </c>
      <c r="N55" s="347"/>
      <c r="P55" s="36"/>
      <c r="Q55" s="9"/>
    </row>
    <row r="56" spans="1:18" ht="15.75" x14ac:dyDescent="0.25">
      <c r="D56" s="339" t="s">
        <v>14</v>
      </c>
      <c r="E56" s="339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357" t="s">
        <v>15</v>
      </c>
      <c r="E57" s="357"/>
      <c r="F57" s="131">
        <v>-1524395.48</v>
      </c>
      <c r="I57" s="358" t="s">
        <v>16</v>
      </c>
      <c r="J57" s="359"/>
      <c r="K57" s="360">
        <f>F59+F60+F61</f>
        <v>393764.05999999994</v>
      </c>
      <c r="L57" s="361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362">
        <f>-C4</f>
        <v>-373948.72</v>
      </c>
      <c r="L59" s="363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364" t="s">
        <v>21</v>
      </c>
      <c r="E61" s="365"/>
      <c r="F61" s="151">
        <v>223528.9</v>
      </c>
      <c r="I61" s="366" t="s">
        <v>22</v>
      </c>
      <c r="J61" s="367"/>
      <c r="K61" s="368">
        <f>K57+K59</f>
        <v>19815.339999999967</v>
      </c>
      <c r="L61" s="368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D57:E57"/>
    <mergeCell ref="I57:J57"/>
    <mergeCell ref="K57:L57"/>
    <mergeCell ref="K59:L59"/>
    <mergeCell ref="D61:E61"/>
    <mergeCell ref="I61:J61"/>
    <mergeCell ref="K61:L61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56:E56"/>
    <mergeCell ref="N49:N50"/>
    <mergeCell ref="H55:I55"/>
    <mergeCell ref="K55:L55"/>
    <mergeCell ref="M55:N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zoomScale="85" zoomScaleNormal="85" workbookViewId="0">
      <pane ySplit="2" topLeftCell="A42" activePane="bottomLeft" state="frozen"/>
      <selection pane="bottomLeft" activeCell="C88" sqref="C8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45051</v>
      </c>
      <c r="B3" s="182" t="s">
        <v>232</v>
      </c>
      <c r="C3" s="149">
        <v>23621.200000000001</v>
      </c>
      <c r="D3" s="244"/>
      <c r="E3" s="220"/>
      <c r="F3" s="180">
        <f>C3-E3</f>
        <v>23621.200000000001</v>
      </c>
    </row>
    <row r="4" spans="1:7" ht="22.5" customHeight="1" x14ac:dyDescent="0.25">
      <c r="A4" s="181">
        <v>45051</v>
      </c>
      <c r="B4" s="182" t="s">
        <v>233</v>
      </c>
      <c r="C4" s="149">
        <v>17961</v>
      </c>
      <c r="D4" s="244"/>
      <c r="E4" s="220"/>
      <c r="F4" s="183">
        <f>C4-E4+F3</f>
        <v>41582.199999999997</v>
      </c>
    </row>
    <row r="5" spans="1:7" ht="21" customHeight="1" x14ac:dyDescent="0.25">
      <c r="A5" s="181">
        <v>45051</v>
      </c>
      <c r="B5" s="182" t="s">
        <v>234</v>
      </c>
      <c r="C5" s="149">
        <v>38048</v>
      </c>
      <c r="D5" s="244"/>
      <c r="E5" s="220"/>
      <c r="F5" s="183">
        <f t="shared" ref="F5:F68" si="0">C5-E5+F4</f>
        <v>79630.2</v>
      </c>
    </row>
    <row r="6" spans="1:7" ht="21" customHeight="1" x14ac:dyDescent="0.3">
      <c r="A6" s="181">
        <v>45051</v>
      </c>
      <c r="B6" s="182" t="s">
        <v>235</v>
      </c>
      <c r="C6" s="149">
        <v>17139.599999999999</v>
      </c>
      <c r="D6" s="244"/>
      <c r="E6" s="220"/>
      <c r="F6" s="183">
        <f t="shared" si="0"/>
        <v>96769.799999999988</v>
      </c>
      <c r="G6" s="184"/>
    </row>
    <row r="7" spans="1:7" ht="21" customHeight="1" x14ac:dyDescent="0.25">
      <c r="A7" s="181">
        <v>45051</v>
      </c>
      <c r="B7" s="182" t="s">
        <v>236</v>
      </c>
      <c r="C7" s="149">
        <v>46544</v>
      </c>
      <c r="D7" s="244"/>
      <c r="E7" s="220"/>
      <c r="F7" s="183">
        <f t="shared" si="0"/>
        <v>143313.79999999999</v>
      </c>
    </row>
    <row r="8" spans="1:7" ht="21" customHeight="1" x14ac:dyDescent="0.25">
      <c r="A8" s="181">
        <v>45052</v>
      </c>
      <c r="B8" s="182" t="s">
        <v>237</v>
      </c>
      <c r="C8" s="149">
        <v>7382.8</v>
      </c>
      <c r="D8" s="244"/>
      <c r="E8" s="220"/>
      <c r="F8" s="183">
        <f t="shared" si="0"/>
        <v>150696.59999999998</v>
      </c>
    </row>
    <row r="9" spans="1:7" ht="21" customHeight="1" x14ac:dyDescent="0.25">
      <c r="A9" s="181">
        <v>45052</v>
      </c>
      <c r="B9" s="182" t="s">
        <v>238</v>
      </c>
      <c r="C9" s="149">
        <v>154193.70000000001</v>
      </c>
      <c r="D9" s="181"/>
      <c r="E9" s="149"/>
      <c r="F9" s="183">
        <f t="shared" si="0"/>
        <v>304890.3</v>
      </c>
    </row>
    <row r="10" spans="1:7" ht="21" customHeight="1" x14ac:dyDescent="0.25">
      <c r="A10" s="181">
        <v>45052</v>
      </c>
      <c r="B10" s="182" t="s">
        <v>239</v>
      </c>
      <c r="C10" s="149">
        <v>27348.16</v>
      </c>
      <c r="D10" s="181"/>
      <c r="E10" s="149"/>
      <c r="F10" s="183">
        <f t="shared" si="0"/>
        <v>332238.45999999996</v>
      </c>
    </row>
    <row r="11" spans="1:7" ht="21" customHeight="1" x14ac:dyDescent="0.25">
      <c r="A11" s="181">
        <v>45054</v>
      </c>
      <c r="B11" s="182" t="s">
        <v>240</v>
      </c>
      <c r="C11" s="149">
        <v>108330.2</v>
      </c>
      <c r="D11" s="181"/>
      <c r="E11" s="149"/>
      <c r="F11" s="183">
        <f t="shared" si="0"/>
        <v>440568.66</v>
      </c>
    </row>
    <row r="12" spans="1:7" ht="21" customHeight="1" x14ac:dyDescent="0.3">
      <c r="A12" s="181">
        <v>45054</v>
      </c>
      <c r="B12" s="182" t="s">
        <v>241</v>
      </c>
      <c r="C12" s="149">
        <v>4400</v>
      </c>
      <c r="D12" s="181"/>
      <c r="E12" s="149"/>
      <c r="F12" s="183">
        <f t="shared" si="0"/>
        <v>444968.66</v>
      </c>
      <c r="G12" s="184"/>
    </row>
    <row r="13" spans="1:7" ht="21" customHeight="1" x14ac:dyDescent="0.25">
      <c r="A13" s="181">
        <v>45055</v>
      </c>
      <c r="B13" s="182" t="s">
        <v>242</v>
      </c>
      <c r="C13" s="149">
        <v>89158.2</v>
      </c>
      <c r="D13" s="181"/>
      <c r="E13" s="149"/>
      <c r="F13" s="183">
        <f t="shared" si="0"/>
        <v>534126.86</v>
      </c>
    </row>
    <row r="14" spans="1:7" ht="21" customHeight="1" x14ac:dyDescent="0.25">
      <c r="A14" s="181">
        <v>45055</v>
      </c>
      <c r="B14" s="182" t="s">
        <v>243</v>
      </c>
      <c r="C14" s="149">
        <v>1938</v>
      </c>
      <c r="D14" s="181"/>
      <c r="E14" s="149"/>
      <c r="F14" s="183">
        <f t="shared" si="0"/>
        <v>536064.86</v>
      </c>
    </row>
    <row r="15" spans="1:7" ht="21" customHeight="1" x14ac:dyDescent="0.25">
      <c r="A15" s="181">
        <v>45056</v>
      </c>
      <c r="B15" s="182" t="s">
        <v>244</v>
      </c>
      <c r="C15" s="149">
        <v>154181.06</v>
      </c>
      <c r="D15" s="181"/>
      <c r="E15" s="149"/>
      <c r="F15" s="183">
        <f t="shared" si="0"/>
        <v>690245.91999999993</v>
      </c>
    </row>
    <row r="16" spans="1:7" ht="21" customHeight="1" x14ac:dyDescent="0.25">
      <c r="A16" s="181">
        <v>45057</v>
      </c>
      <c r="B16" s="182" t="s">
        <v>245</v>
      </c>
      <c r="C16" s="149">
        <v>15564.8</v>
      </c>
      <c r="D16" s="181"/>
      <c r="E16" s="149"/>
      <c r="F16" s="183">
        <f t="shared" si="0"/>
        <v>705810.72</v>
      </c>
    </row>
    <row r="17" spans="1:10" ht="21" customHeight="1" x14ac:dyDescent="0.25">
      <c r="A17" s="181">
        <v>45057</v>
      </c>
      <c r="B17" s="182" t="s">
        <v>246</v>
      </c>
      <c r="C17" s="149">
        <v>39017.879999999997</v>
      </c>
      <c r="D17" s="181"/>
      <c r="E17" s="149"/>
      <c r="F17" s="183">
        <f t="shared" si="0"/>
        <v>744828.6</v>
      </c>
    </row>
    <row r="18" spans="1:10" ht="21" customHeight="1" x14ac:dyDescent="0.25">
      <c r="A18" s="181">
        <v>45057</v>
      </c>
      <c r="B18" s="182" t="s">
        <v>247</v>
      </c>
      <c r="C18" s="149">
        <v>13727.52</v>
      </c>
      <c r="D18" s="181"/>
      <c r="E18" s="149"/>
      <c r="F18" s="183">
        <f t="shared" si="0"/>
        <v>758556.12</v>
      </c>
    </row>
    <row r="19" spans="1:10" ht="21" customHeight="1" x14ac:dyDescent="0.25">
      <c r="A19" s="181">
        <v>45057</v>
      </c>
      <c r="B19" s="182" t="s">
        <v>248</v>
      </c>
      <c r="C19" s="149">
        <v>161854.88</v>
      </c>
      <c r="D19" s="181"/>
      <c r="E19" s="149"/>
      <c r="F19" s="183">
        <f t="shared" si="0"/>
        <v>920411</v>
      </c>
    </row>
    <row r="20" spans="1:10" ht="21" customHeight="1" x14ac:dyDescent="0.25">
      <c r="A20" s="181">
        <v>45059</v>
      </c>
      <c r="B20" s="182" t="s">
        <v>249</v>
      </c>
      <c r="C20" s="149">
        <v>69357.02</v>
      </c>
      <c r="D20" s="181"/>
      <c r="E20" s="149"/>
      <c r="F20" s="183">
        <f t="shared" si="0"/>
        <v>989768.02</v>
      </c>
    </row>
    <row r="21" spans="1:10" ht="24.75" customHeight="1" x14ac:dyDescent="0.25">
      <c r="A21" s="181">
        <v>45059</v>
      </c>
      <c r="B21" s="182" t="s">
        <v>250</v>
      </c>
      <c r="C21" s="149">
        <v>11116.8</v>
      </c>
      <c r="D21" s="181"/>
      <c r="E21" s="149"/>
      <c r="F21" s="183">
        <f t="shared" si="0"/>
        <v>1000884.8200000001</v>
      </c>
    </row>
    <row r="22" spans="1:10" ht="21" customHeight="1" x14ac:dyDescent="0.25">
      <c r="A22" s="181">
        <v>45059</v>
      </c>
      <c r="B22" s="182" t="s">
        <v>251</v>
      </c>
      <c r="C22" s="149">
        <v>46897.2</v>
      </c>
      <c r="D22" s="181"/>
      <c r="E22" s="149"/>
      <c r="F22" s="183">
        <f t="shared" si="0"/>
        <v>1047782.02</v>
      </c>
    </row>
    <row r="23" spans="1:10" ht="33" x14ac:dyDescent="0.3">
      <c r="A23" s="181">
        <v>45059</v>
      </c>
      <c r="B23" s="309" t="s">
        <v>252</v>
      </c>
      <c r="C23" s="228">
        <v>23556.1</v>
      </c>
      <c r="D23" s="181"/>
      <c r="E23" s="149"/>
      <c r="F23" s="183">
        <f t="shared" si="0"/>
        <v>1071338.1200000001</v>
      </c>
    </row>
    <row r="24" spans="1:10" ht="21" customHeight="1" x14ac:dyDescent="0.3">
      <c r="A24" s="181">
        <v>45061</v>
      </c>
      <c r="B24" s="182" t="s">
        <v>253</v>
      </c>
      <c r="C24" s="149">
        <v>53010.8</v>
      </c>
      <c r="D24" s="181"/>
      <c r="E24" s="149"/>
      <c r="F24" s="183">
        <f t="shared" si="0"/>
        <v>1124348.9200000002</v>
      </c>
      <c r="G24" s="184"/>
    </row>
    <row r="25" spans="1:10" ht="21" customHeight="1" x14ac:dyDescent="0.25">
      <c r="A25" s="181">
        <v>45061</v>
      </c>
      <c r="B25" s="182" t="s">
        <v>254</v>
      </c>
      <c r="C25" s="149">
        <v>63878.6</v>
      </c>
      <c r="D25" s="181"/>
      <c r="E25" s="149"/>
      <c r="F25" s="183">
        <f t="shared" si="0"/>
        <v>1188227.5200000003</v>
      </c>
    </row>
    <row r="26" spans="1:10" ht="21" customHeight="1" x14ac:dyDescent="0.25">
      <c r="A26" s="181">
        <v>45062</v>
      </c>
      <c r="B26" s="182" t="s">
        <v>255</v>
      </c>
      <c r="C26" s="149">
        <v>52068.58</v>
      </c>
      <c r="D26" s="181"/>
      <c r="E26" s="149"/>
      <c r="F26" s="183">
        <f t="shared" si="0"/>
        <v>1240296.1000000003</v>
      </c>
    </row>
    <row r="27" spans="1:10" ht="21" customHeight="1" x14ac:dyDescent="0.25">
      <c r="A27" s="181">
        <v>45063</v>
      </c>
      <c r="B27" s="182" t="s">
        <v>256</v>
      </c>
      <c r="C27" s="149">
        <v>43958.2</v>
      </c>
      <c r="D27" s="181"/>
      <c r="E27" s="149"/>
      <c r="F27" s="183">
        <f t="shared" si="0"/>
        <v>1284254.3000000003</v>
      </c>
    </row>
    <row r="28" spans="1:10" ht="21" customHeight="1" x14ac:dyDescent="0.25">
      <c r="A28" s="181">
        <v>45064</v>
      </c>
      <c r="B28" s="182" t="s">
        <v>257</v>
      </c>
      <c r="C28" s="149">
        <v>138935.70000000001</v>
      </c>
      <c r="D28" s="181"/>
      <c r="E28" s="149"/>
      <c r="F28" s="183">
        <f t="shared" si="0"/>
        <v>1423190.0000000002</v>
      </c>
    </row>
    <row r="29" spans="1:10" ht="21" customHeight="1" x14ac:dyDescent="0.25">
      <c r="A29" s="181">
        <v>45065</v>
      </c>
      <c r="B29" s="182" t="s">
        <v>258</v>
      </c>
      <c r="C29" s="149">
        <v>60468.800000000003</v>
      </c>
      <c r="D29" s="181"/>
      <c r="E29" s="149"/>
      <c r="F29" s="183">
        <f t="shared" si="0"/>
        <v>1483658.8000000003</v>
      </c>
      <c r="J29" s="149">
        <v>0</v>
      </c>
    </row>
    <row r="30" spans="1:10" ht="21" customHeight="1" x14ac:dyDescent="0.25">
      <c r="A30" s="181">
        <v>45065</v>
      </c>
      <c r="B30" s="182" t="s">
        <v>259</v>
      </c>
      <c r="C30" s="149">
        <v>99046.94</v>
      </c>
      <c r="D30" s="181"/>
      <c r="E30" s="149"/>
      <c r="F30" s="183">
        <f t="shared" si="0"/>
        <v>1582705.7400000002</v>
      </c>
      <c r="J30" s="149">
        <v>0</v>
      </c>
    </row>
    <row r="31" spans="1:10" ht="21" customHeight="1" x14ac:dyDescent="0.25">
      <c r="A31" s="181">
        <v>45066</v>
      </c>
      <c r="B31" s="182" t="s">
        <v>260</v>
      </c>
      <c r="C31" s="149">
        <v>56108.36</v>
      </c>
      <c r="D31" s="181"/>
      <c r="E31" s="149"/>
      <c r="F31" s="183">
        <f t="shared" si="0"/>
        <v>1638814.1000000003</v>
      </c>
      <c r="J31" s="149">
        <v>0</v>
      </c>
    </row>
    <row r="32" spans="1:10" ht="21" customHeight="1" x14ac:dyDescent="0.3">
      <c r="A32" s="181">
        <v>45066</v>
      </c>
      <c r="B32" s="182" t="s">
        <v>261</v>
      </c>
      <c r="C32" s="149">
        <v>107958.5</v>
      </c>
      <c r="D32" s="181"/>
      <c r="E32" s="149"/>
      <c r="F32" s="183">
        <f t="shared" si="0"/>
        <v>1746772.6000000003</v>
      </c>
      <c r="G32" s="184"/>
      <c r="J32" s="149">
        <v>0</v>
      </c>
    </row>
    <row r="33" spans="1:10" ht="21" customHeight="1" x14ac:dyDescent="0.25">
      <c r="A33" s="181">
        <v>45066</v>
      </c>
      <c r="B33" s="182" t="s">
        <v>262</v>
      </c>
      <c r="C33" s="149">
        <v>8315.2000000000007</v>
      </c>
      <c r="D33" s="181"/>
      <c r="E33" s="149"/>
      <c r="F33" s="183">
        <f t="shared" si="0"/>
        <v>1755087.8000000003</v>
      </c>
      <c r="J33" s="149">
        <v>0</v>
      </c>
    </row>
    <row r="34" spans="1:10" ht="21" customHeight="1" x14ac:dyDescent="0.25">
      <c r="A34" s="181">
        <v>45066</v>
      </c>
      <c r="B34" s="182" t="s">
        <v>263</v>
      </c>
      <c r="C34" s="149">
        <v>6609.6</v>
      </c>
      <c r="D34" s="181"/>
      <c r="E34" s="149"/>
      <c r="F34" s="183">
        <f t="shared" si="0"/>
        <v>1761697.4000000004</v>
      </c>
      <c r="J34" s="149">
        <v>0</v>
      </c>
    </row>
    <row r="35" spans="1:10" ht="23.25" customHeight="1" x14ac:dyDescent="0.25">
      <c r="A35" s="181">
        <v>45068</v>
      </c>
      <c r="B35" s="182" t="s">
        <v>264</v>
      </c>
      <c r="C35" s="149">
        <v>57648.99</v>
      </c>
      <c r="D35" s="181"/>
      <c r="E35" s="149"/>
      <c r="F35" s="183">
        <f t="shared" si="0"/>
        <v>1819346.3900000004</v>
      </c>
      <c r="J35" s="149">
        <v>0</v>
      </c>
    </row>
    <row r="36" spans="1:10" ht="23.25" customHeight="1" x14ac:dyDescent="0.25">
      <c r="A36" s="181">
        <v>45069</v>
      </c>
      <c r="B36" s="182" t="s">
        <v>265</v>
      </c>
      <c r="C36" s="149">
        <v>61833.43</v>
      </c>
      <c r="D36" s="181"/>
      <c r="E36" s="149"/>
      <c r="F36" s="183">
        <f t="shared" si="0"/>
        <v>1881179.8200000003</v>
      </c>
      <c r="J36" s="133">
        <v>0</v>
      </c>
    </row>
    <row r="37" spans="1:10" ht="23.25" customHeight="1" x14ac:dyDescent="0.25">
      <c r="A37" s="181">
        <v>45070</v>
      </c>
      <c r="B37" s="182" t="s">
        <v>277</v>
      </c>
      <c r="C37" s="149">
        <v>80529.399999999994</v>
      </c>
      <c r="D37" s="181"/>
      <c r="E37" s="149"/>
      <c r="F37" s="183">
        <f t="shared" si="0"/>
        <v>1961709.2200000002</v>
      </c>
      <c r="J37" s="187">
        <f>SUM(J29:J36)</f>
        <v>0</v>
      </c>
    </row>
    <row r="38" spans="1:10" ht="23.25" customHeight="1" x14ac:dyDescent="0.25">
      <c r="A38" s="181">
        <v>45070</v>
      </c>
      <c r="B38" s="182" t="s">
        <v>278</v>
      </c>
      <c r="C38" s="149">
        <v>42103.8</v>
      </c>
      <c r="D38" s="181"/>
      <c r="E38" s="149"/>
      <c r="F38" s="183">
        <f t="shared" si="0"/>
        <v>2003813.0200000003</v>
      </c>
    </row>
    <row r="39" spans="1:10" ht="23.25" customHeight="1" x14ac:dyDescent="0.25">
      <c r="A39" s="181">
        <v>45071</v>
      </c>
      <c r="B39" s="182" t="s">
        <v>279</v>
      </c>
      <c r="C39" s="149">
        <v>93750.64</v>
      </c>
      <c r="D39" s="181"/>
      <c r="E39" s="149"/>
      <c r="F39" s="183">
        <f t="shared" si="0"/>
        <v>2097563.66</v>
      </c>
    </row>
    <row r="40" spans="1:10" ht="23.25" customHeight="1" x14ac:dyDescent="0.25">
      <c r="A40" s="181">
        <v>45072</v>
      </c>
      <c r="B40" s="182" t="s">
        <v>281</v>
      </c>
      <c r="C40" s="149">
        <v>68130.36</v>
      </c>
      <c r="D40" s="181"/>
      <c r="E40" s="100"/>
      <c r="F40" s="183">
        <f t="shared" si="0"/>
        <v>2165694.02</v>
      </c>
    </row>
    <row r="41" spans="1:10" ht="23.25" customHeight="1" x14ac:dyDescent="0.25">
      <c r="A41" s="181">
        <v>45073</v>
      </c>
      <c r="B41" s="182" t="s">
        <v>282</v>
      </c>
      <c r="C41" s="149">
        <v>81290.36</v>
      </c>
      <c r="D41" s="181"/>
      <c r="E41" s="100"/>
      <c r="F41" s="183">
        <f t="shared" si="0"/>
        <v>2246984.38</v>
      </c>
    </row>
    <row r="42" spans="1:10" ht="23.25" customHeight="1" x14ac:dyDescent="0.25">
      <c r="A42" s="185">
        <v>45073</v>
      </c>
      <c r="B42" s="186" t="s">
        <v>283</v>
      </c>
      <c r="C42" s="149">
        <v>81272.33</v>
      </c>
      <c r="D42" s="185"/>
      <c r="E42" s="100"/>
      <c r="F42" s="183">
        <f t="shared" si="0"/>
        <v>2328256.71</v>
      </c>
    </row>
    <row r="43" spans="1:10" ht="23.25" customHeight="1" x14ac:dyDescent="0.25">
      <c r="A43" s="245">
        <v>45076</v>
      </c>
      <c r="B43" s="247" t="s">
        <v>284</v>
      </c>
      <c r="C43" s="149">
        <v>3381.4</v>
      </c>
      <c r="D43" s="192"/>
      <c r="E43" s="100"/>
      <c r="F43" s="183">
        <f t="shared" si="0"/>
        <v>2331638.11</v>
      </c>
    </row>
    <row r="44" spans="1:10" ht="23.25" customHeight="1" x14ac:dyDescent="0.25">
      <c r="A44" s="246">
        <v>45076</v>
      </c>
      <c r="B44" s="248" t="s">
        <v>285</v>
      </c>
      <c r="C44" s="149">
        <v>2936.2</v>
      </c>
      <c r="D44" s="192"/>
      <c r="E44" s="100"/>
      <c r="F44" s="183">
        <f t="shared" si="0"/>
        <v>2334574.31</v>
      </c>
    </row>
    <row r="45" spans="1:10" ht="23.25" customHeight="1" x14ac:dyDescent="0.25">
      <c r="A45" s="246">
        <v>45076</v>
      </c>
      <c r="B45" s="248" t="s">
        <v>286</v>
      </c>
      <c r="C45" s="149">
        <v>5871.2</v>
      </c>
      <c r="D45" s="192"/>
      <c r="E45" s="100"/>
      <c r="F45" s="183">
        <f t="shared" si="0"/>
        <v>2340445.5100000002</v>
      </c>
    </row>
    <row r="46" spans="1:10" ht="23.25" customHeight="1" x14ac:dyDescent="0.25">
      <c r="A46" s="246">
        <v>45076</v>
      </c>
      <c r="B46" s="248" t="s">
        <v>287</v>
      </c>
      <c r="C46" s="149">
        <v>102416.92</v>
      </c>
      <c r="D46" s="192"/>
      <c r="E46" s="100"/>
      <c r="F46" s="183">
        <f t="shared" si="0"/>
        <v>2442862.4300000002</v>
      </c>
    </row>
    <row r="47" spans="1:10" ht="23.25" customHeight="1" x14ac:dyDescent="0.25">
      <c r="A47" s="246">
        <v>45078</v>
      </c>
      <c r="B47" s="248" t="s">
        <v>288</v>
      </c>
      <c r="C47" s="149">
        <v>123067.92</v>
      </c>
      <c r="D47" s="192"/>
      <c r="E47" s="100"/>
      <c r="F47" s="183">
        <f t="shared" si="0"/>
        <v>2565930.35</v>
      </c>
    </row>
    <row r="48" spans="1:10" ht="23.25" customHeight="1" x14ac:dyDescent="0.25">
      <c r="A48" s="246">
        <v>45078</v>
      </c>
      <c r="B48" s="248" t="s">
        <v>289</v>
      </c>
      <c r="C48" s="149">
        <v>60041</v>
      </c>
      <c r="D48" s="192"/>
      <c r="E48" s="100"/>
      <c r="F48" s="183">
        <f t="shared" si="0"/>
        <v>2625971.35</v>
      </c>
    </row>
    <row r="49" spans="1:6" ht="23.25" customHeight="1" x14ac:dyDescent="0.25">
      <c r="A49" s="246">
        <v>45079</v>
      </c>
      <c r="B49" s="248" t="s">
        <v>280</v>
      </c>
      <c r="C49" s="149">
        <v>111551.03999999999</v>
      </c>
      <c r="D49" s="192"/>
      <c r="E49" s="100"/>
      <c r="F49" s="183">
        <f t="shared" si="0"/>
        <v>2737522.39</v>
      </c>
    </row>
    <row r="50" spans="1:6" ht="23.25" customHeight="1" x14ac:dyDescent="0.25">
      <c r="A50" s="246">
        <v>45080</v>
      </c>
      <c r="B50" s="248" t="s">
        <v>290</v>
      </c>
      <c r="C50" s="149">
        <v>123774.8</v>
      </c>
      <c r="D50" s="192"/>
      <c r="E50" s="100"/>
      <c r="F50" s="183">
        <f t="shared" si="0"/>
        <v>2861297.19</v>
      </c>
    </row>
    <row r="51" spans="1:6" ht="23.25" customHeight="1" x14ac:dyDescent="0.25">
      <c r="A51" s="246">
        <v>45080</v>
      </c>
      <c r="B51" s="248" t="s">
        <v>291</v>
      </c>
      <c r="C51" s="149">
        <v>82069.899999999994</v>
      </c>
      <c r="D51" s="192"/>
      <c r="E51" s="100"/>
      <c r="F51" s="183">
        <f t="shared" si="0"/>
        <v>2943367.09</v>
      </c>
    </row>
    <row r="52" spans="1:6" ht="23.25" customHeight="1" x14ac:dyDescent="0.25">
      <c r="A52" s="246">
        <v>45080</v>
      </c>
      <c r="B52" s="248" t="s">
        <v>292</v>
      </c>
      <c r="C52" s="149">
        <v>12435.2</v>
      </c>
      <c r="D52" s="192"/>
      <c r="E52" s="100"/>
      <c r="F52" s="183">
        <f t="shared" si="0"/>
        <v>2955802.29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2955802.29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2955802.29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2955802.29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2955802.29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2955802.29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2955802.29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2955802.29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2955802.29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2955802.29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2955802.29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2955802.29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2955802.29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2955802.29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2955802.29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2955802.29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2955802.29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2955802.29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2955802.29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2955802.29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2955802.29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2955802.29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2955802.29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2955802.29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2955802.29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2955802.29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2955802.29</v>
      </c>
    </row>
    <row r="79" spans="1:6" ht="39.75" customHeight="1" thickBot="1" x14ac:dyDescent="0.35">
      <c r="A79" s="201"/>
      <c r="B79" s="202"/>
      <c r="C79" s="317">
        <f>SUM(C3:C78)</f>
        <v>2955802.29</v>
      </c>
      <c r="D79" s="175"/>
      <c r="E79" s="204">
        <f>SUM(E3:E78)</f>
        <v>0</v>
      </c>
      <c r="F79" s="205">
        <f>F78</f>
        <v>2955802.29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U79"/>
  <sheetViews>
    <sheetView topLeftCell="E1" zoomScale="115" zoomScaleNormal="115" workbookViewId="0">
      <selection activeCell="P23" sqref="P2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8"/>
      <c r="C1" s="350" t="s">
        <v>380</v>
      </c>
      <c r="D1" s="351"/>
      <c r="E1" s="351"/>
      <c r="F1" s="351"/>
      <c r="G1" s="351"/>
      <c r="H1" s="351"/>
      <c r="I1" s="351"/>
      <c r="J1" s="351"/>
      <c r="K1" s="351"/>
      <c r="L1" s="351"/>
      <c r="M1" s="351"/>
    </row>
    <row r="2" spans="1:21" ht="16.5" thickBot="1" x14ac:dyDescent="0.3">
      <c r="B2" s="349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52" t="s">
        <v>0</v>
      </c>
      <c r="C3" s="353"/>
      <c r="D3" s="10"/>
      <c r="E3" s="11"/>
      <c r="F3" s="11"/>
      <c r="H3" s="354" t="s">
        <v>1</v>
      </c>
      <c r="I3" s="354"/>
      <c r="K3" s="13"/>
      <c r="L3" s="13"/>
      <c r="M3" s="6"/>
      <c r="R3" s="384" t="s">
        <v>2</v>
      </c>
    </row>
    <row r="4" spans="1:21" ht="20.25" thickTop="1" thickBot="1" x14ac:dyDescent="0.35">
      <c r="A4" s="14" t="s">
        <v>3</v>
      </c>
      <c r="B4" s="15"/>
      <c r="C4" s="16">
        <v>345633.69</v>
      </c>
      <c r="D4" s="307">
        <v>45081</v>
      </c>
      <c r="E4" s="333" t="s">
        <v>4</v>
      </c>
      <c r="F4" s="334"/>
      <c r="H4" s="335" t="s">
        <v>5</v>
      </c>
      <c r="I4" s="336"/>
      <c r="J4" s="255"/>
      <c r="K4" s="256"/>
      <c r="L4" s="16"/>
      <c r="M4" s="21" t="s">
        <v>6</v>
      </c>
      <c r="N4" s="22" t="s">
        <v>7</v>
      </c>
      <c r="P4" s="370" t="s">
        <v>8</v>
      </c>
      <c r="Q4" s="371"/>
      <c r="R4" s="385"/>
    </row>
    <row r="5" spans="1:21" ht="18" thickBot="1" x14ac:dyDescent="0.35">
      <c r="A5" s="23" t="s">
        <v>9</v>
      </c>
      <c r="B5" s="24">
        <v>45082</v>
      </c>
      <c r="C5" s="25">
        <v>1965</v>
      </c>
      <c r="D5" s="26" t="s">
        <v>211</v>
      </c>
      <c r="E5" s="27">
        <v>45082</v>
      </c>
      <c r="F5" s="28">
        <v>122017</v>
      </c>
      <c r="G5" s="29"/>
      <c r="H5" s="30">
        <v>45082</v>
      </c>
      <c r="I5" s="31">
        <v>135</v>
      </c>
      <c r="J5" s="251"/>
      <c r="K5" s="257"/>
      <c r="L5" s="13"/>
      <c r="M5" s="33">
        <f>73000+62801</f>
        <v>135801</v>
      </c>
      <c r="N5" s="34">
        <v>8009.28</v>
      </c>
      <c r="O5" s="35"/>
      <c r="P5" s="235">
        <f>N5+M5+L5+I5+C5</f>
        <v>145910.28</v>
      </c>
      <c r="Q5" s="236">
        <v>233.28</v>
      </c>
      <c r="R5" s="237">
        <v>23660</v>
      </c>
      <c r="S5" s="37"/>
    </row>
    <row r="6" spans="1:21" ht="18" thickBot="1" x14ac:dyDescent="0.35">
      <c r="A6" s="23"/>
      <c r="B6" s="24">
        <v>45083</v>
      </c>
      <c r="C6" s="25">
        <v>0</v>
      </c>
      <c r="D6" s="38"/>
      <c r="E6" s="27">
        <v>45083</v>
      </c>
      <c r="F6" s="28">
        <v>79057</v>
      </c>
      <c r="G6" s="29"/>
      <c r="H6" s="30">
        <v>45083</v>
      </c>
      <c r="I6" s="31">
        <v>0</v>
      </c>
      <c r="J6" s="258"/>
      <c r="K6" s="71"/>
      <c r="L6" s="259"/>
      <c r="M6" s="33">
        <f>20500+58034</f>
        <v>78534</v>
      </c>
      <c r="N6" s="34">
        <v>757</v>
      </c>
      <c r="O6" s="35"/>
      <c r="P6" s="235">
        <f>N6+M6+L6+I6+C6</f>
        <v>79291</v>
      </c>
      <c r="Q6" s="236">
        <v>23</v>
      </c>
      <c r="R6" s="237">
        <v>211</v>
      </c>
      <c r="S6" s="37"/>
      <c r="T6" s="9"/>
    </row>
    <row r="7" spans="1:21" ht="18" thickBot="1" x14ac:dyDescent="0.35">
      <c r="A7" s="23"/>
      <c r="B7" s="24">
        <v>45084</v>
      </c>
      <c r="C7" s="25">
        <v>0</v>
      </c>
      <c r="D7" s="42"/>
      <c r="E7" s="27">
        <v>45084</v>
      </c>
      <c r="F7" s="28">
        <v>70746</v>
      </c>
      <c r="G7" s="29"/>
      <c r="H7" s="30">
        <v>45084</v>
      </c>
      <c r="I7" s="31">
        <v>180</v>
      </c>
      <c r="J7" s="258"/>
      <c r="K7" s="102"/>
      <c r="L7" s="259"/>
      <c r="M7" s="33">
        <v>73359</v>
      </c>
      <c r="N7" s="34">
        <v>526</v>
      </c>
      <c r="O7" s="35"/>
      <c r="P7" s="235">
        <f>N7+M7+L7+I7+C7</f>
        <v>74065</v>
      </c>
      <c r="Q7" s="236">
        <v>16</v>
      </c>
      <c r="R7" s="237">
        <v>3303</v>
      </c>
      <c r="S7" s="37"/>
    </row>
    <row r="8" spans="1:21" ht="18" thickBot="1" x14ac:dyDescent="0.35">
      <c r="A8" s="23"/>
      <c r="B8" s="24">
        <v>45085</v>
      </c>
      <c r="C8" s="25">
        <v>0</v>
      </c>
      <c r="D8" s="42"/>
      <c r="E8" s="27">
        <v>45085</v>
      </c>
      <c r="F8" s="28">
        <v>122318</v>
      </c>
      <c r="G8" s="29"/>
      <c r="H8" s="30">
        <v>45085</v>
      </c>
      <c r="I8" s="31">
        <v>100</v>
      </c>
      <c r="J8" s="258"/>
      <c r="K8" s="260"/>
      <c r="L8" s="259"/>
      <c r="M8" s="33">
        <f>36400+85590</f>
        <v>121990</v>
      </c>
      <c r="N8" s="34">
        <v>235</v>
      </c>
      <c r="O8" s="35"/>
      <c r="P8" s="235">
        <f t="shared" ref="P8:P45" si="0">N8+M8+L8+I8+C8</f>
        <v>122325</v>
      </c>
      <c r="Q8" s="236">
        <f t="shared" ref="Q8:Q44" si="1">P8-F8</f>
        <v>7</v>
      </c>
      <c r="R8" s="238">
        <v>0</v>
      </c>
      <c r="S8" s="37"/>
    </row>
    <row r="9" spans="1:21" ht="18" thickBot="1" x14ac:dyDescent="0.35">
      <c r="A9" s="23"/>
      <c r="B9" s="24">
        <v>45086</v>
      </c>
      <c r="C9" s="25">
        <v>11989</v>
      </c>
      <c r="D9" s="46" t="s">
        <v>69</v>
      </c>
      <c r="E9" s="27">
        <v>45086</v>
      </c>
      <c r="F9" s="28">
        <v>102953</v>
      </c>
      <c r="G9" s="29"/>
      <c r="H9" s="30">
        <v>45086</v>
      </c>
      <c r="I9" s="31">
        <v>201</v>
      </c>
      <c r="J9" s="258"/>
      <c r="K9" s="261"/>
      <c r="L9" s="259"/>
      <c r="M9" s="33">
        <v>90763</v>
      </c>
      <c r="N9" s="34">
        <v>0</v>
      </c>
      <c r="O9" s="35"/>
      <c r="P9" s="235">
        <f t="shared" si="0"/>
        <v>102953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45087</v>
      </c>
      <c r="C10" s="25">
        <v>3480</v>
      </c>
      <c r="D10" s="38" t="s">
        <v>213</v>
      </c>
      <c r="E10" s="27">
        <v>45087</v>
      </c>
      <c r="F10" s="28">
        <v>109011</v>
      </c>
      <c r="G10" s="29"/>
      <c r="H10" s="30">
        <v>45087</v>
      </c>
      <c r="I10" s="31">
        <v>116</v>
      </c>
      <c r="J10" s="258">
        <v>45087</v>
      </c>
      <c r="K10" s="262" t="s">
        <v>366</v>
      </c>
      <c r="L10" s="263">
        <v>8700</v>
      </c>
      <c r="M10" s="33">
        <f>34600+53069</f>
        <v>87669</v>
      </c>
      <c r="N10" s="34">
        <v>9317</v>
      </c>
      <c r="O10" s="35"/>
      <c r="P10" s="235">
        <f>N10+M10+L10+I10+C10</f>
        <v>109282</v>
      </c>
      <c r="Q10" s="236">
        <f t="shared" si="1"/>
        <v>271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45088</v>
      </c>
      <c r="C11" s="25">
        <v>0</v>
      </c>
      <c r="D11" s="38"/>
      <c r="E11" s="27">
        <v>45088</v>
      </c>
      <c r="F11" s="28">
        <v>90289</v>
      </c>
      <c r="G11" s="29"/>
      <c r="H11" s="30">
        <v>45088</v>
      </c>
      <c r="I11" s="31">
        <v>0</v>
      </c>
      <c r="J11" s="258"/>
      <c r="K11" s="261"/>
      <c r="L11" s="259"/>
      <c r="M11" s="33">
        <f>65600+38070</f>
        <v>103670</v>
      </c>
      <c r="N11" s="34">
        <v>896</v>
      </c>
      <c r="O11" s="35"/>
      <c r="P11" s="235">
        <f>N11+M11+L11+I11+C11</f>
        <v>104566</v>
      </c>
      <c r="Q11" s="236">
        <v>27</v>
      </c>
      <c r="R11" s="237">
        <v>14250</v>
      </c>
      <c r="S11" s="37"/>
    </row>
    <row r="12" spans="1:21" ht="18" thickBot="1" x14ac:dyDescent="0.35">
      <c r="A12" s="23"/>
      <c r="B12" s="24">
        <v>45089</v>
      </c>
      <c r="C12" s="25">
        <v>0</v>
      </c>
      <c r="D12" s="38"/>
      <c r="E12" s="27">
        <v>45089</v>
      </c>
      <c r="F12" s="28">
        <v>158875</v>
      </c>
      <c r="G12" s="29"/>
      <c r="H12" s="30">
        <v>45089</v>
      </c>
      <c r="I12" s="31">
        <v>130</v>
      </c>
      <c r="J12" s="258"/>
      <c r="K12" s="264"/>
      <c r="L12" s="259"/>
      <c r="M12" s="33">
        <f>46000+14200+98545</f>
        <v>158745</v>
      </c>
      <c r="N12" s="34">
        <v>0</v>
      </c>
      <c r="O12" s="35"/>
      <c r="P12" s="235">
        <f t="shared" si="0"/>
        <v>158875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45090</v>
      </c>
      <c r="C13" s="25">
        <v>0</v>
      </c>
      <c r="D13" s="42"/>
      <c r="E13" s="27">
        <v>45090</v>
      </c>
      <c r="F13" s="28">
        <v>90002</v>
      </c>
      <c r="G13" s="29"/>
      <c r="H13" s="30">
        <v>45090</v>
      </c>
      <c r="I13" s="31">
        <v>5</v>
      </c>
      <c r="J13" s="258"/>
      <c r="K13" s="71"/>
      <c r="L13" s="259"/>
      <c r="M13" s="33">
        <f>56576+33200</f>
        <v>89776</v>
      </c>
      <c r="N13" s="34">
        <v>227</v>
      </c>
      <c r="O13" s="35"/>
      <c r="P13" s="235">
        <f t="shared" si="0"/>
        <v>90008</v>
      </c>
      <c r="Q13" s="236">
        <f t="shared" si="1"/>
        <v>6</v>
      </c>
      <c r="R13" s="238">
        <v>0</v>
      </c>
      <c r="S13" s="37"/>
    </row>
    <row r="14" spans="1:21" ht="18" thickBot="1" x14ac:dyDescent="0.35">
      <c r="A14" s="23"/>
      <c r="B14" s="24">
        <v>45091</v>
      </c>
      <c r="C14" s="25">
        <v>0</v>
      </c>
      <c r="D14" s="46"/>
      <c r="E14" s="27">
        <v>45091</v>
      </c>
      <c r="F14" s="28">
        <v>101786</v>
      </c>
      <c r="G14" s="29"/>
      <c r="H14" s="30">
        <v>45091</v>
      </c>
      <c r="I14" s="31">
        <v>214</v>
      </c>
      <c r="J14" s="258"/>
      <c r="K14" s="260"/>
      <c r="L14" s="259"/>
      <c r="M14" s="33">
        <f>16000+85572</f>
        <v>101572</v>
      </c>
      <c r="N14" s="34">
        <v>0</v>
      </c>
      <c r="O14" s="35"/>
      <c r="P14" s="235">
        <f t="shared" si="0"/>
        <v>101786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45092</v>
      </c>
      <c r="C15" s="25">
        <v>0</v>
      </c>
      <c r="D15" s="46"/>
      <c r="E15" s="27">
        <v>45092</v>
      </c>
      <c r="F15" s="28">
        <v>127207</v>
      </c>
      <c r="G15" s="29"/>
      <c r="H15" s="30">
        <v>45092</v>
      </c>
      <c r="I15" s="31">
        <v>118</v>
      </c>
      <c r="J15" s="258"/>
      <c r="K15" s="260"/>
      <c r="L15" s="259"/>
      <c r="M15" s="33">
        <f>94589+200+32300</f>
        <v>127089</v>
      </c>
      <c r="N15" s="34">
        <v>0</v>
      </c>
      <c r="O15" s="314"/>
      <c r="P15" s="235">
        <f t="shared" si="0"/>
        <v>127207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45093</v>
      </c>
      <c r="C16" s="25">
        <v>8396</v>
      </c>
      <c r="D16" s="52" t="s">
        <v>69</v>
      </c>
      <c r="E16" s="27">
        <v>45093</v>
      </c>
      <c r="F16" s="28">
        <v>176461</v>
      </c>
      <c r="G16" s="29"/>
      <c r="H16" s="30">
        <v>45093</v>
      </c>
      <c r="I16" s="31">
        <v>53</v>
      </c>
      <c r="J16" s="258"/>
      <c r="K16" s="260"/>
      <c r="L16" s="13"/>
      <c r="M16" s="33">
        <f>42400+123810</f>
        <v>166210</v>
      </c>
      <c r="N16" s="34">
        <v>1857</v>
      </c>
      <c r="O16" s="35"/>
      <c r="P16" s="235">
        <f t="shared" si="0"/>
        <v>176516</v>
      </c>
      <c r="Q16" s="236">
        <f t="shared" si="1"/>
        <v>55</v>
      </c>
      <c r="R16" s="238">
        <v>0</v>
      </c>
      <c r="S16" s="37"/>
    </row>
    <row r="17" spans="1:20" ht="18" thickBot="1" x14ac:dyDescent="0.35">
      <c r="A17" s="23"/>
      <c r="B17" s="24">
        <v>45094</v>
      </c>
      <c r="C17" s="25">
        <v>3900</v>
      </c>
      <c r="D17" s="46" t="s">
        <v>213</v>
      </c>
      <c r="E17" s="27">
        <v>45094</v>
      </c>
      <c r="F17" s="28">
        <v>119489</v>
      </c>
      <c r="G17" s="29"/>
      <c r="H17" s="30">
        <v>45094</v>
      </c>
      <c r="I17" s="31">
        <v>140</v>
      </c>
      <c r="J17" s="258">
        <v>45094</v>
      </c>
      <c r="K17" s="326" t="s">
        <v>367</v>
      </c>
      <c r="L17" s="263">
        <v>9950</v>
      </c>
      <c r="M17" s="33">
        <f>12200+92087</f>
        <v>104287</v>
      </c>
      <c r="N17" s="34">
        <v>1249</v>
      </c>
      <c r="O17" s="35"/>
      <c r="P17" s="235">
        <f t="shared" si="0"/>
        <v>119526</v>
      </c>
      <c r="Q17" s="236">
        <f t="shared" si="1"/>
        <v>37</v>
      </c>
      <c r="R17" s="238">
        <v>0</v>
      </c>
      <c r="S17" s="37"/>
    </row>
    <row r="18" spans="1:20" ht="18" thickBot="1" x14ac:dyDescent="0.35">
      <c r="A18" s="23"/>
      <c r="B18" s="24">
        <v>45095</v>
      </c>
      <c r="C18" s="25">
        <v>0</v>
      </c>
      <c r="D18" s="38"/>
      <c r="E18" s="27">
        <v>45095</v>
      </c>
      <c r="F18" s="28">
        <v>83403</v>
      </c>
      <c r="G18" s="29"/>
      <c r="H18" s="30">
        <v>45095</v>
      </c>
      <c r="I18" s="31">
        <v>50</v>
      </c>
      <c r="J18" s="258"/>
      <c r="K18" s="265"/>
      <c r="L18" s="259"/>
      <c r="M18" s="33">
        <f>67100+16253</f>
        <v>83353</v>
      </c>
      <c r="N18" s="34">
        <v>0</v>
      </c>
      <c r="O18" s="35"/>
      <c r="P18" s="235">
        <f t="shared" si="0"/>
        <v>83403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45096</v>
      </c>
      <c r="C19" s="25">
        <v>0</v>
      </c>
      <c r="D19" s="38"/>
      <c r="E19" s="27">
        <v>45096</v>
      </c>
      <c r="F19" s="28">
        <v>121449</v>
      </c>
      <c r="G19" s="29"/>
      <c r="H19" s="30">
        <v>45096</v>
      </c>
      <c r="I19" s="31">
        <v>929</v>
      </c>
      <c r="J19" s="258"/>
      <c r="K19" s="266"/>
      <c r="L19" s="267"/>
      <c r="M19" s="33">
        <f>79520+41000</f>
        <v>120520</v>
      </c>
      <c r="N19" s="34">
        <v>0</v>
      </c>
      <c r="O19" s="35"/>
      <c r="P19" s="235">
        <f t="shared" si="0"/>
        <v>121449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45097</v>
      </c>
      <c r="C20" s="25">
        <v>0</v>
      </c>
      <c r="D20" s="38"/>
      <c r="E20" s="27">
        <v>45097</v>
      </c>
      <c r="F20" s="28">
        <v>146120</v>
      </c>
      <c r="G20" s="29"/>
      <c r="H20" s="30">
        <v>45097</v>
      </c>
      <c r="I20" s="31">
        <v>80</v>
      </c>
      <c r="J20" s="258"/>
      <c r="K20" s="262"/>
      <c r="L20" s="263"/>
      <c r="M20" s="33">
        <f>5000+141040</f>
        <v>146040</v>
      </c>
      <c r="N20" s="34">
        <v>0</v>
      </c>
      <c r="O20" s="35"/>
      <c r="P20" s="235">
        <f t="shared" si="0"/>
        <v>146120</v>
      </c>
      <c r="Q20" s="236" t="s">
        <v>9</v>
      </c>
      <c r="R20" s="238">
        <v>0</v>
      </c>
      <c r="S20" s="37"/>
    </row>
    <row r="21" spans="1:20" ht="18" thickBot="1" x14ac:dyDescent="0.35">
      <c r="A21" s="23"/>
      <c r="B21" s="24">
        <v>45098</v>
      </c>
      <c r="C21" s="25">
        <v>0</v>
      </c>
      <c r="D21" s="38"/>
      <c r="E21" s="27">
        <v>45098</v>
      </c>
      <c r="F21" s="28">
        <v>34428</v>
      </c>
      <c r="G21" s="29"/>
      <c r="H21" s="30">
        <v>45098</v>
      </c>
      <c r="I21" s="31">
        <v>200</v>
      </c>
      <c r="J21" s="258"/>
      <c r="K21" s="268"/>
      <c r="L21" s="263"/>
      <c r="M21" s="33">
        <f>7000+27228</f>
        <v>34228</v>
      </c>
      <c r="N21" s="34">
        <v>0</v>
      </c>
      <c r="O21" s="35"/>
      <c r="P21" s="235">
        <f t="shared" si="0"/>
        <v>34428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45099</v>
      </c>
      <c r="C22" s="25">
        <v>12689</v>
      </c>
      <c r="D22" s="46" t="s">
        <v>69</v>
      </c>
      <c r="E22" s="27">
        <v>45099</v>
      </c>
      <c r="F22" s="28">
        <v>204772</v>
      </c>
      <c r="G22" s="29"/>
      <c r="H22" s="30">
        <v>45099</v>
      </c>
      <c r="I22" s="31">
        <v>31</v>
      </c>
      <c r="J22" s="258"/>
      <c r="K22" s="302"/>
      <c r="L22" s="269"/>
      <c r="M22" s="33">
        <f>90000+102052</f>
        <v>192052</v>
      </c>
      <c r="N22" s="34">
        <v>0</v>
      </c>
      <c r="O22" s="315"/>
      <c r="P22" s="235">
        <f t="shared" si="0"/>
        <v>204772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45100</v>
      </c>
      <c r="C23" s="25">
        <v>9833</v>
      </c>
      <c r="D23" s="46"/>
      <c r="E23" s="27">
        <v>45100</v>
      </c>
      <c r="F23" s="28">
        <v>184445</v>
      </c>
      <c r="G23" s="29"/>
      <c r="H23" s="30">
        <v>45100</v>
      </c>
      <c r="I23" s="31">
        <v>204</v>
      </c>
      <c r="J23" s="270"/>
      <c r="K23" s="271"/>
      <c r="L23" s="263"/>
      <c r="M23" s="33">
        <f>15500+158659</f>
        <v>174159</v>
      </c>
      <c r="N23" s="34">
        <v>256.47000000000003</v>
      </c>
      <c r="O23" s="35"/>
      <c r="P23" s="235">
        <f t="shared" si="0"/>
        <v>184452.47</v>
      </c>
      <c r="Q23" s="236">
        <f t="shared" si="1"/>
        <v>7.4700000000011642</v>
      </c>
      <c r="R23" s="238">
        <v>0</v>
      </c>
      <c r="S23" s="37"/>
    </row>
    <row r="24" spans="1:20" ht="18" thickBot="1" x14ac:dyDescent="0.35">
      <c r="A24" s="23"/>
      <c r="B24" s="24">
        <v>45101</v>
      </c>
      <c r="C24" s="25">
        <v>5616</v>
      </c>
      <c r="D24" s="42" t="s">
        <v>368</v>
      </c>
      <c r="E24" s="27">
        <v>45101</v>
      </c>
      <c r="F24" s="28">
        <v>114135</v>
      </c>
      <c r="G24" s="29"/>
      <c r="H24" s="30">
        <v>45101</v>
      </c>
      <c r="I24" s="31">
        <v>38</v>
      </c>
      <c r="J24" s="272">
        <v>45101</v>
      </c>
      <c r="K24" s="271" t="s">
        <v>369</v>
      </c>
      <c r="L24" s="273">
        <v>8017</v>
      </c>
      <c r="M24" s="33">
        <f>26000+73808</f>
        <v>99808</v>
      </c>
      <c r="N24" s="34">
        <v>675.88</v>
      </c>
      <c r="O24" s="35"/>
      <c r="P24" s="235">
        <f t="shared" si="0"/>
        <v>114154.88</v>
      </c>
      <c r="Q24" s="236">
        <f t="shared" si="1"/>
        <v>19.880000000004657</v>
      </c>
      <c r="R24" s="238">
        <v>0</v>
      </c>
      <c r="S24" s="37"/>
    </row>
    <row r="25" spans="1:20" ht="18" thickBot="1" x14ac:dyDescent="0.35">
      <c r="A25" s="23"/>
      <c r="B25" s="24">
        <v>45102</v>
      </c>
      <c r="C25" s="25">
        <v>0</v>
      </c>
      <c r="D25" s="38"/>
      <c r="E25" s="27">
        <v>45102</v>
      </c>
      <c r="F25" s="28">
        <v>122912</v>
      </c>
      <c r="G25" s="29"/>
      <c r="H25" s="30">
        <v>45102</v>
      </c>
      <c r="I25" s="31">
        <v>5</v>
      </c>
      <c r="J25" s="274"/>
      <c r="K25" s="275"/>
      <c r="L25" s="276"/>
      <c r="M25" s="33">
        <f>101000+19010+500</f>
        <v>120510</v>
      </c>
      <c r="N25" s="34">
        <v>2468.91</v>
      </c>
      <c r="O25" s="35"/>
      <c r="P25" s="235">
        <f t="shared" si="0"/>
        <v>122983.91</v>
      </c>
      <c r="Q25" s="236">
        <f t="shared" si="1"/>
        <v>71.910000000003492</v>
      </c>
      <c r="R25" s="238">
        <v>0</v>
      </c>
      <c r="S25" s="37"/>
    </row>
    <row r="26" spans="1:20" ht="18" thickBot="1" x14ac:dyDescent="0.35">
      <c r="A26" s="23"/>
      <c r="B26" s="24">
        <v>45103</v>
      </c>
      <c r="C26" s="25">
        <v>0</v>
      </c>
      <c r="D26" s="38"/>
      <c r="E26" s="27">
        <v>45103</v>
      </c>
      <c r="F26" s="28">
        <v>156919</v>
      </c>
      <c r="G26" s="29"/>
      <c r="H26" s="30">
        <v>45103</v>
      </c>
      <c r="I26" s="31">
        <v>199</v>
      </c>
      <c r="J26" s="258"/>
      <c r="K26" s="271"/>
      <c r="L26" s="263"/>
      <c r="M26" s="33">
        <f>23000+133406</f>
        <v>156406</v>
      </c>
      <c r="N26" s="34">
        <v>323.42</v>
      </c>
      <c r="O26" s="35"/>
      <c r="P26" s="235">
        <f t="shared" si="0"/>
        <v>156928.42000000001</v>
      </c>
      <c r="Q26" s="236">
        <f t="shared" si="1"/>
        <v>9.4200000000128057</v>
      </c>
      <c r="R26" s="238">
        <v>0</v>
      </c>
      <c r="S26" s="37"/>
    </row>
    <row r="27" spans="1:20" ht="18" thickBot="1" x14ac:dyDescent="0.35">
      <c r="A27" s="23"/>
      <c r="B27" s="24">
        <v>45104</v>
      </c>
      <c r="C27" s="25">
        <v>16</v>
      </c>
      <c r="D27" s="42"/>
      <c r="E27" s="27">
        <v>45104</v>
      </c>
      <c r="F27" s="28">
        <v>86884</v>
      </c>
      <c r="G27" s="29"/>
      <c r="H27" s="30">
        <v>45104</v>
      </c>
      <c r="I27" s="31">
        <v>144</v>
      </c>
      <c r="J27" s="277"/>
      <c r="K27" s="275"/>
      <c r="L27" s="276"/>
      <c r="M27" s="33">
        <f>54724+32000</f>
        <v>86724</v>
      </c>
      <c r="N27" s="34">
        <v>0</v>
      </c>
      <c r="O27" s="35"/>
      <c r="P27" s="235">
        <f t="shared" si="0"/>
        <v>86884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45105</v>
      </c>
      <c r="C28" s="25">
        <v>0</v>
      </c>
      <c r="D28" s="42"/>
      <c r="E28" s="27">
        <v>45105</v>
      </c>
      <c r="F28" s="28">
        <v>115082</v>
      </c>
      <c r="G28" s="29"/>
      <c r="H28" s="30">
        <v>45105</v>
      </c>
      <c r="I28" s="31">
        <v>152</v>
      </c>
      <c r="J28" s="278"/>
      <c r="K28" s="71"/>
      <c r="L28" s="276"/>
      <c r="M28" s="33">
        <f>67303+47000</f>
        <v>114303</v>
      </c>
      <c r="N28" s="34">
        <v>645.80999999999995</v>
      </c>
      <c r="O28" s="35"/>
      <c r="P28" s="235">
        <f t="shared" si="0"/>
        <v>115100.81</v>
      </c>
      <c r="Q28" s="236">
        <f t="shared" si="1"/>
        <v>18.809999999997672</v>
      </c>
      <c r="R28" s="238">
        <v>0</v>
      </c>
      <c r="S28" s="37"/>
    </row>
    <row r="29" spans="1:20" ht="18" thickBot="1" x14ac:dyDescent="0.35">
      <c r="A29" s="23"/>
      <c r="B29" s="24">
        <v>45106</v>
      </c>
      <c r="C29" s="25">
        <v>0</v>
      </c>
      <c r="D29" s="72"/>
      <c r="E29" s="27">
        <v>45106</v>
      </c>
      <c r="F29" s="28">
        <v>98065</v>
      </c>
      <c r="G29" s="29"/>
      <c r="H29" s="30">
        <v>45106</v>
      </c>
      <c r="I29" s="31">
        <v>130</v>
      </c>
      <c r="J29" s="277"/>
      <c r="K29" s="279"/>
      <c r="L29" s="276"/>
      <c r="M29" s="33">
        <f>68310+29000</f>
        <v>97310</v>
      </c>
      <c r="N29" s="34">
        <v>643.75</v>
      </c>
      <c r="O29" s="35"/>
      <c r="P29" s="235">
        <f t="shared" si="0"/>
        <v>98083.75</v>
      </c>
      <c r="Q29" s="236">
        <f t="shared" si="1"/>
        <v>18.75</v>
      </c>
      <c r="R29" s="238">
        <v>0</v>
      </c>
      <c r="S29" s="37"/>
      <c r="T29" s="9"/>
    </row>
    <row r="30" spans="1:20" ht="18" thickBot="1" x14ac:dyDescent="0.35">
      <c r="A30" s="23"/>
      <c r="B30" s="24">
        <v>45107</v>
      </c>
      <c r="C30" s="25">
        <v>9696</v>
      </c>
      <c r="D30" s="72" t="s">
        <v>69</v>
      </c>
      <c r="E30" s="27">
        <v>45107</v>
      </c>
      <c r="F30" s="28">
        <v>120962</v>
      </c>
      <c r="G30" s="29"/>
      <c r="H30" s="30">
        <v>45107</v>
      </c>
      <c r="I30" s="31">
        <v>103</v>
      </c>
      <c r="J30" s="86"/>
      <c r="K30" s="280"/>
      <c r="L30" s="281"/>
      <c r="M30" s="33">
        <f>98289+12000</f>
        <v>110289</v>
      </c>
      <c r="N30" s="34">
        <v>900.22</v>
      </c>
      <c r="O30" s="35"/>
      <c r="P30" s="235">
        <f t="shared" si="0"/>
        <v>120988.22</v>
      </c>
      <c r="Q30" s="236">
        <f t="shared" si="1"/>
        <v>26.220000000001164</v>
      </c>
      <c r="R30" s="238">
        <v>0</v>
      </c>
      <c r="S30" s="37"/>
    </row>
    <row r="31" spans="1:20" ht="18" thickBot="1" x14ac:dyDescent="0.35">
      <c r="A31" s="23"/>
      <c r="B31" s="24">
        <v>45108</v>
      </c>
      <c r="C31" s="25">
        <v>3000</v>
      </c>
      <c r="D31" s="77" t="s">
        <v>67</v>
      </c>
      <c r="E31" s="27">
        <v>45108</v>
      </c>
      <c r="F31" s="28">
        <v>141525</v>
      </c>
      <c r="G31" s="29"/>
      <c r="H31" s="30">
        <v>45108</v>
      </c>
      <c r="I31" s="31">
        <v>148</v>
      </c>
      <c r="J31" s="278">
        <v>45108</v>
      </c>
      <c r="K31" s="275" t="s">
        <v>370</v>
      </c>
      <c r="L31" s="276">
        <v>8233</v>
      </c>
      <c r="M31" s="33">
        <f>24500+103972</f>
        <v>128472</v>
      </c>
      <c r="N31" s="34">
        <v>1722.16</v>
      </c>
      <c r="O31" s="35"/>
      <c r="P31" s="235">
        <f t="shared" si="0"/>
        <v>141575.16</v>
      </c>
      <c r="Q31" s="236">
        <f t="shared" si="1"/>
        <v>50.160000000003492</v>
      </c>
      <c r="R31" s="238">
        <v>0</v>
      </c>
      <c r="S31" s="37"/>
    </row>
    <row r="32" spans="1:20" ht="18" thickBot="1" x14ac:dyDescent="0.35">
      <c r="A32" s="23"/>
      <c r="B32" s="24">
        <v>45109</v>
      </c>
      <c r="C32" s="25">
        <v>0</v>
      </c>
      <c r="D32" s="82"/>
      <c r="E32" s="27">
        <v>45109</v>
      </c>
      <c r="F32" s="28">
        <v>68123</v>
      </c>
      <c r="G32" s="29"/>
      <c r="H32" s="30">
        <v>45109</v>
      </c>
      <c r="I32" s="31">
        <v>0</v>
      </c>
      <c r="J32" s="86"/>
      <c r="K32" s="280"/>
      <c r="L32" s="281"/>
      <c r="M32" s="33">
        <f>56000+11112</f>
        <v>67112</v>
      </c>
      <c r="N32" s="34">
        <v>1041.33</v>
      </c>
      <c r="O32" s="35"/>
      <c r="P32" s="235">
        <f t="shared" si="0"/>
        <v>68153.33</v>
      </c>
      <c r="Q32" s="236">
        <f t="shared" si="1"/>
        <v>30.330000000001746</v>
      </c>
      <c r="R32" s="238">
        <v>0</v>
      </c>
      <c r="S32" s="37"/>
    </row>
    <row r="33" spans="1:19" ht="18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86"/>
      <c r="K34" s="83"/>
      <c r="L34" s="284"/>
      <c r="M34" s="33">
        <v>0</v>
      </c>
      <c r="N34" s="34">
        <v>0</v>
      </c>
      <c r="O34" s="35"/>
      <c r="P34" s="235">
        <f t="shared" si="0"/>
        <v>0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/>
      <c r="G35" s="29"/>
      <c r="H35" s="30"/>
      <c r="I35" s="31"/>
      <c r="J35" s="86">
        <v>45083</v>
      </c>
      <c r="K35" s="282" t="s">
        <v>371</v>
      </c>
      <c r="L35" s="216">
        <v>365.4</v>
      </c>
      <c r="M35" s="33">
        <v>0</v>
      </c>
      <c r="N35" s="34">
        <v>0</v>
      </c>
      <c r="O35" s="35"/>
      <c r="P35" s="235">
        <f t="shared" si="0"/>
        <v>365.4</v>
      </c>
      <c r="Q35" s="236">
        <v>0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>
        <v>45084</v>
      </c>
      <c r="K36" s="285" t="s">
        <v>372</v>
      </c>
      <c r="L36" s="216">
        <v>1225.1199999999999</v>
      </c>
      <c r="M36" s="33">
        <v>0</v>
      </c>
      <c r="N36" s="34">
        <v>0</v>
      </c>
      <c r="O36" s="35"/>
      <c r="P36" s="235">
        <f t="shared" si="0"/>
        <v>1225.1199999999999</v>
      </c>
      <c r="Q36" s="236"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45084</v>
      </c>
      <c r="K37" s="330" t="s">
        <v>378</v>
      </c>
      <c r="L37" s="216">
        <v>6902.3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45086</v>
      </c>
      <c r="K38" s="282" t="s">
        <v>373</v>
      </c>
      <c r="L38" s="216">
        <v>14500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45091</v>
      </c>
      <c r="K39" s="319" t="s">
        <v>379</v>
      </c>
      <c r="L39" s="281">
        <v>522</v>
      </c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45093</v>
      </c>
      <c r="K40" s="231" t="s">
        <v>374</v>
      </c>
      <c r="L40" s="281">
        <v>664</v>
      </c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45097</v>
      </c>
      <c r="K41" s="305" t="s">
        <v>375</v>
      </c>
      <c r="L41" s="281">
        <v>1392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45105</v>
      </c>
      <c r="K42" s="231" t="s">
        <v>376</v>
      </c>
      <c r="L42" s="281">
        <v>1031.47</v>
      </c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45107</v>
      </c>
      <c r="K43" s="89" t="s">
        <v>377</v>
      </c>
      <c r="L43" s="281">
        <v>786.07</v>
      </c>
      <c r="M43" s="33">
        <v>0</v>
      </c>
      <c r="N43" s="34">
        <v>0</v>
      </c>
      <c r="O43" s="35"/>
      <c r="P43" s="240">
        <v>0</v>
      </c>
      <c r="Q43" s="236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327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55">
        <f>SUM(M5:M39)</f>
        <v>3170751</v>
      </c>
      <c r="N45" s="340">
        <f>SUM(N5:N39)</f>
        <v>31751.230000000003</v>
      </c>
      <c r="P45" s="98">
        <f t="shared" si="0"/>
        <v>3202502.23</v>
      </c>
      <c r="Q45" s="328">
        <f>SUM(Q21:Q44)</f>
        <v>252.95000000002619</v>
      </c>
      <c r="R45" s="329">
        <f>SUM(R5:R39)</f>
        <v>41424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6"/>
      <c r="N46" s="341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70580</v>
      </c>
      <c r="D49" s="123"/>
      <c r="E49" s="124" t="s">
        <v>10</v>
      </c>
      <c r="F49" s="125">
        <f>SUM(F5:F48)</f>
        <v>3269435</v>
      </c>
      <c r="G49" s="123"/>
      <c r="H49" s="126" t="s">
        <v>11</v>
      </c>
      <c r="I49" s="127">
        <f>SUM(I5:I48)</f>
        <v>3805</v>
      </c>
      <c r="J49" s="290"/>
      <c r="K49" s="291" t="s">
        <v>12</v>
      </c>
      <c r="L49" s="292">
        <f>SUM(L5:L48)</f>
        <v>62288.360000000008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2" t="s">
        <v>13</v>
      </c>
      <c r="I51" s="343"/>
      <c r="J51" s="135"/>
      <c r="K51" s="344">
        <f>I49+L49</f>
        <v>66093.360000000015</v>
      </c>
      <c r="L51" s="345"/>
      <c r="M51" s="346">
        <f>N45+M45</f>
        <v>3202502.23</v>
      </c>
      <c r="N51" s="347"/>
      <c r="P51" s="36"/>
      <c r="Q51" s="9"/>
    </row>
    <row r="52" spans="1:17" x14ac:dyDescent="0.25">
      <c r="D52" s="339" t="s">
        <v>14</v>
      </c>
      <c r="E52" s="339"/>
      <c r="F52" s="136">
        <f>F49-K51-C49</f>
        <v>3132761.64</v>
      </c>
      <c r="I52" s="137"/>
      <c r="J52" s="138"/>
      <c r="P52" s="36"/>
      <c r="Q52" s="9"/>
    </row>
    <row r="53" spans="1:17" x14ac:dyDescent="0.25">
      <c r="D53" s="357" t="s">
        <v>15</v>
      </c>
      <c r="E53" s="357"/>
      <c r="F53" s="131">
        <v>-3128572.23</v>
      </c>
      <c r="I53" s="358" t="s">
        <v>16</v>
      </c>
      <c r="J53" s="359"/>
      <c r="K53" s="372">
        <f>F55+F56+F57</f>
        <v>417897.52000000014</v>
      </c>
      <c r="L53" s="373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4189.410000000149</v>
      </c>
      <c r="H55" s="23"/>
      <c r="I55" s="146" t="s">
        <v>18</v>
      </c>
      <c r="J55" s="147"/>
      <c r="K55" s="374">
        <f>-C4</f>
        <v>-345633.69</v>
      </c>
      <c r="L55" s="375"/>
    </row>
    <row r="56" spans="1:17" ht="16.5" thickBot="1" x14ac:dyDescent="0.3">
      <c r="D56" s="148" t="s">
        <v>19</v>
      </c>
      <c r="E56" s="133" t="s">
        <v>20</v>
      </c>
      <c r="F56" s="149">
        <v>54600</v>
      </c>
    </row>
    <row r="57" spans="1:17" ht="20.25" thickTop="1" thickBot="1" x14ac:dyDescent="0.35">
      <c r="C57" s="150">
        <v>45109</v>
      </c>
      <c r="D57" s="364" t="s">
        <v>21</v>
      </c>
      <c r="E57" s="365"/>
      <c r="F57" s="316">
        <v>359108.11</v>
      </c>
      <c r="I57" s="381" t="s">
        <v>22</v>
      </c>
      <c r="J57" s="382"/>
      <c r="K57" s="383">
        <f>K53+K55</f>
        <v>72263.830000000133</v>
      </c>
      <c r="L57" s="383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J115"/>
  <sheetViews>
    <sheetView topLeftCell="A10" workbookViewId="0">
      <selection activeCell="J24" sqref="J24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320" t="s">
        <v>299</v>
      </c>
      <c r="B3" s="321" t="s">
        <v>300</v>
      </c>
      <c r="C3" s="323">
        <v>3978.8</v>
      </c>
      <c r="D3" s="244"/>
      <c r="E3" s="220"/>
      <c r="F3" s="180">
        <f>C3-E3</f>
        <v>3978.8</v>
      </c>
    </row>
    <row r="4" spans="1:7" ht="22.5" customHeight="1" x14ac:dyDescent="0.25">
      <c r="A4" s="320" t="s">
        <v>299</v>
      </c>
      <c r="B4" s="321" t="s">
        <v>301</v>
      </c>
      <c r="C4" s="323">
        <v>64419.48</v>
      </c>
      <c r="D4" s="244"/>
      <c r="E4" s="220"/>
      <c r="F4" s="183">
        <f>C4-E4+F3</f>
        <v>68398.28</v>
      </c>
    </row>
    <row r="5" spans="1:7" ht="21" customHeight="1" x14ac:dyDescent="0.25">
      <c r="A5" s="320" t="s">
        <v>299</v>
      </c>
      <c r="B5" s="321" t="s">
        <v>302</v>
      </c>
      <c r="C5" s="323">
        <v>95868.9</v>
      </c>
      <c r="D5" s="244"/>
      <c r="E5" s="220"/>
      <c r="F5" s="183">
        <f t="shared" ref="F5:F68" si="0">C5-E5+F4</f>
        <v>164267.18</v>
      </c>
    </row>
    <row r="6" spans="1:7" ht="21" customHeight="1" x14ac:dyDescent="0.3">
      <c r="A6" s="320" t="s">
        <v>303</v>
      </c>
      <c r="B6" s="321" t="s">
        <v>304</v>
      </c>
      <c r="C6" s="323">
        <v>44423.7</v>
      </c>
      <c r="D6" s="244"/>
      <c r="E6" s="220"/>
      <c r="F6" s="183">
        <f t="shared" si="0"/>
        <v>208690.88</v>
      </c>
      <c r="G6" s="184"/>
    </row>
    <row r="7" spans="1:7" ht="21" customHeight="1" x14ac:dyDescent="0.25">
      <c r="A7" s="320" t="s">
        <v>305</v>
      </c>
      <c r="B7" s="321" t="s">
        <v>306</v>
      </c>
      <c r="C7" s="323">
        <v>170743.1</v>
      </c>
      <c r="D7" s="244"/>
      <c r="E7" s="220"/>
      <c r="F7" s="183">
        <f t="shared" si="0"/>
        <v>379433.98</v>
      </c>
    </row>
    <row r="8" spans="1:7" ht="21" customHeight="1" x14ac:dyDescent="0.25">
      <c r="A8" s="320" t="s">
        <v>305</v>
      </c>
      <c r="B8" s="321" t="s">
        <v>307</v>
      </c>
      <c r="C8" s="323">
        <v>60459.24</v>
      </c>
      <c r="D8" s="244"/>
      <c r="E8" s="220"/>
      <c r="F8" s="183">
        <f t="shared" si="0"/>
        <v>439893.22</v>
      </c>
    </row>
    <row r="9" spans="1:7" ht="21" customHeight="1" x14ac:dyDescent="0.25">
      <c r="A9" s="320" t="s">
        <v>308</v>
      </c>
      <c r="B9" s="321" t="s">
        <v>309</v>
      </c>
      <c r="C9" s="323">
        <v>7758.5</v>
      </c>
      <c r="D9" s="181"/>
      <c r="E9" s="149"/>
      <c r="F9" s="183">
        <f t="shared" si="0"/>
        <v>447651.72</v>
      </c>
    </row>
    <row r="10" spans="1:7" ht="21" customHeight="1" x14ac:dyDescent="0.25">
      <c r="A10" s="320" t="s">
        <v>308</v>
      </c>
      <c r="B10" s="321" t="s">
        <v>310</v>
      </c>
      <c r="C10" s="323">
        <v>132173.82</v>
      </c>
      <c r="D10" s="181"/>
      <c r="E10" s="149"/>
      <c r="F10" s="183">
        <f t="shared" si="0"/>
        <v>579825.54</v>
      </c>
    </row>
    <row r="11" spans="1:7" ht="21" customHeight="1" x14ac:dyDescent="0.25">
      <c r="A11" s="320" t="s">
        <v>311</v>
      </c>
      <c r="B11" s="321" t="s">
        <v>312</v>
      </c>
      <c r="C11" s="323">
        <v>120438.76</v>
      </c>
      <c r="D11" s="181"/>
      <c r="E11" s="149"/>
      <c r="F11" s="183">
        <f t="shared" si="0"/>
        <v>700264.3</v>
      </c>
    </row>
    <row r="12" spans="1:7" ht="21" customHeight="1" x14ac:dyDescent="0.3">
      <c r="A12" s="320" t="s">
        <v>311</v>
      </c>
      <c r="B12" s="321" t="s">
        <v>313</v>
      </c>
      <c r="C12" s="323">
        <v>7203.42</v>
      </c>
      <c r="D12" s="181"/>
      <c r="E12" s="149"/>
      <c r="F12" s="183">
        <f t="shared" si="0"/>
        <v>707467.72000000009</v>
      </c>
      <c r="G12" s="184"/>
    </row>
    <row r="13" spans="1:7" ht="21" customHeight="1" x14ac:dyDescent="0.25">
      <c r="A13" s="320" t="s">
        <v>314</v>
      </c>
      <c r="B13" s="321" t="s">
        <v>315</v>
      </c>
      <c r="C13" s="323">
        <v>107201.98</v>
      </c>
      <c r="D13" s="181"/>
      <c r="E13" s="149"/>
      <c r="F13" s="183">
        <f t="shared" si="0"/>
        <v>814669.70000000007</v>
      </c>
    </row>
    <row r="14" spans="1:7" ht="21" customHeight="1" x14ac:dyDescent="0.25">
      <c r="A14" s="320" t="s">
        <v>314</v>
      </c>
      <c r="B14" s="321" t="s">
        <v>316</v>
      </c>
      <c r="C14" s="323">
        <v>16000.8</v>
      </c>
      <c r="D14" s="181"/>
      <c r="E14" s="149"/>
      <c r="F14" s="183">
        <f t="shared" si="0"/>
        <v>830670.50000000012</v>
      </c>
    </row>
    <row r="15" spans="1:7" ht="21" customHeight="1" x14ac:dyDescent="0.25">
      <c r="A15" s="320" t="s">
        <v>317</v>
      </c>
      <c r="B15" s="321" t="s">
        <v>318</v>
      </c>
      <c r="C15" s="323">
        <v>10953.36</v>
      </c>
      <c r="D15" s="181"/>
      <c r="E15" s="149"/>
      <c r="F15" s="183">
        <f t="shared" si="0"/>
        <v>841623.8600000001</v>
      </c>
    </row>
    <row r="16" spans="1:7" ht="21" customHeight="1" x14ac:dyDescent="0.25">
      <c r="A16" s="320" t="s">
        <v>317</v>
      </c>
      <c r="B16" s="321" t="s">
        <v>319</v>
      </c>
      <c r="C16" s="323">
        <v>97086.17</v>
      </c>
      <c r="D16" s="181"/>
      <c r="E16" s="149"/>
      <c r="F16" s="183">
        <f t="shared" si="0"/>
        <v>938710.03000000014</v>
      </c>
    </row>
    <row r="17" spans="1:10" ht="21" customHeight="1" x14ac:dyDescent="0.25">
      <c r="A17" s="320" t="s">
        <v>320</v>
      </c>
      <c r="B17" s="321" t="s">
        <v>321</v>
      </c>
      <c r="C17" s="323">
        <v>1822.2</v>
      </c>
      <c r="D17" s="181"/>
      <c r="E17" s="149"/>
      <c r="F17" s="183">
        <f t="shared" si="0"/>
        <v>940532.2300000001</v>
      </c>
    </row>
    <row r="18" spans="1:10" ht="21" customHeight="1" x14ac:dyDescent="0.25">
      <c r="A18" s="320" t="s">
        <v>320</v>
      </c>
      <c r="B18" s="321" t="s">
        <v>322</v>
      </c>
      <c r="C18" s="323">
        <v>161998.60999999999</v>
      </c>
      <c r="D18" s="181"/>
      <c r="E18" s="149"/>
      <c r="F18" s="183">
        <f t="shared" si="0"/>
        <v>1102530.8400000001</v>
      </c>
      <c r="J18" s="133" t="s">
        <v>363</v>
      </c>
    </row>
    <row r="19" spans="1:10" ht="21" customHeight="1" x14ac:dyDescent="0.25">
      <c r="A19" s="320" t="s">
        <v>320</v>
      </c>
      <c r="B19" s="321" t="s">
        <v>323</v>
      </c>
      <c r="C19" s="323">
        <v>134198.39999999999</v>
      </c>
      <c r="D19" s="181"/>
      <c r="E19" s="149"/>
      <c r="F19" s="183">
        <f t="shared" si="0"/>
        <v>1236729.24</v>
      </c>
    </row>
    <row r="20" spans="1:10" ht="21" customHeight="1" x14ac:dyDescent="0.25">
      <c r="A20" s="320" t="s">
        <v>324</v>
      </c>
      <c r="B20" s="321" t="s">
        <v>325</v>
      </c>
      <c r="C20" s="323">
        <v>22309.25</v>
      </c>
      <c r="D20" s="181"/>
      <c r="E20" s="149"/>
      <c r="F20" s="183">
        <f t="shared" si="0"/>
        <v>1259038.49</v>
      </c>
    </row>
    <row r="21" spans="1:10" ht="24.75" customHeight="1" x14ac:dyDescent="0.25">
      <c r="A21" s="320" t="s">
        <v>326</v>
      </c>
      <c r="B21" s="321" t="s">
        <v>327</v>
      </c>
      <c r="C21" s="323">
        <v>123022.82</v>
      </c>
      <c r="D21" s="181"/>
      <c r="E21" s="149"/>
      <c r="F21" s="183">
        <f t="shared" si="0"/>
        <v>1382061.31</v>
      </c>
    </row>
    <row r="22" spans="1:10" ht="21" customHeight="1" x14ac:dyDescent="0.25">
      <c r="A22" s="320" t="s">
        <v>326</v>
      </c>
      <c r="B22" s="321" t="s">
        <v>328</v>
      </c>
      <c r="C22" s="323">
        <v>68289.399999999994</v>
      </c>
      <c r="D22" s="181"/>
      <c r="E22" s="149"/>
      <c r="F22" s="183">
        <f t="shared" si="0"/>
        <v>1450350.71</v>
      </c>
    </row>
    <row r="23" spans="1:10" ht="24.75" customHeight="1" x14ac:dyDescent="0.25">
      <c r="A23" s="320" t="s">
        <v>326</v>
      </c>
      <c r="B23" s="321" t="s">
        <v>329</v>
      </c>
      <c r="C23" s="323">
        <v>71866.8</v>
      </c>
      <c r="D23" s="181"/>
      <c r="E23" s="149"/>
      <c r="F23" s="183">
        <f t="shared" si="0"/>
        <v>1522217.51</v>
      </c>
    </row>
    <row r="24" spans="1:10" ht="21" customHeight="1" x14ac:dyDescent="0.3">
      <c r="A24" s="320" t="s">
        <v>330</v>
      </c>
      <c r="B24" s="321" t="s">
        <v>331</v>
      </c>
      <c r="C24" s="323">
        <v>96915.5</v>
      </c>
      <c r="D24" s="181"/>
      <c r="E24" s="149"/>
      <c r="F24" s="183">
        <f t="shared" si="0"/>
        <v>1619133.01</v>
      </c>
      <c r="G24" s="184"/>
    </row>
    <row r="25" spans="1:10" ht="21" customHeight="1" x14ac:dyDescent="0.25">
      <c r="A25" s="320" t="s">
        <v>332</v>
      </c>
      <c r="B25" s="321" t="s">
        <v>333</v>
      </c>
      <c r="C25" s="323">
        <v>146054.39999999999</v>
      </c>
      <c r="D25" s="181"/>
      <c r="E25" s="149"/>
      <c r="F25" s="183">
        <f t="shared" si="0"/>
        <v>1765187.41</v>
      </c>
    </row>
    <row r="26" spans="1:10" ht="21" customHeight="1" x14ac:dyDescent="0.25">
      <c r="A26" s="320" t="s">
        <v>332</v>
      </c>
      <c r="B26" s="321" t="s">
        <v>334</v>
      </c>
      <c r="C26" s="323">
        <v>37448.699999999997</v>
      </c>
      <c r="D26" s="181"/>
      <c r="E26" s="149"/>
      <c r="F26" s="183">
        <f t="shared" si="0"/>
        <v>1802636.1099999999</v>
      </c>
    </row>
    <row r="27" spans="1:10" ht="21" customHeight="1" x14ac:dyDescent="0.25">
      <c r="A27" s="320" t="s">
        <v>335</v>
      </c>
      <c r="B27" s="321" t="s">
        <v>336</v>
      </c>
      <c r="C27" s="323">
        <v>25900.95</v>
      </c>
      <c r="D27" s="181"/>
      <c r="E27" s="149"/>
      <c r="F27" s="183">
        <f t="shared" si="0"/>
        <v>1828537.0599999998</v>
      </c>
    </row>
    <row r="28" spans="1:10" ht="21" customHeight="1" x14ac:dyDescent="0.25">
      <c r="A28" s="320" t="s">
        <v>335</v>
      </c>
      <c r="B28" s="321" t="s">
        <v>337</v>
      </c>
      <c r="C28" s="323">
        <v>60133.8</v>
      </c>
      <c r="D28" s="181"/>
      <c r="E28" s="149"/>
      <c r="F28" s="183">
        <f t="shared" si="0"/>
        <v>1888670.8599999999</v>
      </c>
    </row>
    <row r="29" spans="1:10" ht="21" customHeight="1" x14ac:dyDescent="0.25">
      <c r="A29" s="320" t="s">
        <v>335</v>
      </c>
      <c r="B29" s="321" t="s">
        <v>338</v>
      </c>
      <c r="C29" s="323">
        <v>90966.99</v>
      </c>
      <c r="D29" s="181"/>
      <c r="E29" s="149"/>
      <c r="F29" s="183">
        <f t="shared" si="0"/>
        <v>1979637.8499999999</v>
      </c>
      <c r="J29" s="149">
        <v>0</v>
      </c>
    </row>
    <row r="30" spans="1:10" ht="21" customHeight="1" x14ac:dyDescent="0.25">
      <c r="A30" s="320" t="s">
        <v>335</v>
      </c>
      <c r="B30" s="321" t="s">
        <v>339</v>
      </c>
      <c r="C30" s="323">
        <v>2249.6</v>
      </c>
      <c r="D30" s="181"/>
      <c r="E30" s="149"/>
      <c r="F30" s="183">
        <f t="shared" si="0"/>
        <v>1981887.45</v>
      </c>
      <c r="J30" s="149">
        <v>0</v>
      </c>
    </row>
    <row r="31" spans="1:10" ht="21" customHeight="1" x14ac:dyDescent="0.25">
      <c r="A31" s="320" t="s">
        <v>335</v>
      </c>
      <c r="B31" s="321" t="s">
        <v>340</v>
      </c>
      <c r="C31" s="323">
        <v>76221.8</v>
      </c>
      <c r="D31" s="181"/>
      <c r="E31" s="149"/>
      <c r="F31" s="183">
        <f t="shared" si="0"/>
        <v>2058109.25</v>
      </c>
      <c r="J31" s="149">
        <v>0</v>
      </c>
    </row>
    <row r="32" spans="1:10" ht="21" customHeight="1" x14ac:dyDescent="0.3">
      <c r="A32" s="320" t="s">
        <v>341</v>
      </c>
      <c r="B32" s="321" t="s">
        <v>342</v>
      </c>
      <c r="C32" s="323">
        <v>151130.51999999999</v>
      </c>
      <c r="D32" s="181"/>
      <c r="E32" s="149"/>
      <c r="F32" s="183">
        <f t="shared" si="0"/>
        <v>2209239.77</v>
      </c>
      <c r="G32" s="184"/>
      <c r="J32" s="149">
        <v>0</v>
      </c>
    </row>
    <row r="33" spans="1:10" ht="21" customHeight="1" x14ac:dyDescent="0.25">
      <c r="A33" s="320" t="s">
        <v>341</v>
      </c>
      <c r="B33" s="321" t="s">
        <v>343</v>
      </c>
      <c r="C33" s="323">
        <v>12096</v>
      </c>
      <c r="D33" s="181"/>
      <c r="E33" s="149"/>
      <c r="F33" s="183">
        <f t="shared" si="0"/>
        <v>2221335.77</v>
      </c>
      <c r="J33" s="149">
        <v>0</v>
      </c>
    </row>
    <row r="34" spans="1:10" ht="21" customHeight="1" x14ac:dyDescent="0.25">
      <c r="A34" s="320" t="s">
        <v>341</v>
      </c>
      <c r="B34" s="321" t="s">
        <v>344</v>
      </c>
      <c r="C34" s="323">
        <v>2859.98</v>
      </c>
      <c r="D34" s="181"/>
      <c r="E34" s="149"/>
      <c r="F34" s="183">
        <f t="shared" si="0"/>
        <v>2224195.75</v>
      </c>
      <c r="J34" s="149">
        <v>0</v>
      </c>
    </row>
    <row r="35" spans="1:10" ht="23.25" customHeight="1" x14ac:dyDescent="0.25">
      <c r="A35" s="320" t="s">
        <v>345</v>
      </c>
      <c r="B35" s="321" t="s">
        <v>346</v>
      </c>
      <c r="C35" s="323">
        <v>108017.5</v>
      </c>
      <c r="D35" s="181"/>
      <c r="E35" s="149"/>
      <c r="F35" s="183">
        <f t="shared" si="0"/>
        <v>2332213.25</v>
      </c>
      <c r="J35" s="149">
        <v>0</v>
      </c>
    </row>
    <row r="36" spans="1:10" ht="23.25" customHeight="1" x14ac:dyDescent="0.25">
      <c r="A36" s="320" t="s">
        <v>345</v>
      </c>
      <c r="B36" s="321" t="s">
        <v>347</v>
      </c>
      <c r="C36" s="323">
        <v>78286</v>
      </c>
      <c r="D36" s="181"/>
      <c r="E36" s="149"/>
      <c r="F36" s="183">
        <f t="shared" si="0"/>
        <v>2410499.25</v>
      </c>
      <c r="J36" s="133">
        <v>0</v>
      </c>
    </row>
    <row r="37" spans="1:10" ht="23.25" customHeight="1" x14ac:dyDescent="0.25">
      <c r="A37" s="320" t="s">
        <v>348</v>
      </c>
      <c r="B37" s="321" t="s">
        <v>349</v>
      </c>
      <c r="C37" s="323">
        <v>21014.12</v>
      </c>
      <c r="D37" s="181"/>
      <c r="E37" s="149"/>
      <c r="F37" s="183">
        <f t="shared" si="0"/>
        <v>2431513.37</v>
      </c>
      <c r="J37" s="187">
        <f>SUM(J29:J36)</f>
        <v>0</v>
      </c>
    </row>
    <row r="38" spans="1:10" ht="23.25" customHeight="1" x14ac:dyDescent="0.25">
      <c r="A38" s="320" t="s">
        <v>348</v>
      </c>
      <c r="B38" s="321" t="s">
        <v>350</v>
      </c>
      <c r="C38" s="323">
        <v>19076.400000000001</v>
      </c>
      <c r="D38" s="181"/>
      <c r="E38" s="149"/>
      <c r="F38" s="183">
        <f t="shared" si="0"/>
        <v>2450589.77</v>
      </c>
    </row>
    <row r="39" spans="1:10" ht="23.25" customHeight="1" x14ac:dyDescent="0.25">
      <c r="A39" s="320" t="s">
        <v>351</v>
      </c>
      <c r="B39" s="321" t="s">
        <v>352</v>
      </c>
      <c r="C39" s="323">
        <v>74198.06</v>
      </c>
      <c r="D39" s="181"/>
      <c r="E39" s="149"/>
      <c r="F39" s="183">
        <f t="shared" si="0"/>
        <v>2524787.83</v>
      </c>
    </row>
    <row r="40" spans="1:10" ht="23.25" customHeight="1" x14ac:dyDescent="0.25">
      <c r="A40" s="320" t="s">
        <v>353</v>
      </c>
      <c r="B40" s="321" t="s">
        <v>354</v>
      </c>
      <c r="C40" s="323">
        <v>20015.7</v>
      </c>
      <c r="D40" s="181"/>
      <c r="E40" s="100"/>
      <c r="F40" s="183">
        <f t="shared" si="0"/>
        <v>2544803.5300000003</v>
      </c>
    </row>
    <row r="41" spans="1:10" ht="23.25" customHeight="1" x14ac:dyDescent="0.25">
      <c r="A41" s="320" t="s">
        <v>353</v>
      </c>
      <c r="B41" s="321" t="s">
        <v>355</v>
      </c>
      <c r="C41" s="323">
        <v>98367.76</v>
      </c>
      <c r="D41" s="181"/>
      <c r="E41" s="100"/>
      <c r="F41" s="183">
        <f t="shared" si="0"/>
        <v>2643171.29</v>
      </c>
    </row>
    <row r="42" spans="1:10" ht="23.25" customHeight="1" x14ac:dyDescent="0.25">
      <c r="A42" s="320" t="s">
        <v>356</v>
      </c>
      <c r="B42" s="321" t="s">
        <v>357</v>
      </c>
      <c r="C42" s="323">
        <v>36491.4</v>
      </c>
      <c r="D42" s="185"/>
      <c r="E42" s="100"/>
      <c r="F42" s="183">
        <f t="shared" si="0"/>
        <v>2679662.69</v>
      </c>
    </row>
    <row r="43" spans="1:10" ht="23.25" customHeight="1" x14ac:dyDescent="0.25">
      <c r="A43" s="320" t="s">
        <v>356</v>
      </c>
      <c r="B43" s="321" t="s">
        <v>358</v>
      </c>
      <c r="C43" s="323">
        <v>83135.100000000006</v>
      </c>
      <c r="D43" s="192"/>
      <c r="E43" s="100"/>
      <c r="F43" s="183">
        <f t="shared" si="0"/>
        <v>2762797.79</v>
      </c>
    </row>
    <row r="44" spans="1:10" ht="23.25" customHeight="1" x14ac:dyDescent="0.25">
      <c r="A44" s="320" t="s">
        <v>356</v>
      </c>
      <c r="B44" s="321" t="s">
        <v>359</v>
      </c>
      <c r="C44" s="323">
        <v>91182.07</v>
      </c>
      <c r="D44" s="192"/>
      <c r="E44" s="100"/>
      <c r="F44" s="183">
        <f t="shared" si="0"/>
        <v>2853979.86</v>
      </c>
    </row>
    <row r="45" spans="1:10" ht="23.25" customHeight="1" x14ac:dyDescent="0.25">
      <c r="A45" s="320" t="s">
        <v>356</v>
      </c>
      <c r="B45" s="321" t="s">
        <v>360</v>
      </c>
      <c r="C45" s="323">
        <v>375</v>
      </c>
      <c r="D45" s="192"/>
      <c r="E45" s="100"/>
      <c r="F45" s="183">
        <f t="shared" si="0"/>
        <v>2854354.86</v>
      </c>
    </row>
    <row r="46" spans="1:10" ht="23.25" customHeight="1" x14ac:dyDescent="0.25">
      <c r="A46" s="320" t="s">
        <v>361</v>
      </c>
      <c r="B46" s="321" t="s">
        <v>362</v>
      </c>
      <c r="C46" s="323">
        <v>117319.28</v>
      </c>
      <c r="D46" s="192"/>
      <c r="E46" s="100"/>
      <c r="F46" s="183">
        <f t="shared" si="0"/>
        <v>2971674.1399999997</v>
      </c>
    </row>
    <row r="47" spans="1:10" ht="23.25" customHeight="1" x14ac:dyDescent="0.25">
      <c r="A47" s="325">
        <v>45108</v>
      </c>
      <c r="B47" s="321" t="s">
        <v>364</v>
      </c>
      <c r="C47" s="322">
        <v>155507.29</v>
      </c>
      <c r="D47" s="192"/>
      <c r="E47" s="100"/>
      <c r="F47" s="183">
        <f t="shared" si="0"/>
        <v>3127181.4299999997</v>
      </c>
    </row>
    <row r="48" spans="1:10" ht="23.25" customHeight="1" x14ac:dyDescent="0.25">
      <c r="A48" s="325">
        <v>45108</v>
      </c>
      <c r="B48" s="321" t="s">
        <v>365</v>
      </c>
      <c r="C48" s="322">
        <v>1390.8</v>
      </c>
      <c r="D48" s="192"/>
      <c r="E48" s="100"/>
      <c r="F48" s="183">
        <f t="shared" si="0"/>
        <v>3128572.2299999995</v>
      </c>
    </row>
    <row r="49" spans="1:6" ht="23.25" customHeight="1" x14ac:dyDescent="0.25">
      <c r="A49" s="325"/>
      <c r="B49" s="321"/>
      <c r="C49" s="322"/>
      <c r="D49" s="192"/>
      <c r="E49" s="100"/>
      <c r="F49" s="183">
        <f t="shared" si="0"/>
        <v>3128572.2299999995</v>
      </c>
    </row>
    <row r="50" spans="1:6" ht="23.25" customHeight="1" x14ac:dyDescent="0.25">
      <c r="A50" s="325"/>
      <c r="B50" s="321"/>
      <c r="C50" s="322"/>
      <c r="D50" s="192"/>
      <c r="E50" s="100"/>
      <c r="F50" s="183">
        <f t="shared" si="0"/>
        <v>3128572.2299999995</v>
      </c>
    </row>
    <row r="51" spans="1:6" ht="23.25" customHeight="1" x14ac:dyDescent="0.25">
      <c r="A51" s="325"/>
      <c r="B51" s="321"/>
      <c r="C51" s="322"/>
      <c r="D51" s="192"/>
      <c r="E51" s="100"/>
      <c r="F51" s="183">
        <f t="shared" si="0"/>
        <v>3128572.2299999995</v>
      </c>
    </row>
    <row r="52" spans="1:6" ht="23.25" customHeight="1" x14ac:dyDescent="0.25">
      <c r="A52" s="324"/>
      <c r="B52" s="248"/>
      <c r="C52" s="149"/>
      <c r="D52" s="192"/>
      <c r="E52" s="100"/>
      <c r="F52" s="183">
        <f t="shared" si="0"/>
        <v>3128572.2299999995</v>
      </c>
    </row>
    <row r="53" spans="1:6" ht="23.25" customHeight="1" x14ac:dyDescent="0.25">
      <c r="A53" s="324"/>
      <c r="B53" s="248"/>
      <c r="C53" s="149"/>
      <c r="D53" s="192"/>
      <c r="E53" s="100"/>
      <c r="F53" s="183">
        <f t="shared" si="0"/>
        <v>3128572.2299999995</v>
      </c>
    </row>
    <row r="54" spans="1:6" ht="23.25" customHeight="1" x14ac:dyDescent="0.25">
      <c r="A54" s="324"/>
      <c r="B54" s="248"/>
      <c r="C54" s="149"/>
      <c r="D54" s="192"/>
      <c r="E54" s="100"/>
      <c r="F54" s="183">
        <f t="shared" si="0"/>
        <v>3128572.2299999995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3128572.2299999995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3128572.2299999995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3128572.2299999995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3128572.2299999995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3128572.2299999995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3128572.2299999995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3128572.2299999995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3128572.2299999995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3128572.2299999995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3128572.2299999995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3128572.2299999995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3128572.2299999995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3128572.2299999995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3128572.2299999995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3128572.2299999995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3128572.2299999995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3128572.2299999995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3128572.2299999995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3128572.2299999995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3128572.2299999995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3128572.2299999995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3128572.2299999995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3128572.2299999995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3128572.2299999995</v>
      </c>
    </row>
    <row r="79" spans="1:6" ht="39.75" customHeight="1" thickBot="1" x14ac:dyDescent="0.35">
      <c r="A79" s="201"/>
      <c r="B79" s="202"/>
      <c r="C79" s="317">
        <f>SUM(C3:C78)</f>
        <v>3128572.2299999995</v>
      </c>
      <c r="D79" s="175"/>
      <c r="E79" s="204">
        <f>SUM(E3:E78)</f>
        <v>0</v>
      </c>
      <c r="F79" s="205">
        <f>F78</f>
        <v>3128572.2299999995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sortState ref="A34:C51">
    <sortCondition ref="B34:B51"/>
  </sortState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tabSelected="1" workbookViewId="0">
      <selection activeCell="F13" sqref="F1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8"/>
      <c r="C1" s="350" t="s">
        <v>381</v>
      </c>
      <c r="D1" s="351"/>
      <c r="E1" s="351"/>
      <c r="F1" s="351"/>
      <c r="G1" s="351"/>
      <c r="H1" s="351"/>
      <c r="I1" s="351"/>
      <c r="J1" s="351"/>
      <c r="K1" s="351"/>
      <c r="L1" s="351"/>
      <c r="M1" s="351"/>
    </row>
    <row r="2" spans="1:21" ht="16.5" thickBot="1" x14ac:dyDescent="0.3">
      <c r="B2" s="349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52" t="s">
        <v>0</v>
      </c>
      <c r="C3" s="353"/>
      <c r="D3" s="10"/>
      <c r="E3" s="11"/>
      <c r="F3" s="11"/>
      <c r="H3" s="354" t="s">
        <v>1</v>
      </c>
      <c r="I3" s="354"/>
      <c r="K3" s="13"/>
      <c r="L3" s="13"/>
      <c r="M3" s="6"/>
      <c r="R3" s="384" t="s">
        <v>2</v>
      </c>
    </row>
    <row r="4" spans="1:21" ht="20.25" thickTop="1" thickBot="1" x14ac:dyDescent="0.35">
      <c r="A4" s="14" t="s">
        <v>3</v>
      </c>
      <c r="B4" s="15"/>
      <c r="C4" s="16">
        <v>359108.11</v>
      </c>
      <c r="D4" s="307">
        <v>45109</v>
      </c>
      <c r="E4" s="333" t="s">
        <v>4</v>
      </c>
      <c r="F4" s="334"/>
      <c r="H4" s="335" t="s">
        <v>5</v>
      </c>
      <c r="I4" s="336"/>
      <c r="J4" s="255"/>
      <c r="K4" s="256"/>
      <c r="L4" s="16"/>
      <c r="M4" s="21" t="s">
        <v>6</v>
      </c>
      <c r="N4" s="22" t="s">
        <v>7</v>
      </c>
      <c r="P4" s="370" t="s">
        <v>8</v>
      </c>
      <c r="Q4" s="371"/>
      <c r="R4" s="385"/>
    </row>
    <row r="5" spans="1:21" ht="18" thickBot="1" x14ac:dyDescent="0.35">
      <c r="A5" s="23" t="s">
        <v>9</v>
      </c>
      <c r="B5" s="24">
        <v>45110</v>
      </c>
      <c r="C5" s="25">
        <v>0</v>
      </c>
      <c r="D5" s="26"/>
      <c r="E5" s="27">
        <v>45110</v>
      </c>
      <c r="F5" s="28">
        <v>151348</v>
      </c>
      <c r="G5" s="29"/>
      <c r="H5" s="30">
        <v>45110</v>
      </c>
      <c r="I5" s="31">
        <v>132</v>
      </c>
      <c r="J5" s="251"/>
      <c r="K5" s="257"/>
      <c r="L5" s="13"/>
      <c r="M5" s="33">
        <f>33500+141071</f>
        <v>174571</v>
      </c>
      <c r="N5" s="34">
        <v>0</v>
      </c>
      <c r="O5" s="35"/>
      <c r="P5" s="235">
        <f>N5+M5+L5+I5+C5</f>
        <v>174703</v>
      </c>
      <c r="Q5" s="236">
        <v>0</v>
      </c>
      <c r="R5" s="237">
        <f>M5-F5</f>
        <v>23223</v>
      </c>
      <c r="S5" s="37"/>
    </row>
    <row r="6" spans="1:21" ht="18" thickBot="1" x14ac:dyDescent="0.35">
      <c r="A6" s="23"/>
      <c r="B6" s="24">
        <v>45111</v>
      </c>
      <c r="C6" s="25">
        <v>4380</v>
      </c>
      <c r="D6" s="38" t="s">
        <v>269</v>
      </c>
      <c r="E6" s="27">
        <v>45111</v>
      </c>
      <c r="F6" s="28">
        <v>94080</v>
      </c>
      <c r="G6" s="29"/>
      <c r="H6" s="30">
        <v>45111</v>
      </c>
      <c r="I6" s="31">
        <v>81</v>
      </c>
      <c r="J6" s="258"/>
      <c r="K6" s="71"/>
      <c r="L6" s="259"/>
      <c r="M6" s="33">
        <f>8000+91353</f>
        <v>99353</v>
      </c>
      <c r="N6" s="34">
        <v>464</v>
      </c>
      <c r="O6" s="35"/>
      <c r="P6" s="235">
        <f>N6+M6+L6+I6+C6</f>
        <v>104278</v>
      </c>
      <c r="Q6" s="236">
        <f>P6-F6-10184</f>
        <v>14</v>
      </c>
      <c r="R6" s="237">
        <v>10184</v>
      </c>
      <c r="S6" s="37"/>
      <c r="T6" s="9"/>
    </row>
    <row r="7" spans="1:21" ht="18" thickBot="1" x14ac:dyDescent="0.35">
      <c r="A7" s="23"/>
      <c r="B7" s="24">
        <v>45112</v>
      </c>
      <c r="C7" s="25">
        <v>0</v>
      </c>
      <c r="D7" s="42"/>
      <c r="E7" s="27">
        <v>45112</v>
      </c>
      <c r="F7" s="28">
        <v>54602</v>
      </c>
      <c r="G7" s="29"/>
      <c r="H7" s="30">
        <v>45112</v>
      </c>
      <c r="I7" s="31">
        <v>147</v>
      </c>
      <c r="J7" s="258"/>
      <c r="K7" s="102"/>
      <c r="L7" s="259"/>
      <c r="M7" s="33">
        <v>54455</v>
      </c>
      <c r="N7" s="34">
        <v>0</v>
      </c>
      <c r="O7" s="35"/>
      <c r="P7" s="235">
        <f>N7+M7+L7+I7+C7</f>
        <v>54602</v>
      </c>
      <c r="Q7" s="236">
        <f>P7-F7</f>
        <v>0</v>
      </c>
      <c r="R7" s="238">
        <v>0</v>
      </c>
      <c r="S7" s="37"/>
    </row>
    <row r="8" spans="1:21" ht="18" thickBot="1" x14ac:dyDescent="0.35">
      <c r="A8" s="23"/>
      <c r="B8" s="24">
        <v>45113</v>
      </c>
      <c r="C8" s="25"/>
      <c r="D8" s="42"/>
      <c r="E8" s="27">
        <v>45113</v>
      </c>
      <c r="F8" s="28">
        <v>117199</v>
      </c>
      <c r="G8" s="29"/>
      <c r="H8" s="30">
        <v>45113</v>
      </c>
      <c r="I8" s="31">
        <v>15</v>
      </c>
      <c r="J8" s="258"/>
      <c r="K8" s="260"/>
      <c r="L8" s="259"/>
      <c r="M8" s="33">
        <f>64800+52384</f>
        <v>117184</v>
      </c>
      <c r="N8" s="34">
        <v>0</v>
      </c>
      <c r="O8" s="35"/>
      <c r="P8" s="235">
        <f t="shared" ref="P8:P45" si="0">N8+M8+L8+I8+C8</f>
        <v>117199</v>
      </c>
      <c r="Q8" s="236">
        <f t="shared" ref="Q8:Q47" si="1">P8-F8</f>
        <v>0</v>
      </c>
      <c r="R8" s="238">
        <v>0</v>
      </c>
      <c r="S8" s="37"/>
    </row>
    <row r="9" spans="1:21" ht="18" thickBot="1" x14ac:dyDescent="0.35">
      <c r="A9" s="23"/>
      <c r="B9" s="24">
        <v>45114</v>
      </c>
      <c r="C9" s="25">
        <v>4661</v>
      </c>
      <c r="D9" s="46" t="s">
        <v>69</v>
      </c>
      <c r="E9" s="27">
        <v>45114</v>
      </c>
      <c r="F9" s="28">
        <v>153829</v>
      </c>
      <c r="G9" s="29"/>
      <c r="H9" s="30">
        <v>45114</v>
      </c>
      <c r="I9" s="31">
        <v>168</v>
      </c>
      <c r="J9" s="258"/>
      <c r="K9" s="261"/>
      <c r="L9" s="259"/>
      <c r="M9" s="33">
        <f>40800+114763</f>
        <v>155563</v>
      </c>
      <c r="N9" s="34">
        <v>834</v>
      </c>
      <c r="O9" s="35"/>
      <c r="P9" s="235">
        <f t="shared" si="0"/>
        <v>161226</v>
      </c>
      <c r="Q9" s="236">
        <v>0</v>
      </c>
      <c r="R9" s="237">
        <v>7397</v>
      </c>
      <c r="S9" s="37"/>
    </row>
    <row r="10" spans="1:21" ht="18" thickBot="1" x14ac:dyDescent="0.35">
      <c r="A10" s="23"/>
      <c r="B10" s="24">
        <v>45115</v>
      </c>
      <c r="C10" s="25">
        <v>0</v>
      </c>
      <c r="D10" s="38"/>
      <c r="E10" s="27">
        <v>45115</v>
      </c>
      <c r="F10" s="28">
        <v>148445</v>
      </c>
      <c r="G10" s="29"/>
      <c r="H10" s="30">
        <v>45115</v>
      </c>
      <c r="I10" s="31">
        <v>208</v>
      </c>
      <c r="J10" s="258">
        <v>45115</v>
      </c>
      <c r="K10" s="262" t="s">
        <v>382</v>
      </c>
      <c r="L10" s="263">
        <v>9055</v>
      </c>
      <c r="M10" s="33">
        <f>50500+87880</f>
        <v>138380</v>
      </c>
      <c r="N10" s="34">
        <v>828</v>
      </c>
      <c r="O10" s="35"/>
      <c r="P10" s="235">
        <f>N10+M10+L10+I10+C10</f>
        <v>148471</v>
      </c>
      <c r="Q10" s="236">
        <f t="shared" si="1"/>
        <v>26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45116</v>
      </c>
      <c r="C11" s="25">
        <v>0</v>
      </c>
      <c r="D11" s="38"/>
      <c r="E11" s="27">
        <v>45116</v>
      </c>
      <c r="F11" s="28">
        <v>82418</v>
      </c>
      <c r="G11" s="29"/>
      <c r="H11" s="30">
        <v>45116</v>
      </c>
      <c r="I11" s="31">
        <v>69</v>
      </c>
      <c r="J11" s="258"/>
      <c r="K11" s="261"/>
      <c r="L11" s="259"/>
      <c r="M11" s="33">
        <f>81000+14139</f>
        <v>95139</v>
      </c>
      <c r="N11" s="34">
        <v>901</v>
      </c>
      <c r="O11" s="35"/>
      <c r="P11" s="235">
        <f>N11+M11+L11+I11+C11</f>
        <v>96109</v>
      </c>
      <c r="Q11" s="236">
        <f>P11-F11-13664</f>
        <v>27</v>
      </c>
      <c r="R11" s="237">
        <v>13664</v>
      </c>
      <c r="S11" s="37"/>
    </row>
    <row r="12" spans="1:21" ht="18" thickBot="1" x14ac:dyDescent="0.35">
      <c r="A12" s="23"/>
      <c r="B12" s="24">
        <v>45117</v>
      </c>
      <c r="C12" s="25">
        <v>0</v>
      </c>
      <c r="D12" s="38"/>
      <c r="E12" s="27">
        <v>45117</v>
      </c>
      <c r="F12" s="28">
        <v>195880</v>
      </c>
      <c r="G12" s="29"/>
      <c r="H12" s="30">
        <v>45117</v>
      </c>
      <c r="I12" s="31">
        <v>167</v>
      </c>
      <c r="J12" s="258"/>
      <c r="K12" s="264"/>
      <c r="L12" s="259"/>
      <c r="M12" s="33">
        <f>68000+127713</f>
        <v>195713</v>
      </c>
      <c r="N12" s="34">
        <v>0</v>
      </c>
      <c r="O12" s="35"/>
      <c r="P12" s="235">
        <f t="shared" si="0"/>
        <v>195880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45118</v>
      </c>
      <c r="C13" s="25">
        <v>0</v>
      </c>
      <c r="D13" s="42"/>
      <c r="E13" s="27">
        <v>45118</v>
      </c>
      <c r="F13" s="28"/>
      <c r="G13" s="29"/>
      <c r="H13" s="30">
        <v>45118</v>
      </c>
      <c r="I13" s="31"/>
      <c r="J13" s="258"/>
      <c r="K13" s="71"/>
      <c r="L13" s="259"/>
      <c r="M13" s="33">
        <v>0</v>
      </c>
      <c r="N13" s="34">
        <v>0</v>
      </c>
      <c r="O13" s="35"/>
      <c r="P13" s="235">
        <f t="shared" si="0"/>
        <v>0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45119</v>
      </c>
      <c r="C14" s="25">
        <v>0</v>
      </c>
      <c r="D14" s="46"/>
      <c r="E14" s="27">
        <v>45119</v>
      </c>
      <c r="F14" s="28"/>
      <c r="G14" s="29"/>
      <c r="H14" s="30">
        <v>45119</v>
      </c>
      <c r="I14" s="31"/>
      <c r="J14" s="258"/>
      <c r="K14" s="260"/>
      <c r="L14" s="259"/>
      <c r="M14" s="33">
        <v>0</v>
      </c>
      <c r="N14" s="34">
        <v>0</v>
      </c>
      <c r="O14" s="35"/>
      <c r="P14" s="235">
        <f t="shared" si="0"/>
        <v>0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45120</v>
      </c>
      <c r="C15" s="25">
        <v>0</v>
      </c>
      <c r="D15" s="46"/>
      <c r="E15" s="27">
        <v>45120</v>
      </c>
      <c r="F15" s="28"/>
      <c r="G15" s="29"/>
      <c r="H15" s="30">
        <v>45120</v>
      </c>
      <c r="I15" s="31"/>
      <c r="J15" s="258"/>
      <c r="K15" s="260"/>
      <c r="L15" s="259"/>
      <c r="M15" s="33">
        <v>0</v>
      </c>
      <c r="N15" s="34">
        <v>0</v>
      </c>
      <c r="O15" s="314"/>
      <c r="P15" s="235">
        <f t="shared" si="0"/>
        <v>0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45121</v>
      </c>
      <c r="C16" s="25">
        <v>0</v>
      </c>
      <c r="D16" s="52"/>
      <c r="E16" s="27">
        <v>45121</v>
      </c>
      <c r="F16" s="28"/>
      <c r="G16" s="29"/>
      <c r="H16" s="30">
        <v>45121</v>
      </c>
      <c r="I16" s="31"/>
      <c r="J16" s="258"/>
      <c r="K16" s="260"/>
      <c r="L16" s="13"/>
      <c r="M16" s="33">
        <v>0</v>
      </c>
      <c r="N16" s="34">
        <v>0</v>
      </c>
      <c r="O16" s="35"/>
      <c r="P16" s="235">
        <f t="shared" si="0"/>
        <v>0</v>
      </c>
      <c r="Q16" s="236">
        <f t="shared" si="1"/>
        <v>0</v>
      </c>
      <c r="R16" s="238">
        <v>0</v>
      </c>
      <c r="S16" s="37"/>
    </row>
    <row r="17" spans="1:20" ht="18" thickBot="1" x14ac:dyDescent="0.35">
      <c r="A17" s="23"/>
      <c r="B17" s="24">
        <v>45122</v>
      </c>
      <c r="C17" s="25">
        <v>0</v>
      </c>
      <c r="D17" s="46"/>
      <c r="E17" s="27">
        <v>45122</v>
      </c>
      <c r="F17" s="28"/>
      <c r="G17" s="29"/>
      <c r="H17" s="30">
        <v>45122</v>
      </c>
      <c r="I17" s="31"/>
      <c r="J17" s="258"/>
      <c r="K17" s="326"/>
      <c r="L17" s="263"/>
      <c r="M17" s="33">
        <v>0</v>
      </c>
      <c r="N17" s="34">
        <v>0</v>
      </c>
      <c r="O17" s="35"/>
      <c r="P17" s="235">
        <f t="shared" si="0"/>
        <v>0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45123</v>
      </c>
      <c r="C18" s="25">
        <v>0</v>
      </c>
      <c r="D18" s="38"/>
      <c r="E18" s="27">
        <v>45123</v>
      </c>
      <c r="F18" s="28"/>
      <c r="G18" s="29"/>
      <c r="H18" s="30">
        <v>45123</v>
      </c>
      <c r="I18" s="31"/>
      <c r="J18" s="258"/>
      <c r="K18" s="265"/>
      <c r="L18" s="259"/>
      <c r="M18" s="33">
        <v>0</v>
      </c>
      <c r="N18" s="34">
        <v>0</v>
      </c>
      <c r="O18" s="35"/>
      <c r="P18" s="235">
        <f t="shared" si="0"/>
        <v>0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45124</v>
      </c>
      <c r="C19" s="25">
        <v>0</v>
      </c>
      <c r="D19" s="38"/>
      <c r="E19" s="27">
        <v>45124</v>
      </c>
      <c r="F19" s="28"/>
      <c r="G19" s="29"/>
      <c r="H19" s="30">
        <v>45124</v>
      </c>
      <c r="I19" s="31"/>
      <c r="J19" s="258"/>
      <c r="K19" s="266"/>
      <c r="L19" s="267"/>
      <c r="M19" s="33">
        <v>0</v>
      </c>
      <c r="N19" s="34">
        <v>0</v>
      </c>
      <c r="O19" s="35"/>
      <c r="P19" s="235">
        <f t="shared" si="0"/>
        <v>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45125</v>
      </c>
      <c r="C20" s="25">
        <v>0</v>
      </c>
      <c r="D20" s="38"/>
      <c r="E20" s="27">
        <v>45125</v>
      </c>
      <c r="F20" s="28"/>
      <c r="G20" s="29"/>
      <c r="H20" s="30">
        <v>45125</v>
      </c>
      <c r="I20" s="31"/>
      <c r="J20" s="258"/>
      <c r="K20" s="262"/>
      <c r="L20" s="263"/>
      <c r="M20" s="33">
        <v>0</v>
      </c>
      <c r="N20" s="34">
        <v>0</v>
      </c>
      <c r="O20" s="35"/>
      <c r="P20" s="235">
        <f t="shared" si="0"/>
        <v>0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45126</v>
      </c>
      <c r="C21" s="25">
        <v>0</v>
      </c>
      <c r="D21" s="38"/>
      <c r="E21" s="27">
        <v>45126</v>
      </c>
      <c r="F21" s="28"/>
      <c r="G21" s="29"/>
      <c r="H21" s="30">
        <v>45126</v>
      </c>
      <c r="I21" s="31"/>
      <c r="J21" s="258"/>
      <c r="K21" s="268"/>
      <c r="L21" s="263"/>
      <c r="M21" s="33">
        <v>0</v>
      </c>
      <c r="N21" s="34">
        <v>0</v>
      </c>
      <c r="O21" s="35"/>
      <c r="P21" s="235">
        <f t="shared" si="0"/>
        <v>0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45127</v>
      </c>
      <c r="C22" s="25">
        <v>0</v>
      </c>
      <c r="D22" s="46"/>
      <c r="E22" s="27">
        <v>45127</v>
      </c>
      <c r="F22" s="28"/>
      <c r="G22" s="29"/>
      <c r="H22" s="30">
        <v>45127</v>
      </c>
      <c r="I22" s="31"/>
      <c r="J22" s="258"/>
      <c r="K22" s="302"/>
      <c r="L22" s="269"/>
      <c r="M22" s="33">
        <v>0</v>
      </c>
      <c r="N22" s="34">
        <v>0</v>
      </c>
      <c r="O22" s="315"/>
      <c r="P22" s="235">
        <f t="shared" si="0"/>
        <v>0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45128</v>
      </c>
      <c r="C23" s="25">
        <v>0</v>
      </c>
      <c r="D23" s="46"/>
      <c r="E23" s="27">
        <v>45128</v>
      </c>
      <c r="F23" s="28"/>
      <c r="G23" s="29"/>
      <c r="H23" s="30">
        <v>45128</v>
      </c>
      <c r="I23" s="31"/>
      <c r="J23" s="270"/>
      <c r="K23" s="271"/>
      <c r="L23" s="263"/>
      <c r="M23" s="33">
        <v>0</v>
      </c>
      <c r="N23" s="34">
        <v>0</v>
      </c>
      <c r="O23" s="35"/>
      <c r="P23" s="235">
        <f t="shared" si="0"/>
        <v>0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45129</v>
      </c>
      <c r="C24" s="25">
        <v>0</v>
      </c>
      <c r="D24" s="42"/>
      <c r="E24" s="27">
        <v>45129</v>
      </c>
      <c r="F24" s="28"/>
      <c r="G24" s="29"/>
      <c r="H24" s="30">
        <v>45129</v>
      </c>
      <c r="I24" s="31"/>
      <c r="J24" s="272"/>
      <c r="K24" s="271"/>
      <c r="L24" s="273"/>
      <c r="M24" s="33">
        <v>0</v>
      </c>
      <c r="N24" s="34">
        <v>0</v>
      </c>
      <c r="O24" s="35"/>
      <c r="P24" s="235">
        <f t="shared" si="0"/>
        <v>0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45130</v>
      </c>
      <c r="C25" s="25">
        <v>0</v>
      </c>
      <c r="D25" s="38"/>
      <c r="E25" s="27">
        <v>45130</v>
      </c>
      <c r="F25" s="28"/>
      <c r="G25" s="29"/>
      <c r="H25" s="30">
        <v>45130</v>
      </c>
      <c r="I25" s="31"/>
      <c r="J25" s="274"/>
      <c r="K25" s="275"/>
      <c r="L25" s="276"/>
      <c r="M25" s="33">
        <v>0</v>
      </c>
      <c r="N25" s="34">
        <v>0</v>
      </c>
      <c r="O25" s="35"/>
      <c r="P25" s="235">
        <f t="shared" si="0"/>
        <v>0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45131</v>
      </c>
      <c r="C26" s="25">
        <v>0</v>
      </c>
      <c r="D26" s="38"/>
      <c r="E26" s="27">
        <v>45131</v>
      </c>
      <c r="F26" s="28"/>
      <c r="G26" s="29"/>
      <c r="H26" s="30">
        <v>45131</v>
      </c>
      <c r="I26" s="31"/>
      <c r="J26" s="258"/>
      <c r="K26" s="271"/>
      <c r="L26" s="263"/>
      <c r="M26" s="33">
        <v>0</v>
      </c>
      <c r="N26" s="34">
        <v>0</v>
      </c>
      <c r="O26" s="35"/>
      <c r="P26" s="235">
        <f t="shared" si="0"/>
        <v>0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45132</v>
      </c>
      <c r="C27" s="25">
        <v>0</v>
      </c>
      <c r="D27" s="42"/>
      <c r="E27" s="27">
        <v>45132</v>
      </c>
      <c r="F27" s="28"/>
      <c r="G27" s="29"/>
      <c r="H27" s="30">
        <v>45132</v>
      </c>
      <c r="I27" s="31"/>
      <c r="J27" s="277"/>
      <c r="K27" s="275"/>
      <c r="L27" s="276"/>
      <c r="M27" s="33">
        <v>0</v>
      </c>
      <c r="N27" s="34">
        <v>0</v>
      </c>
      <c r="O27" s="35"/>
      <c r="P27" s="235">
        <f t="shared" si="0"/>
        <v>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45133</v>
      </c>
      <c r="C28" s="25">
        <v>0</v>
      </c>
      <c r="D28" s="42"/>
      <c r="E28" s="27">
        <v>45133</v>
      </c>
      <c r="F28" s="28"/>
      <c r="G28" s="29"/>
      <c r="H28" s="30">
        <v>45133</v>
      </c>
      <c r="I28" s="31"/>
      <c r="J28" s="278"/>
      <c r="K28" s="71"/>
      <c r="L28" s="276"/>
      <c r="M28" s="33">
        <v>0</v>
      </c>
      <c r="N28" s="34">
        <v>0</v>
      </c>
      <c r="O28" s="35"/>
      <c r="P28" s="235">
        <f t="shared" si="0"/>
        <v>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45134</v>
      </c>
      <c r="C29" s="25">
        <v>0</v>
      </c>
      <c r="D29" s="72"/>
      <c r="E29" s="27">
        <v>45134</v>
      </c>
      <c r="F29" s="28"/>
      <c r="G29" s="29"/>
      <c r="H29" s="30">
        <v>45134</v>
      </c>
      <c r="I29" s="31"/>
      <c r="J29" s="277"/>
      <c r="K29" s="279"/>
      <c r="L29" s="276"/>
      <c r="M29" s="33">
        <v>0</v>
      </c>
      <c r="N29" s="34">
        <v>0</v>
      </c>
      <c r="O29" s="35"/>
      <c r="P29" s="235">
        <f t="shared" si="0"/>
        <v>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45135</v>
      </c>
      <c r="C30" s="25">
        <v>0</v>
      </c>
      <c r="D30" s="72"/>
      <c r="E30" s="27">
        <v>45135</v>
      </c>
      <c r="F30" s="28"/>
      <c r="G30" s="29"/>
      <c r="H30" s="30">
        <v>45135</v>
      </c>
      <c r="I30" s="31"/>
      <c r="J30" s="86"/>
      <c r="K30" s="280"/>
      <c r="L30" s="281"/>
      <c r="M30" s="33">
        <v>0</v>
      </c>
      <c r="N30" s="34">
        <v>0</v>
      </c>
      <c r="O30" s="35"/>
      <c r="P30" s="235">
        <f t="shared" si="0"/>
        <v>0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45136</v>
      </c>
      <c r="C31" s="25">
        <v>0</v>
      </c>
      <c r="D31" s="77"/>
      <c r="E31" s="27">
        <v>45136</v>
      </c>
      <c r="F31" s="28"/>
      <c r="G31" s="29"/>
      <c r="H31" s="30">
        <v>45136</v>
      </c>
      <c r="I31" s="31"/>
      <c r="J31" s="278"/>
      <c r="K31" s="275"/>
      <c r="L31" s="276"/>
      <c r="M31" s="33">
        <v>0</v>
      </c>
      <c r="N31" s="34">
        <v>0</v>
      </c>
      <c r="O31" s="35"/>
      <c r="P31" s="235">
        <f t="shared" si="0"/>
        <v>0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45137</v>
      </c>
      <c r="C32" s="25">
        <v>0</v>
      </c>
      <c r="D32" s="82"/>
      <c r="E32" s="27">
        <v>45137</v>
      </c>
      <c r="F32" s="28"/>
      <c r="G32" s="29"/>
      <c r="H32" s="30">
        <v>45137</v>
      </c>
      <c r="I32" s="31"/>
      <c r="J32" s="86"/>
      <c r="K32" s="280"/>
      <c r="L32" s="281"/>
      <c r="M32" s="33">
        <v>0</v>
      </c>
      <c r="N32" s="34">
        <v>0</v>
      </c>
      <c r="O32" s="35"/>
      <c r="P32" s="235">
        <f t="shared" si="0"/>
        <v>0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86"/>
      <c r="K34" s="83"/>
      <c r="L34" s="284"/>
      <c r="M34" s="33">
        <v>0</v>
      </c>
      <c r="N34" s="34">
        <v>0</v>
      </c>
      <c r="O34" s="35"/>
      <c r="P34" s="235">
        <f t="shared" si="0"/>
        <v>0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/>
      <c r="K37" s="330"/>
      <c r="L37" s="216"/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/>
      <c r="K38" s="282"/>
      <c r="L38" s="216"/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319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305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89"/>
      <c r="L43" s="281"/>
      <c r="M43" s="33">
        <v>0</v>
      </c>
      <c r="N43" s="34">
        <v>0</v>
      </c>
      <c r="O43" s="35"/>
      <c r="P43" s="240">
        <v>0</v>
      </c>
      <c r="Q43" s="236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236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55">
        <f>SUM(M5:M39)</f>
        <v>1030358</v>
      </c>
      <c r="N45" s="340">
        <f>SUM(N5:N39)</f>
        <v>3027</v>
      </c>
      <c r="P45" s="98">
        <f t="shared" si="0"/>
        <v>1033385</v>
      </c>
      <c r="Q45" s="236">
        <f t="shared" si="1"/>
        <v>1033385</v>
      </c>
      <c r="R45" s="329">
        <f>SUM(R5:R39)</f>
        <v>54468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6"/>
      <c r="N46" s="341"/>
      <c r="P46" s="36"/>
      <c r="Q46" s="236">
        <f t="shared" si="1"/>
        <v>0</v>
      </c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236">
        <f t="shared" si="1"/>
        <v>0</v>
      </c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9041</v>
      </c>
      <c r="D49" s="123"/>
      <c r="E49" s="124" t="s">
        <v>10</v>
      </c>
      <c r="F49" s="125">
        <f>SUM(F5:F48)</f>
        <v>997801</v>
      </c>
      <c r="G49" s="123"/>
      <c r="H49" s="126" t="s">
        <v>11</v>
      </c>
      <c r="I49" s="127">
        <f>SUM(I5:I48)</f>
        <v>987</v>
      </c>
      <c r="J49" s="290"/>
      <c r="K49" s="291" t="s">
        <v>12</v>
      </c>
      <c r="L49" s="292">
        <f>SUM(L5:L48)</f>
        <v>9055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2" t="s">
        <v>13</v>
      </c>
      <c r="I51" s="343"/>
      <c r="J51" s="135"/>
      <c r="K51" s="344">
        <f>I49+L49</f>
        <v>10042</v>
      </c>
      <c r="L51" s="345"/>
      <c r="M51" s="346">
        <f>N45+M45</f>
        <v>1033385</v>
      </c>
      <c r="N51" s="347"/>
      <c r="P51" s="36"/>
      <c r="Q51" s="9"/>
    </row>
    <row r="52" spans="1:17" x14ac:dyDescent="0.25">
      <c r="D52" s="339" t="s">
        <v>14</v>
      </c>
      <c r="E52" s="339"/>
      <c r="F52" s="136">
        <f>F49-K51-C49</f>
        <v>978718</v>
      </c>
      <c r="I52" s="137"/>
      <c r="J52" s="138"/>
      <c r="P52" s="36"/>
      <c r="Q52" s="9"/>
    </row>
    <row r="53" spans="1:17" x14ac:dyDescent="0.25">
      <c r="D53" s="357" t="s">
        <v>15</v>
      </c>
      <c r="E53" s="357"/>
      <c r="F53" s="131">
        <v>0</v>
      </c>
      <c r="I53" s="358" t="s">
        <v>16</v>
      </c>
      <c r="J53" s="359"/>
      <c r="K53" s="372">
        <f>F55+F56+F57</f>
        <v>1336946.1200000001</v>
      </c>
      <c r="L53" s="373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  <c r="Q54" s="9"/>
    </row>
    <row r="55" spans="1:17" ht="16.5" thickTop="1" x14ac:dyDescent="0.25">
      <c r="C55" s="5" t="s">
        <v>9</v>
      </c>
      <c r="E55" s="133" t="s">
        <v>17</v>
      </c>
      <c r="F55" s="131">
        <f>SUM(F52:F54)</f>
        <v>978718</v>
      </c>
      <c r="H55" s="23"/>
      <c r="I55" s="146" t="s">
        <v>18</v>
      </c>
      <c r="J55" s="147"/>
      <c r="K55" s="374">
        <f>-C4</f>
        <v>-359108.11</v>
      </c>
      <c r="L55" s="375"/>
      <c r="Q55" s="9"/>
    </row>
    <row r="56" spans="1:17" ht="16.5" thickBot="1" x14ac:dyDescent="0.3">
      <c r="D56" s="148" t="s">
        <v>19</v>
      </c>
      <c r="E56" s="133" t="s">
        <v>20</v>
      </c>
      <c r="F56" s="149">
        <v>0</v>
      </c>
    </row>
    <row r="57" spans="1:17" ht="20.25" thickTop="1" thickBot="1" x14ac:dyDescent="0.35">
      <c r="C57" s="150">
        <v>45137</v>
      </c>
      <c r="D57" s="364" t="s">
        <v>21</v>
      </c>
      <c r="E57" s="365"/>
      <c r="F57" s="316">
        <v>358228.12</v>
      </c>
      <c r="I57" s="381" t="s">
        <v>22</v>
      </c>
      <c r="J57" s="382"/>
      <c r="K57" s="383">
        <f>K53+K55</f>
        <v>977838.01000000013</v>
      </c>
      <c r="L57" s="383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M45:M46"/>
    <mergeCell ref="N45:N46"/>
    <mergeCell ref="H51:I51"/>
    <mergeCell ref="K51:L51"/>
    <mergeCell ref="M51:N51"/>
    <mergeCell ref="D52:E52"/>
    <mergeCell ref="B1:B2"/>
    <mergeCell ref="C1:M1"/>
    <mergeCell ref="B3:C3"/>
    <mergeCell ref="H3:I3"/>
    <mergeCell ref="R3:R4"/>
    <mergeCell ref="E4:F4"/>
    <mergeCell ref="H4:I4"/>
    <mergeCell ref="P4:Q4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selection activeCell="C6" sqref="C6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320"/>
      <c r="B3" s="321"/>
      <c r="C3" s="322"/>
      <c r="D3" s="244"/>
      <c r="E3" s="220"/>
      <c r="F3" s="180">
        <f>C3-E3</f>
        <v>0</v>
      </c>
    </row>
    <row r="4" spans="1:7" ht="22.5" customHeight="1" x14ac:dyDescent="0.25">
      <c r="A4" s="320"/>
      <c r="B4" s="321"/>
      <c r="C4" s="322"/>
      <c r="D4" s="244"/>
      <c r="E4" s="220"/>
      <c r="F4" s="183">
        <f>C4-E4+F3</f>
        <v>0</v>
      </c>
    </row>
    <row r="5" spans="1:7" ht="21" customHeight="1" x14ac:dyDescent="0.25">
      <c r="A5" s="320"/>
      <c r="B5" s="321"/>
      <c r="C5" s="322"/>
      <c r="D5" s="244"/>
      <c r="E5" s="220"/>
      <c r="F5" s="183">
        <f t="shared" ref="F5:F68" si="0">C5-E5+F4</f>
        <v>0</v>
      </c>
    </row>
    <row r="6" spans="1:7" ht="21" customHeight="1" x14ac:dyDescent="0.3">
      <c r="A6" s="320"/>
      <c r="B6" s="321"/>
      <c r="C6" s="322"/>
      <c r="D6" s="244"/>
      <c r="E6" s="220"/>
      <c r="F6" s="183">
        <f t="shared" si="0"/>
        <v>0</v>
      </c>
      <c r="G6" s="184"/>
    </row>
    <row r="7" spans="1:7" ht="21" customHeight="1" x14ac:dyDescent="0.25">
      <c r="A7" s="320"/>
      <c r="B7" s="321"/>
      <c r="C7" s="322"/>
      <c r="D7" s="244"/>
      <c r="E7" s="220"/>
      <c r="F7" s="183">
        <f t="shared" si="0"/>
        <v>0</v>
      </c>
    </row>
    <row r="8" spans="1:7" ht="21" customHeight="1" x14ac:dyDescent="0.25">
      <c r="A8" s="320"/>
      <c r="B8" s="321"/>
      <c r="C8" s="322"/>
      <c r="D8" s="244"/>
      <c r="E8" s="220"/>
      <c r="F8" s="183">
        <f t="shared" si="0"/>
        <v>0</v>
      </c>
    </row>
    <row r="9" spans="1:7" ht="21" customHeight="1" x14ac:dyDescent="0.25">
      <c r="A9" s="320"/>
      <c r="B9" s="321"/>
      <c r="C9" s="322"/>
      <c r="D9" s="181"/>
      <c r="E9" s="149"/>
      <c r="F9" s="183">
        <f t="shared" si="0"/>
        <v>0</v>
      </c>
    </row>
    <row r="10" spans="1:7" ht="21" customHeight="1" x14ac:dyDescent="0.25">
      <c r="A10" s="320"/>
      <c r="B10" s="321"/>
      <c r="C10" s="322"/>
      <c r="D10" s="181"/>
      <c r="E10" s="149"/>
      <c r="F10" s="183">
        <f t="shared" si="0"/>
        <v>0</v>
      </c>
    </row>
    <row r="11" spans="1:7" ht="21" customHeight="1" x14ac:dyDescent="0.25">
      <c r="A11" s="320"/>
      <c r="B11" s="321"/>
      <c r="C11" s="322"/>
      <c r="D11" s="181"/>
      <c r="E11" s="149"/>
      <c r="F11" s="183">
        <f t="shared" si="0"/>
        <v>0</v>
      </c>
    </row>
    <row r="12" spans="1:7" ht="21" customHeight="1" x14ac:dyDescent="0.3">
      <c r="A12" s="320"/>
      <c r="B12" s="321"/>
      <c r="C12" s="322"/>
      <c r="D12" s="181"/>
      <c r="E12" s="149"/>
      <c r="F12" s="183">
        <f t="shared" si="0"/>
        <v>0</v>
      </c>
      <c r="G12" s="184"/>
    </row>
    <row r="13" spans="1:7" ht="21" customHeight="1" x14ac:dyDescent="0.25">
      <c r="A13" s="320"/>
      <c r="B13" s="321"/>
      <c r="C13" s="322"/>
      <c r="D13" s="181"/>
      <c r="E13" s="149"/>
      <c r="F13" s="183">
        <f t="shared" si="0"/>
        <v>0</v>
      </c>
    </row>
    <row r="14" spans="1:7" ht="21" customHeight="1" x14ac:dyDescent="0.25">
      <c r="A14" s="320"/>
      <c r="B14" s="321"/>
      <c r="C14" s="322"/>
      <c r="D14" s="181"/>
      <c r="E14" s="149"/>
      <c r="F14" s="183">
        <f t="shared" si="0"/>
        <v>0</v>
      </c>
    </row>
    <row r="15" spans="1:7" ht="21" customHeight="1" x14ac:dyDescent="0.25">
      <c r="A15" s="320"/>
      <c r="B15" s="321"/>
      <c r="C15" s="322"/>
      <c r="D15" s="181"/>
      <c r="E15" s="149"/>
      <c r="F15" s="183">
        <f t="shared" si="0"/>
        <v>0</v>
      </c>
    </row>
    <row r="16" spans="1:7" ht="21" customHeight="1" x14ac:dyDescent="0.25">
      <c r="A16" s="320"/>
      <c r="B16" s="321"/>
      <c r="C16" s="322"/>
      <c r="D16" s="181"/>
      <c r="E16" s="149"/>
      <c r="F16" s="183">
        <f t="shared" si="0"/>
        <v>0</v>
      </c>
    </row>
    <row r="17" spans="1:10" ht="21" customHeight="1" x14ac:dyDescent="0.25">
      <c r="A17" s="320"/>
      <c r="B17" s="321"/>
      <c r="C17" s="322"/>
      <c r="D17" s="181"/>
      <c r="E17" s="149"/>
      <c r="F17" s="183">
        <f t="shared" si="0"/>
        <v>0</v>
      </c>
    </row>
    <row r="18" spans="1:10" ht="21" customHeight="1" x14ac:dyDescent="0.25">
      <c r="A18" s="320"/>
      <c r="B18" s="321"/>
      <c r="C18" s="322"/>
      <c r="D18" s="181"/>
      <c r="E18" s="149"/>
      <c r="F18" s="183">
        <f t="shared" si="0"/>
        <v>0</v>
      </c>
      <c r="J18" s="133" t="s">
        <v>363</v>
      </c>
    </row>
    <row r="19" spans="1:10" ht="21" customHeight="1" x14ac:dyDescent="0.25">
      <c r="A19" s="320"/>
      <c r="B19" s="321"/>
      <c r="C19" s="322"/>
      <c r="D19" s="181"/>
      <c r="E19" s="149"/>
      <c r="F19" s="183">
        <f t="shared" si="0"/>
        <v>0</v>
      </c>
    </row>
    <row r="20" spans="1:10" ht="21" customHeight="1" x14ac:dyDescent="0.25">
      <c r="A20" s="320"/>
      <c r="B20" s="321"/>
      <c r="C20" s="322"/>
      <c r="D20" s="181"/>
      <c r="E20" s="149"/>
      <c r="F20" s="183">
        <f t="shared" si="0"/>
        <v>0</v>
      </c>
    </row>
    <row r="21" spans="1:10" ht="24.75" customHeight="1" x14ac:dyDescent="0.25">
      <c r="A21" s="320"/>
      <c r="B21" s="321"/>
      <c r="C21" s="322"/>
      <c r="D21" s="181"/>
      <c r="E21" s="149"/>
      <c r="F21" s="183">
        <f t="shared" si="0"/>
        <v>0</v>
      </c>
    </row>
    <row r="22" spans="1:10" ht="21" customHeight="1" x14ac:dyDescent="0.25">
      <c r="A22" s="320"/>
      <c r="B22" s="321"/>
      <c r="C22" s="322"/>
      <c r="D22" s="181"/>
      <c r="E22" s="149"/>
      <c r="F22" s="183">
        <f t="shared" si="0"/>
        <v>0</v>
      </c>
    </row>
    <row r="23" spans="1:10" ht="24.75" customHeight="1" x14ac:dyDescent="0.25">
      <c r="A23" s="320"/>
      <c r="B23" s="321"/>
      <c r="C23" s="322"/>
      <c r="D23" s="181"/>
      <c r="E23" s="149"/>
      <c r="F23" s="183">
        <f t="shared" si="0"/>
        <v>0</v>
      </c>
    </row>
    <row r="24" spans="1:10" ht="21" customHeight="1" x14ac:dyDescent="0.3">
      <c r="A24" s="320"/>
      <c r="B24" s="321"/>
      <c r="C24" s="322"/>
      <c r="D24" s="181"/>
      <c r="E24" s="149"/>
      <c r="F24" s="183">
        <f t="shared" si="0"/>
        <v>0</v>
      </c>
      <c r="G24" s="184"/>
    </row>
    <row r="25" spans="1:10" ht="21" customHeight="1" x14ac:dyDescent="0.25">
      <c r="A25" s="320"/>
      <c r="B25" s="321"/>
      <c r="C25" s="322"/>
      <c r="D25" s="181"/>
      <c r="E25" s="149"/>
      <c r="F25" s="183">
        <f t="shared" si="0"/>
        <v>0</v>
      </c>
    </row>
    <row r="26" spans="1:10" ht="21" customHeight="1" x14ac:dyDescent="0.25">
      <c r="A26" s="320"/>
      <c r="B26" s="321"/>
      <c r="C26" s="322"/>
      <c r="D26" s="181"/>
      <c r="E26" s="149"/>
      <c r="F26" s="183">
        <f t="shared" si="0"/>
        <v>0</v>
      </c>
    </row>
    <row r="27" spans="1:10" ht="21" customHeight="1" x14ac:dyDescent="0.25">
      <c r="A27" s="320"/>
      <c r="B27" s="321"/>
      <c r="C27" s="322"/>
      <c r="D27" s="181"/>
      <c r="E27" s="149"/>
      <c r="F27" s="183">
        <f t="shared" si="0"/>
        <v>0</v>
      </c>
    </row>
    <row r="28" spans="1:10" ht="21" customHeight="1" x14ac:dyDescent="0.25">
      <c r="A28" s="320"/>
      <c r="B28" s="321"/>
      <c r="C28" s="322"/>
      <c r="D28" s="181"/>
      <c r="E28" s="149"/>
      <c r="F28" s="183">
        <f t="shared" si="0"/>
        <v>0</v>
      </c>
    </row>
    <row r="29" spans="1:10" ht="21" customHeight="1" x14ac:dyDescent="0.25">
      <c r="A29" s="320"/>
      <c r="B29" s="321"/>
      <c r="C29" s="322"/>
      <c r="D29" s="181"/>
      <c r="E29" s="149"/>
      <c r="F29" s="183">
        <f t="shared" si="0"/>
        <v>0</v>
      </c>
      <c r="J29" s="149">
        <v>0</v>
      </c>
    </row>
    <row r="30" spans="1:10" ht="21" customHeight="1" x14ac:dyDescent="0.25">
      <c r="A30" s="320"/>
      <c r="B30" s="321"/>
      <c r="C30" s="322"/>
      <c r="D30" s="181"/>
      <c r="E30" s="149"/>
      <c r="F30" s="183">
        <f t="shared" si="0"/>
        <v>0</v>
      </c>
      <c r="J30" s="149">
        <v>0</v>
      </c>
    </row>
    <row r="31" spans="1:10" ht="21" customHeight="1" x14ac:dyDescent="0.25">
      <c r="A31" s="320"/>
      <c r="B31" s="321"/>
      <c r="C31" s="322"/>
      <c r="D31" s="181"/>
      <c r="E31" s="149"/>
      <c r="F31" s="183">
        <f t="shared" si="0"/>
        <v>0</v>
      </c>
      <c r="J31" s="149">
        <v>0</v>
      </c>
    </row>
    <row r="32" spans="1:10" ht="21" customHeight="1" x14ac:dyDescent="0.3">
      <c r="A32" s="320"/>
      <c r="B32" s="321"/>
      <c r="C32" s="322"/>
      <c r="D32" s="181"/>
      <c r="E32" s="149"/>
      <c r="F32" s="183">
        <f t="shared" si="0"/>
        <v>0</v>
      </c>
      <c r="G32" s="184"/>
      <c r="J32" s="149">
        <v>0</v>
      </c>
    </row>
    <row r="33" spans="1:10" ht="21" customHeight="1" x14ac:dyDescent="0.25">
      <c r="A33" s="320"/>
      <c r="B33" s="321"/>
      <c r="C33" s="322"/>
      <c r="D33" s="181"/>
      <c r="E33" s="149"/>
      <c r="F33" s="183">
        <f t="shared" si="0"/>
        <v>0</v>
      </c>
      <c r="J33" s="149">
        <v>0</v>
      </c>
    </row>
    <row r="34" spans="1:10" ht="21" customHeight="1" x14ac:dyDescent="0.25">
      <c r="A34" s="320"/>
      <c r="B34" s="321"/>
      <c r="C34" s="322"/>
      <c r="D34" s="181"/>
      <c r="E34" s="149"/>
      <c r="F34" s="183">
        <f t="shared" si="0"/>
        <v>0</v>
      </c>
      <c r="J34" s="149">
        <v>0</v>
      </c>
    </row>
    <row r="35" spans="1:10" ht="23.25" customHeight="1" x14ac:dyDescent="0.25">
      <c r="A35" s="320"/>
      <c r="B35" s="321"/>
      <c r="C35" s="322"/>
      <c r="D35" s="181"/>
      <c r="E35" s="149"/>
      <c r="F35" s="183">
        <f t="shared" si="0"/>
        <v>0</v>
      </c>
      <c r="J35" s="149">
        <v>0</v>
      </c>
    </row>
    <row r="36" spans="1:10" ht="23.25" customHeight="1" x14ac:dyDescent="0.25">
      <c r="A36" s="320"/>
      <c r="B36" s="321"/>
      <c r="C36" s="322"/>
      <c r="D36" s="181"/>
      <c r="E36" s="149"/>
      <c r="F36" s="183">
        <f t="shared" si="0"/>
        <v>0</v>
      </c>
      <c r="J36" s="133">
        <v>0</v>
      </c>
    </row>
    <row r="37" spans="1:10" ht="23.25" customHeight="1" x14ac:dyDescent="0.25">
      <c r="A37" s="320"/>
      <c r="B37" s="321"/>
      <c r="C37" s="322"/>
      <c r="D37" s="181"/>
      <c r="E37" s="149"/>
      <c r="F37" s="183">
        <f t="shared" si="0"/>
        <v>0</v>
      </c>
      <c r="J37" s="187">
        <f>SUM(J29:J36)</f>
        <v>0</v>
      </c>
    </row>
    <row r="38" spans="1:10" ht="23.25" customHeight="1" x14ac:dyDescent="0.25">
      <c r="A38" s="320"/>
      <c r="B38" s="321"/>
      <c r="C38" s="322"/>
      <c r="D38" s="181"/>
      <c r="E38" s="149"/>
      <c r="F38" s="183">
        <f t="shared" si="0"/>
        <v>0</v>
      </c>
    </row>
    <row r="39" spans="1:10" ht="23.25" customHeight="1" x14ac:dyDescent="0.25">
      <c r="A39" s="320"/>
      <c r="B39" s="321"/>
      <c r="C39" s="322"/>
      <c r="D39" s="181"/>
      <c r="E39" s="149"/>
      <c r="F39" s="183">
        <f t="shared" si="0"/>
        <v>0</v>
      </c>
    </row>
    <row r="40" spans="1:10" ht="23.25" customHeight="1" x14ac:dyDescent="0.25">
      <c r="A40" s="320"/>
      <c r="B40" s="321"/>
      <c r="C40" s="322"/>
      <c r="D40" s="181"/>
      <c r="E40" s="100"/>
      <c r="F40" s="183">
        <f t="shared" si="0"/>
        <v>0</v>
      </c>
    </row>
    <row r="41" spans="1:10" ht="23.25" customHeight="1" x14ac:dyDescent="0.25">
      <c r="A41" s="320"/>
      <c r="B41" s="321"/>
      <c r="C41" s="322"/>
      <c r="D41" s="181"/>
      <c r="E41" s="100"/>
      <c r="F41" s="183">
        <f t="shared" si="0"/>
        <v>0</v>
      </c>
    </row>
    <row r="42" spans="1:10" ht="23.25" customHeight="1" x14ac:dyDescent="0.25">
      <c r="A42" s="320"/>
      <c r="B42" s="321"/>
      <c r="C42" s="322"/>
      <c r="D42" s="185"/>
      <c r="E42" s="100"/>
      <c r="F42" s="183">
        <f t="shared" si="0"/>
        <v>0</v>
      </c>
    </row>
    <row r="43" spans="1:10" ht="23.25" customHeight="1" x14ac:dyDescent="0.25">
      <c r="A43" s="320"/>
      <c r="B43" s="321"/>
      <c r="C43" s="322"/>
      <c r="D43" s="192"/>
      <c r="E43" s="100"/>
      <c r="F43" s="183">
        <f t="shared" si="0"/>
        <v>0</v>
      </c>
    </row>
    <row r="44" spans="1:10" ht="23.25" customHeight="1" x14ac:dyDescent="0.25">
      <c r="A44" s="320"/>
      <c r="B44" s="321"/>
      <c r="C44" s="322"/>
      <c r="D44" s="192"/>
      <c r="E44" s="100"/>
      <c r="F44" s="183">
        <f t="shared" si="0"/>
        <v>0</v>
      </c>
    </row>
    <row r="45" spans="1:10" ht="23.25" customHeight="1" x14ac:dyDescent="0.25">
      <c r="A45" s="320"/>
      <c r="B45" s="321"/>
      <c r="C45" s="322"/>
      <c r="D45" s="192"/>
      <c r="E45" s="100"/>
      <c r="F45" s="183">
        <f t="shared" si="0"/>
        <v>0</v>
      </c>
    </row>
    <row r="46" spans="1:10" ht="23.25" customHeight="1" x14ac:dyDescent="0.25">
      <c r="A46" s="320"/>
      <c r="B46" s="321"/>
      <c r="C46" s="322"/>
      <c r="D46" s="192"/>
      <c r="E46" s="100"/>
      <c r="F46" s="183">
        <f t="shared" si="0"/>
        <v>0</v>
      </c>
    </row>
    <row r="47" spans="1:10" ht="23.25" customHeight="1" x14ac:dyDescent="0.25">
      <c r="A47" s="325"/>
      <c r="B47" s="321"/>
      <c r="C47" s="322"/>
      <c r="D47" s="192"/>
      <c r="E47" s="100"/>
      <c r="F47" s="183">
        <f t="shared" si="0"/>
        <v>0</v>
      </c>
    </row>
    <row r="48" spans="1:10" ht="23.25" customHeight="1" x14ac:dyDescent="0.25">
      <c r="A48" s="325"/>
      <c r="B48" s="321"/>
      <c r="C48" s="322"/>
      <c r="D48" s="192"/>
      <c r="E48" s="100"/>
      <c r="F48" s="183">
        <f t="shared" si="0"/>
        <v>0</v>
      </c>
    </row>
    <row r="49" spans="1:6" ht="23.25" customHeight="1" x14ac:dyDescent="0.25">
      <c r="A49" s="325"/>
      <c r="B49" s="321"/>
      <c r="C49" s="322"/>
      <c r="D49" s="192"/>
      <c r="E49" s="100"/>
      <c r="F49" s="183">
        <f t="shared" si="0"/>
        <v>0</v>
      </c>
    </row>
    <row r="50" spans="1:6" ht="23.25" customHeight="1" x14ac:dyDescent="0.25">
      <c r="A50" s="325"/>
      <c r="B50" s="321"/>
      <c r="C50" s="322"/>
      <c r="D50" s="192"/>
      <c r="E50" s="100"/>
      <c r="F50" s="183">
        <f t="shared" si="0"/>
        <v>0</v>
      </c>
    </row>
    <row r="51" spans="1:6" ht="23.25" customHeight="1" x14ac:dyDescent="0.25">
      <c r="A51" s="325"/>
      <c r="B51" s="321"/>
      <c r="C51" s="322"/>
      <c r="D51" s="192"/>
      <c r="E51" s="100"/>
      <c r="F51" s="183">
        <f t="shared" si="0"/>
        <v>0</v>
      </c>
    </row>
    <row r="52" spans="1:6" ht="23.25" customHeight="1" x14ac:dyDescent="0.25">
      <c r="A52" s="324"/>
      <c r="B52" s="248"/>
      <c r="C52" s="149"/>
      <c r="D52" s="192"/>
      <c r="E52" s="100"/>
      <c r="F52" s="183">
        <f t="shared" si="0"/>
        <v>0</v>
      </c>
    </row>
    <row r="53" spans="1:6" ht="23.25" customHeight="1" x14ac:dyDescent="0.25">
      <c r="A53" s="324"/>
      <c r="B53" s="248"/>
      <c r="C53" s="149"/>
      <c r="D53" s="192"/>
      <c r="E53" s="100"/>
      <c r="F53" s="183">
        <f t="shared" si="0"/>
        <v>0</v>
      </c>
    </row>
    <row r="54" spans="1:6" ht="23.25" customHeight="1" x14ac:dyDescent="0.25">
      <c r="A54" s="324"/>
      <c r="B54" s="248"/>
      <c r="C54" s="149"/>
      <c r="D54" s="192"/>
      <c r="E54" s="100"/>
      <c r="F54" s="183">
        <f t="shared" si="0"/>
        <v>0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0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39.75" customHeight="1" thickBot="1" x14ac:dyDescent="0.35">
      <c r="A79" s="201"/>
      <c r="B79" s="202"/>
      <c r="C79" s="317">
        <f>SUM(C3:C78)</f>
        <v>0</v>
      </c>
      <c r="D79" s="175"/>
      <c r="E79" s="204">
        <f>SUM(E3:E78)</f>
        <v>0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8"/>
      <c r="C1" s="350" t="s">
        <v>61</v>
      </c>
      <c r="D1" s="351"/>
      <c r="E1" s="351"/>
      <c r="F1" s="351"/>
      <c r="G1" s="351"/>
      <c r="H1" s="351"/>
      <c r="I1" s="351"/>
      <c r="J1" s="351"/>
      <c r="K1" s="351"/>
      <c r="L1" s="351"/>
      <c r="M1" s="351"/>
    </row>
    <row r="2" spans="1:21" ht="16.5" thickBot="1" x14ac:dyDescent="0.3">
      <c r="B2" s="349"/>
      <c r="C2" s="4"/>
      <c r="H2" s="6"/>
      <c r="I2" s="7"/>
      <c r="J2" s="8"/>
      <c r="L2" s="3"/>
      <c r="M2" s="7"/>
      <c r="N2" s="9"/>
    </row>
    <row r="3" spans="1:21" ht="21.75" thickBot="1" x14ac:dyDescent="0.35">
      <c r="B3" s="352" t="s">
        <v>0</v>
      </c>
      <c r="C3" s="353"/>
      <c r="D3" s="10"/>
      <c r="E3" s="11"/>
      <c r="F3" s="11"/>
      <c r="H3" s="354" t="s">
        <v>1</v>
      </c>
      <c r="I3" s="354"/>
      <c r="K3" s="13"/>
      <c r="L3" s="13"/>
      <c r="M3" s="6"/>
      <c r="R3" s="331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33" t="s">
        <v>4</v>
      </c>
      <c r="F4" s="334"/>
      <c r="H4" s="335" t="s">
        <v>5</v>
      </c>
      <c r="I4" s="336"/>
      <c r="J4" s="18"/>
      <c r="K4" s="19"/>
      <c r="L4" s="20"/>
      <c r="M4" s="21" t="s">
        <v>6</v>
      </c>
      <c r="N4" s="22" t="s">
        <v>7</v>
      </c>
      <c r="P4" s="370" t="s">
        <v>8</v>
      </c>
      <c r="Q4" s="371"/>
      <c r="R4" s="369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355">
        <f>SUM(M5:M39)</f>
        <v>2238523</v>
      </c>
      <c r="N45" s="340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356"/>
      <c r="N46" s="341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2" t="s">
        <v>13</v>
      </c>
      <c r="I51" s="343"/>
      <c r="J51" s="135"/>
      <c r="K51" s="344">
        <f>I49+L49</f>
        <v>90767.040000000008</v>
      </c>
      <c r="L51" s="345"/>
      <c r="M51" s="346">
        <f>N45+M45</f>
        <v>2335781</v>
      </c>
      <c r="N51" s="347"/>
      <c r="P51" s="36"/>
      <c r="Q51" s="9"/>
    </row>
    <row r="52" spans="1:17" ht="15.75" x14ac:dyDescent="0.25">
      <c r="D52" s="339" t="s">
        <v>14</v>
      </c>
      <c r="E52" s="339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357" t="s">
        <v>15</v>
      </c>
      <c r="E53" s="357"/>
      <c r="F53" s="131">
        <v>-2224189.7400000002</v>
      </c>
      <c r="I53" s="358" t="s">
        <v>16</v>
      </c>
      <c r="J53" s="359"/>
      <c r="K53" s="360">
        <f>F55+F56+F57</f>
        <v>296963.76999999973</v>
      </c>
      <c r="L53" s="361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362">
        <f>-C4</f>
        <v>-223528.9</v>
      </c>
      <c r="L55" s="363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364" t="s">
        <v>21</v>
      </c>
      <c r="E57" s="365"/>
      <c r="F57" s="151">
        <v>230554.55</v>
      </c>
      <c r="I57" s="366" t="s">
        <v>22</v>
      </c>
      <c r="J57" s="367"/>
      <c r="K57" s="368">
        <f>K53+K55</f>
        <v>73434.869999999733</v>
      </c>
      <c r="L57" s="368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8"/>
      <c r="C1" s="350" t="s">
        <v>115</v>
      </c>
      <c r="D1" s="351"/>
      <c r="E1" s="351"/>
      <c r="F1" s="351"/>
      <c r="G1" s="351"/>
      <c r="H1" s="351"/>
      <c r="I1" s="351"/>
      <c r="J1" s="351"/>
      <c r="K1" s="351"/>
      <c r="L1" s="351"/>
      <c r="M1" s="351"/>
    </row>
    <row r="2" spans="1:21" ht="16.5" thickBot="1" x14ac:dyDescent="0.3">
      <c r="B2" s="349"/>
      <c r="C2" s="4"/>
      <c r="H2" s="6"/>
      <c r="I2" s="7"/>
      <c r="J2" s="251"/>
      <c r="L2" s="253"/>
      <c r="M2" s="7"/>
      <c r="N2" s="9"/>
    </row>
    <row r="3" spans="1:21" ht="21.75" thickBot="1" x14ac:dyDescent="0.35">
      <c r="B3" s="352" t="s">
        <v>0</v>
      </c>
      <c r="C3" s="353"/>
      <c r="D3" s="10"/>
      <c r="E3" s="11"/>
      <c r="F3" s="11"/>
      <c r="H3" s="354" t="s">
        <v>1</v>
      </c>
      <c r="I3" s="354"/>
      <c r="K3" s="13"/>
      <c r="L3" s="13"/>
      <c r="M3" s="6"/>
      <c r="R3" s="331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33" t="s">
        <v>4</v>
      </c>
      <c r="F4" s="334"/>
      <c r="H4" s="335" t="s">
        <v>5</v>
      </c>
      <c r="I4" s="336"/>
      <c r="J4" s="255"/>
      <c r="K4" s="256"/>
      <c r="L4" s="16"/>
      <c r="M4" s="21" t="s">
        <v>6</v>
      </c>
      <c r="N4" s="22" t="s">
        <v>7</v>
      </c>
      <c r="P4" s="370" t="s">
        <v>8</v>
      </c>
      <c r="Q4" s="371"/>
      <c r="R4" s="369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251"/>
      <c r="K5" s="257"/>
      <c r="L5" s="13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258"/>
      <c r="K6" s="71" t="s">
        <v>9</v>
      </c>
      <c r="L6" s="259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258"/>
      <c r="K7" s="102"/>
      <c r="L7" s="259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258"/>
      <c r="K8" s="260"/>
      <c r="L8" s="259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258"/>
      <c r="K9" s="261"/>
      <c r="L9" s="259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258"/>
      <c r="K10" s="262"/>
      <c r="L10" s="263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258">
        <v>44992</v>
      </c>
      <c r="K11" s="261" t="s">
        <v>160</v>
      </c>
      <c r="L11" s="259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258"/>
      <c r="K12" s="264"/>
      <c r="L12" s="259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258"/>
      <c r="K13" s="71"/>
      <c r="L13" s="259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258"/>
      <c r="K14" s="260"/>
      <c r="L14" s="259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258">
        <v>44996</v>
      </c>
      <c r="K15" s="260" t="s">
        <v>162</v>
      </c>
      <c r="L15" s="259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258"/>
      <c r="K16" s="260"/>
      <c r="L16" s="13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258"/>
      <c r="K17" s="260"/>
      <c r="L17" s="263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258"/>
      <c r="K18" s="265"/>
      <c r="L18" s="259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258"/>
      <c r="K19" s="266"/>
      <c r="L19" s="267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258"/>
      <c r="K20" s="262"/>
      <c r="L20" s="263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258"/>
      <c r="K21" s="268"/>
      <c r="L21" s="263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258">
        <v>45003</v>
      </c>
      <c r="K22" s="260" t="s">
        <v>163</v>
      </c>
      <c r="L22" s="26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270"/>
      <c r="K23" s="271"/>
      <c r="L23" s="263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272"/>
      <c r="K24" s="271"/>
      <c r="L24" s="273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274"/>
      <c r="K25" s="275"/>
      <c r="L25" s="276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258"/>
      <c r="K26" s="271"/>
      <c r="L26" s="263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277"/>
      <c r="K27" s="275"/>
      <c r="L27" s="276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278"/>
      <c r="K28" s="71"/>
      <c r="L28" s="276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277">
        <v>45010</v>
      </c>
      <c r="K29" s="279" t="s">
        <v>165</v>
      </c>
      <c r="L29" s="276">
        <v>12045</v>
      </c>
      <c r="M29" s="249">
        <f>30700</f>
        <v>30700</v>
      </c>
      <c r="N29" s="34">
        <v>8222</v>
      </c>
      <c r="O29" s="35"/>
      <c r="P29" s="235">
        <f t="shared" si="0"/>
        <v>51109</v>
      </c>
      <c r="Q29" s="250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86"/>
      <c r="K30" s="280"/>
      <c r="L30" s="281"/>
      <c r="M30" s="249">
        <f>33777</f>
        <v>33777</v>
      </c>
      <c r="N30" s="34">
        <v>4272</v>
      </c>
      <c r="O30" s="35"/>
      <c r="P30" s="235">
        <f t="shared" si="0"/>
        <v>47563</v>
      </c>
      <c r="Q30" s="250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86"/>
      <c r="K31" s="282"/>
      <c r="L31" s="283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86"/>
      <c r="K32" s="280"/>
      <c r="L32" s="281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86"/>
      <c r="K33" s="282"/>
      <c r="L33" s="216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86">
        <v>45015</v>
      </c>
      <c r="K34" s="83" t="s">
        <v>167</v>
      </c>
      <c r="L34" s="2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86">
        <v>45002</v>
      </c>
      <c r="K37" s="286" t="s">
        <v>108</v>
      </c>
      <c r="L37" s="216">
        <v>1392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45012</v>
      </c>
      <c r="K38" s="282" t="s">
        <v>169</v>
      </c>
      <c r="L38" s="216">
        <v>364140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55">
        <f>SUM(M5:M39)</f>
        <v>2689952</v>
      </c>
      <c r="N45" s="340">
        <f>SUM(N5:N39)</f>
        <v>61422</v>
      </c>
      <c r="P45" s="98">
        <f t="shared" si="0"/>
        <v>2751374</v>
      </c>
      <c r="Q45" s="2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6"/>
      <c r="N46" s="341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290"/>
      <c r="K49" s="291" t="s">
        <v>12</v>
      </c>
      <c r="L49" s="292">
        <f>SUM(L5:L48)</f>
        <v>413179.67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2" t="s">
        <v>13</v>
      </c>
      <c r="I51" s="343"/>
      <c r="J51" s="135"/>
      <c r="K51" s="344">
        <f>I49+L49</f>
        <v>425400.67</v>
      </c>
      <c r="L51" s="345"/>
      <c r="M51" s="346">
        <f>N45+M45</f>
        <v>2751374</v>
      </c>
      <c r="N51" s="347"/>
      <c r="P51" s="36"/>
      <c r="Q51" s="9"/>
    </row>
    <row r="52" spans="1:17" x14ac:dyDescent="0.25">
      <c r="D52" s="339" t="s">
        <v>14</v>
      </c>
      <c r="E52" s="339"/>
      <c r="F52" s="136">
        <f>F49-K51-C49</f>
        <v>2464124.33</v>
      </c>
      <c r="I52" s="137"/>
      <c r="J52" s="138"/>
      <c r="P52" s="36"/>
      <c r="Q52" s="9"/>
    </row>
    <row r="53" spans="1:17" x14ac:dyDescent="0.25">
      <c r="D53" s="357" t="s">
        <v>15</v>
      </c>
      <c r="E53" s="357"/>
      <c r="F53" s="131">
        <v>-2869426.04</v>
      </c>
      <c r="I53" s="358" t="s">
        <v>16</v>
      </c>
      <c r="J53" s="359"/>
      <c r="K53" s="372">
        <f>F55+F56+F57</f>
        <v>-32021.369999999937</v>
      </c>
      <c r="L53" s="373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-405301.70999999996</v>
      </c>
      <c r="H55" s="23"/>
      <c r="I55" s="146" t="s">
        <v>18</v>
      </c>
      <c r="J55" s="147"/>
      <c r="K55" s="374">
        <f>-C4</f>
        <v>-230554.55</v>
      </c>
      <c r="L55" s="375"/>
    </row>
    <row r="56" spans="1:17" ht="16.5" thickBot="1" x14ac:dyDescent="0.3">
      <c r="D56" s="148" t="s">
        <v>19</v>
      </c>
      <c r="E56" s="133" t="s">
        <v>20</v>
      </c>
      <c r="F56" s="149">
        <v>32088</v>
      </c>
    </row>
    <row r="57" spans="1:17" ht="20.25" thickTop="1" thickBot="1" x14ac:dyDescent="0.35">
      <c r="C57" s="150">
        <v>45015</v>
      </c>
      <c r="D57" s="364" t="s">
        <v>21</v>
      </c>
      <c r="E57" s="365"/>
      <c r="F57" s="151">
        <v>341192.34</v>
      </c>
      <c r="I57" s="376" t="s">
        <v>170</v>
      </c>
      <c r="J57" s="377"/>
      <c r="K57" s="378">
        <f>K53+K55</f>
        <v>-262575.91999999993</v>
      </c>
      <c r="L57" s="378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4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4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4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4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4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4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81267.320000000007</v>
      </c>
      <c r="D14" s="181"/>
      <c r="E14" s="149"/>
      <c r="F14" s="183">
        <f t="shared" si="0"/>
        <v>749212.60000000009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818874.50000000012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899258.70000000007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925825.50000000012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997868.70000000007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1063921.1000000001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1144362.7000000002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308"/>
      <c r="E21" s="149"/>
      <c r="F21" s="183">
        <f t="shared" si="0"/>
        <v>1161959.5000000002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1237085.5500000003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1287303.5500000003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1338253.9500000002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1429848.9700000002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1587185.7700000003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1589351.7700000003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1597338.9700000002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1654854.4500000002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1809941.1600000001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1875024.56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1882172.36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1961023.7100000002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2004940.5100000002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2063312.3300000003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2113112.33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2132492.33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2236218.06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2326921.7200000002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2342029.7200000002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2452276.6800000002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2526149.2800000003</v>
      </c>
    </row>
    <row r="43" spans="1:10" ht="23.25" customHeight="1" x14ac:dyDescent="0.25">
      <c r="A43" s="245">
        <v>45012</v>
      </c>
      <c r="B43" s="247" t="s">
        <v>156</v>
      </c>
      <c r="C43" s="149">
        <v>18201.599999999999</v>
      </c>
      <c r="D43" s="192"/>
      <c r="E43" s="100"/>
      <c r="F43" s="183">
        <f t="shared" si="0"/>
        <v>2544350.8800000004</v>
      </c>
    </row>
    <row r="44" spans="1:10" ht="23.25" customHeight="1" x14ac:dyDescent="0.25">
      <c r="A44" s="246">
        <v>45012</v>
      </c>
      <c r="B44" s="248" t="s">
        <v>157</v>
      </c>
      <c r="C44" s="149">
        <v>80248.600000000006</v>
      </c>
      <c r="D44" s="192"/>
      <c r="E44" s="100"/>
      <c r="F44" s="183">
        <f t="shared" si="0"/>
        <v>2624599.4800000004</v>
      </c>
    </row>
    <row r="45" spans="1:10" ht="23.25" customHeight="1" x14ac:dyDescent="0.25">
      <c r="A45" s="246">
        <v>45013</v>
      </c>
      <c r="B45" s="248" t="s">
        <v>158</v>
      </c>
      <c r="C45" s="149">
        <v>103968.36</v>
      </c>
      <c r="D45" s="192"/>
      <c r="E45" s="100"/>
      <c r="F45" s="183">
        <f t="shared" si="0"/>
        <v>2728567.8400000003</v>
      </c>
    </row>
    <row r="46" spans="1:10" ht="23.25" customHeight="1" x14ac:dyDescent="0.25">
      <c r="A46" s="246">
        <v>45014</v>
      </c>
      <c r="B46" s="248" t="s">
        <v>159</v>
      </c>
      <c r="C46" s="149">
        <v>60574.6</v>
      </c>
      <c r="D46" s="192"/>
      <c r="E46" s="100"/>
      <c r="F46" s="183">
        <f t="shared" si="0"/>
        <v>2789142.4400000004</v>
      </c>
    </row>
    <row r="47" spans="1:10" ht="23.25" customHeight="1" x14ac:dyDescent="0.25">
      <c r="A47" s="246">
        <v>45015</v>
      </c>
      <c r="B47" s="248" t="s">
        <v>168</v>
      </c>
      <c r="C47" s="149">
        <v>80283.600000000006</v>
      </c>
      <c r="D47" s="192"/>
      <c r="E47" s="100"/>
      <c r="F47" s="183">
        <f t="shared" si="0"/>
        <v>2869426.0400000005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2869426.0400000005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2869426.0400000005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2869426.0400000005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2869426.0400000005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2869426.0400000005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2869426.0400000005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2869426.0400000005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2869426.0400000005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2869426.0400000005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2869426.0400000005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2869426.0400000005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2869426.0400000005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2869426.0400000005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2869426.0400000005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2869426.0400000005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2869426.0400000005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2869426.0400000005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2869426.0400000005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2869426.0400000005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2869426.0400000005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2869426.0400000005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2869426.0400000005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2869426.0400000005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2869426.0400000005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2869426.0400000005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2869426.0400000005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2869426.0400000005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2869426.0400000005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2869426.0400000005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2869426.0400000005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2869426.0400000005</v>
      </c>
    </row>
    <row r="79" spans="1:6" ht="19.5" thickBot="1" x14ac:dyDescent="0.35">
      <c r="A79" s="201"/>
      <c r="B79" s="202"/>
      <c r="C79" s="203">
        <f>SUM(C3:C78)</f>
        <v>2869426.0400000005</v>
      </c>
      <c r="D79" s="175"/>
      <c r="E79" s="204">
        <f>SUM(E3:E78)</f>
        <v>0</v>
      </c>
      <c r="F79" s="205">
        <f>F78</f>
        <v>2869426.0400000005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8"/>
      <c r="C1" s="350" t="s">
        <v>171</v>
      </c>
      <c r="D1" s="351"/>
      <c r="E1" s="351"/>
      <c r="F1" s="351"/>
      <c r="G1" s="351"/>
      <c r="H1" s="351"/>
      <c r="I1" s="351"/>
      <c r="J1" s="351"/>
      <c r="K1" s="351"/>
      <c r="L1" s="351"/>
      <c r="M1" s="351"/>
    </row>
    <row r="2" spans="1:21" ht="16.5" thickBot="1" x14ac:dyDescent="0.3">
      <c r="B2" s="349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52" t="s">
        <v>0</v>
      </c>
      <c r="C3" s="353"/>
      <c r="D3" s="10"/>
      <c r="E3" s="11"/>
      <c r="F3" s="11"/>
      <c r="H3" s="354" t="s">
        <v>1</v>
      </c>
      <c r="I3" s="354"/>
      <c r="K3" s="13"/>
      <c r="L3" s="13"/>
      <c r="M3" s="6"/>
      <c r="R3" s="379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33" t="s">
        <v>4</v>
      </c>
      <c r="F4" s="334"/>
      <c r="H4" s="335" t="s">
        <v>5</v>
      </c>
      <c r="I4" s="336"/>
      <c r="J4" s="255"/>
      <c r="K4" s="256"/>
      <c r="L4" s="16"/>
      <c r="M4" s="21" t="s">
        <v>6</v>
      </c>
      <c r="N4" s="22" t="s">
        <v>7</v>
      </c>
      <c r="P4" s="370" t="s">
        <v>8</v>
      </c>
      <c r="Q4" s="371"/>
      <c r="R4" s="380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G5" s="29"/>
      <c r="H5" s="30">
        <v>45016</v>
      </c>
      <c r="I5" s="31">
        <v>48</v>
      </c>
      <c r="J5" s="251"/>
      <c r="K5" s="257"/>
      <c r="L5" s="13"/>
      <c r="M5" s="33">
        <f>23000+77372</f>
        <v>100372</v>
      </c>
      <c r="N5" s="34">
        <v>0</v>
      </c>
      <c r="O5" s="35"/>
      <c r="P5" s="235">
        <f>N5+M5+L5+I5+C5</f>
        <v>111233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45017</v>
      </c>
      <c r="C6" s="25">
        <v>0</v>
      </c>
      <c r="D6" s="38"/>
      <c r="E6" s="27">
        <v>45017</v>
      </c>
      <c r="F6" s="28">
        <v>54760</v>
      </c>
      <c r="G6" s="29"/>
      <c r="H6" s="30">
        <v>45017</v>
      </c>
      <c r="I6" s="31">
        <v>167</v>
      </c>
      <c r="J6" s="258">
        <v>45017</v>
      </c>
      <c r="K6" s="71" t="s">
        <v>204</v>
      </c>
      <c r="L6" s="259">
        <v>10739</v>
      </c>
      <c r="M6" s="33">
        <f>16155+21400</f>
        <v>37555</v>
      </c>
      <c r="N6" s="34">
        <v>7523</v>
      </c>
      <c r="O6" s="35"/>
      <c r="P6" s="235">
        <f>N6+M6+L6+I6+C6</f>
        <v>55984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45018</v>
      </c>
      <c r="C7" s="25">
        <v>0</v>
      </c>
      <c r="D7" s="42"/>
      <c r="E7" s="27">
        <v>45018</v>
      </c>
      <c r="F7" s="28">
        <v>58215</v>
      </c>
      <c r="G7" s="29"/>
      <c r="H7" s="30">
        <v>45018</v>
      </c>
      <c r="I7" s="31">
        <v>0</v>
      </c>
      <c r="J7" s="258">
        <v>45018</v>
      </c>
      <c r="K7" s="102" t="s">
        <v>205</v>
      </c>
      <c r="L7" s="259">
        <v>15000</v>
      </c>
      <c r="M7" s="33">
        <f>51500+8756</f>
        <v>60256</v>
      </c>
      <c r="N7" s="34">
        <v>3066</v>
      </c>
      <c r="O7" s="35"/>
      <c r="P7" s="235">
        <f>N7+M7+L7+I7+C7</f>
        <v>78322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45019</v>
      </c>
      <c r="C8" s="25">
        <v>1705</v>
      </c>
      <c r="D8" s="42" t="s">
        <v>206</v>
      </c>
      <c r="E8" s="27">
        <v>45019</v>
      </c>
      <c r="F8" s="28">
        <v>69516</v>
      </c>
      <c r="G8" s="29"/>
      <c r="H8" s="30">
        <v>45019</v>
      </c>
      <c r="I8" s="31">
        <v>134</v>
      </c>
      <c r="J8" s="258"/>
      <c r="K8" s="260"/>
      <c r="L8" s="259"/>
      <c r="M8" s="33">
        <f>59877+7800</f>
        <v>67677</v>
      </c>
      <c r="N8" s="34">
        <v>0</v>
      </c>
      <c r="O8" s="35"/>
      <c r="P8" s="235">
        <f t="shared" ref="P8:P45" si="0">N8+M8+L8+I8+C8</f>
        <v>69516</v>
      </c>
      <c r="Q8" s="236">
        <f t="shared" ref="Q8:Q41" si="1">P8-F8</f>
        <v>0</v>
      </c>
      <c r="R8" s="238">
        <v>0</v>
      </c>
      <c r="S8" s="37"/>
    </row>
    <row r="9" spans="1:21" ht="18" thickBot="1" x14ac:dyDescent="0.35">
      <c r="A9" s="23"/>
      <c r="B9" s="24">
        <v>45020</v>
      </c>
      <c r="C9" s="25">
        <v>3000</v>
      </c>
      <c r="D9" s="46" t="s">
        <v>67</v>
      </c>
      <c r="E9" s="27">
        <v>45020</v>
      </c>
      <c r="F9" s="28">
        <v>79247</v>
      </c>
      <c r="G9" s="29"/>
      <c r="H9" s="30">
        <v>45020</v>
      </c>
      <c r="I9" s="31">
        <v>140</v>
      </c>
      <c r="J9" s="258"/>
      <c r="K9" s="261"/>
      <c r="L9" s="259"/>
      <c r="M9" s="33">
        <f>68177+6500</f>
        <v>74677</v>
      </c>
      <c r="N9" s="300">
        <f>554+118+758</f>
        <v>1430</v>
      </c>
      <c r="O9" s="35"/>
      <c r="P9" s="235">
        <f t="shared" si="0"/>
        <v>79247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45021</v>
      </c>
      <c r="C10" s="25">
        <v>0</v>
      </c>
      <c r="D10" s="38"/>
      <c r="E10" s="27">
        <v>45021</v>
      </c>
      <c r="F10" s="28">
        <v>58852</v>
      </c>
      <c r="G10" s="29"/>
      <c r="H10" s="30">
        <v>45021</v>
      </c>
      <c r="I10" s="31">
        <v>638.5</v>
      </c>
      <c r="J10" s="258"/>
      <c r="K10" s="262"/>
      <c r="L10" s="263"/>
      <c r="M10" s="33">
        <v>58098</v>
      </c>
      <c r="N10" s="34">
        <v>116</v>
      </c>
      <c r="O10" s="35"/>
      <c r="P10" s="235">
        <f>N10+M10+L10+I10+C10</f>
        <v>58852.5</v>
      </c>
      <c r="Q10" s="236">
        <f t="shared" si="1"/>
        <v>0.5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8"/>
      <c r="E11" s="27">
        <v>45022</v>
      </c>
      <c r="F11" s="28">
        <v>76525</v>
      </c>
      <c r="G11" s="29"/>
      <c r="H11" s="30">
        <v>45022</v>
      </c>
      <c r="I11" s="31">
        <v>38</v>
      </c>
      <c r="J11" s="258"/>
      <c r="K11" s="261"/>
      <c r="L11" s="259"/>
      <c r="M11" s="33">
        <f>55350+18800</f>
        <v>74150</v>
      </c>
      <c r="N11" s="34">
        <v>2337</v>
      </c>
      <c r="O11" s="35"/>
      <c r="P11" s="235">
        <f>N11+M11+L11+I11+C11</f>
        <v>76525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45023</v>
      </c>
      <c r="C12" s="25">
        <v>0</v>
      </c>
      <c r="D12" s="38"/>
      <c r="E12" s="27">
        <v>45023</v>
      </c>
      <c r="F12" s="28">
        <v>26495</v>
      </c>
      <c r="G12" s="29"/>
      <c r="H12" s="30">
        <v>45023</v>
      </c>
      <c r="I12" s="31">
        <v>119</v>
      </c>
      <c r="J12" s="258"/>
      <c r="K12" s="264"/>
      <c r="L12" s="259"/>
      <c r="M12" s="33">
        <v>23608</v>
      </c>
      <c r="N12" s="34">
        <v>2768</v>
      </c>
      <c r="O12" s="35"/>
      <c r="P12" s="235">
        <f t="shared" si="0"/>
        <v>26495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45024</v>
      </c>
      <c r="C13" s="25">
        <v>15544</v>
      </c>
      <c r="D13" s="42" t="s">
        <v>166</v>
      </c>
      <c r="E13" s="27">
        <v>45024</v>
      </c>
      <c r="F13" s="28">
        <v>82208</v>
      </c>
      <c r="G13" s="29"/>
      <c r="H13" s="30">
        <v>45024</v>
      </c>
      <c r="I13" s="31">
        <v>189</v>
      </c>
      <c r="J13" s="258">
        <v>45024</v>
      </c>
      <c r="K13" s="71" t="s">
        <v>207</v>
      </c>
      <c r="L13" s="259">
        <v>7239</v>
      </c>
      <c r="M13" s="33">
        <f>23050+32080</f>
        <v>55130</v>
      </c>
      <c r="N13" s="34">
        <v>9926</v>
      </c>
      <c r="O13" s="35"/>
      <c r="P13" s="235">
        <f t="shared" si="0"/>
        <v>88028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45025</v>
      </c>
      <c r="C14" s="25">
        <v>0</v>
      </c>
      <c r="D14" s="46"/>
      <c r="E14" s="27">
        <v>45025</v>
      </c>
      <c r="F14" s="28">
        <v>86179</v>
      </c>
      <c r="G14" s="29"/>
      <c r="H14" s="30">
        <v>45025</v>
      </c>
      <c r="I14" s="31">
        <v>179</v>
      </c>
      <c r="J14" s="258"/>
      <c r="K14" s="260"/>
      <c r="L14" s="259"/>
      <c r="M14" s="33">
        <f>82700+3300</f>
        <v>86000</v>
      </c>
      <c r="N14" s="34">
        <v>0</v>
      </c>
      <c r="O14" s="35"/>
      <c r="P14" s="235">
        <f t="shared" si="0"/>
        <v>86179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45026</v>
      </c>
      <c r="C15" s="25">
        <v>0</v>
      </c>
      <c r="D15" s="46"/>
      <c r="E15" s="27">
        <v>45026</v>
      </c>
      <c r="F15" s="28">
        <v>87173</v>
      </c>
      <c r="G15" s="29"/>
      <c r="H15" s="30">
        <v>45026</v>
      </c>
      <c r="I15" s="31">
        <v>158</v>
      </c>
      <c r="J15" s="258"/>
      <c r="K15" s="260"/>
      <c r="L15" s="259"/>
      <c r="M15" s="33">
        <f>56000+30322</f>
        <v>86322</v>
      </c>
      <c r="N15" s="34">
        <v>693</v>
      </c>
      <c r="O15" s="35"/>
      <c r="P15" s="235">
        <f t="shared" si="0"/>
        <v>87173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45027</v>
      </c>
      <c r="C16" s="25">
        <v>2730</v>
      </c>
      <c r="D16" s="52" t="s">
        <v>67</v>
      </c>
      <c r="E16" s="27">
        <v>45027</v>
      </c>
      <c r="F16" s="28">
        <v>97690</v>
      </c>
      <c r="G16" s="29"/>
      <c r="H16" s="30">
        <v>45027</v>
      </c>
      <c r="I16" s="31">
        <v>10</v>
      </c>
      <c r="J16" s="258"/>
      <c r="K16" s="260"/>
      <c r="L16" s="13"/>
      <c r="M16" s="33">
        <f>62159+32000</f>
        <v>94159</v>
      </c>
      <c r="N16" s="34">
        <v>1594</v>
      </c>
      <c r="O16" s="35"/>
      <c r="P16" s="235">
        <f t="shared" si="0"/>
        <v>98493</v>
      </c>
      <c r="Q16" s="301">
        <f t="shared" si="1"/>
        <v>803</v>
      </c>
      <c r="R16" s="238">
        <v>0</v>
      </c>
      <c r="S16" s="37"/>
    </row>
    <row r="17" spans="1:20" ht="18" thickBot="1" x14ac:dyDescent="0.35">
      <c r="A17" s="23"/>
      <c r="B17" s="24">
        <v>45028</v>
      </c>
      <c r="C17" s="25">
        <v>0</v>
      </c>
      <c r="D17" s="46"/>
      <c r="E17" s="27">
        <v>45028</v>
      </c>
      <c r="F17" s="28">
        <v>27439</v>
      </c>
      <c r="G17" s="29"/>
      <c r="H17" s="30">
        <v>45028</v>
      </c>
      <c r="I17" s="31">
        <v>184</v>
      </c>
      <c r="J17" s="258"/>
      <c r="K17" s="260"/>
      <c r="L17" s="263"/>
      <c r="M17" s="33">
        <v>27255</v>
      </c>
      <c r="N17" s="34">
        <v>0</v>
      </c>
      <c r="O17" s="35"/>
      <c r="P17" s="235">
        <f t="shared" si="0"/>
        <v>27439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45029</v>
      </c>
      <c r="C18" s="25">
        <v>0</v>
      </c>
      <c r="D18" s="38"/>
      <c r="E18" s="27">
        <v>45029</v>
      </c>
      <c r="F18" s="28">
        <v>54142</v>
      </c>
      <c r="G18" s="29"/>
      <c r="H18" s="30">
        <v>45029</v>
      </c>
      <c r="I18" s="31">
        <v>35</v>
      </c>
      <c r="J18" s="258"/>
      <c r="K18" s="265"/>
      <c r="L18" s="259"/>
      <c r="M18" s="33">
        <f>11100+42300</f>
        <v>53400</v>
      </c>
      <c r="N18" s="34">
        <v>707</v>
      </c>
      <c r="O18" s="35"/>
      <c r="P18" s="235">
        <f t="shared" si="0"/>
        <v>54142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45030</v>
      </c>
      <c r="C19" s="25">
        <v>18033</v>
      </c>
      <c r="D19" s="38" t="s">
        <v>166</v>
      </c>
      <c r="E19" s="27">
        <v>45030</v>
      </c>
      <c r="F19" s="28">
        <v>84430</v>
      </c>
      <c r="G19" s="29"/>
      <c r="H19" s="30">
        <v>45030</v>
      </c>
      <c r="I19" s="31">
        <v>145</v>
      </c>
      <c r="J19" s="258"/>
      <c r="K19" s="266"/>
      <c r="L19" s="267"/>
      <c r="M19" s="33">
        <f>29100+34172</f>
        <v>63272</v>
      </c>
      <c r="N19" s="34">
        <v>2980</v>
      </c>
      <c r="O19" s="35"/>
      <c r="P19" s="235">
        <f t="shared" si="0"/>
        <v>84430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45031</v>
      </c>
      <c r="C20" s="25">
        <v>480</v>
      </c>
      <c r="D20" s="38" t="s">
        <v>67</v>
      </c>
      <c r="E20" s="27">
        <v>45031</v>
      </c>
      <c r="F20" s="28">
        <v>105928</v>
      </c>
      <c r="G20" s="29"/>
      <c r="H20" s="30">
        <v>45031</v>
      </c>
      <c r="I20" s="31">
        <v>142</v>
      </c>
      <c r="J20" s="258">
        <v>45031</v>
      </c>
      <c r="K20" s="262" t="s">
        <v>208</v>
      </c>
      <c r="L20" s="263">
        <v>4700</v>
      </c>
      <c r="M20" s="33">
        <f>36600+60133</f>
        <v>96733</v>
      </c>
      <c r="N20" s="34">
        <v>3873</v>
      </c>
      <c r="O20" s="35"/>
      <c r="P20" s="235">
        <f t="shared" si="0"/>
        <v>105928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45032</v>
      </c>
      <c r="C21" s="25">
        <v>0</v>
      </c>
      <c r="D21" s="38"/>
      <c r="E21" s="27">
        <v>45032</v>
      </c>
      <c r="F21" s="28">
        <v>75916</v>
      </c>
      <c r="G21" s="29"/>
      <c r="H21" s="30">
        <v>45032</v>
      </c>
      <c r="I21" s="31">
        <v>0</v>
      </c>
      <c r="J21" s="258"/>
      <c r="K21" s="268"/>
      <c r="L21" s="263"/>
      <c r="M21" s="33">
        <f>55600+16340</f>
        <v>71940</v>
      </c>
      <c r="N21" s="34">
        <v>3976</v>
      </c>
      <c r="O21" s="35"/>
      <c r="P21" s="235">
        <f t="shared" si="0"/>
        <v>75916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45033</v>
      </c>
      <c r="C22" s="25">
        <v>0</v>
      </c>
      <c r="D22" s="38"/>
      <c r="E22" s="27">
        <v>45033</v>
      </c>
      <c r="F22" s="28">
        <v>45261</v>
      </c>
      <c r="G22" s="29"/>
      <c r="H22" s="30">
        <v>45033</v>
      </c>
      <c r="I22" s="31">
        <v>109</v>
      </c>
      <c r="J22" s="258">
        <v>45033</v>
      </c>
      <c r="K22" s="302" t="s">
        <v>209</v>
      </c>
      <c r="L22" s="269">
        <v>10000</v>
      </c>
      <c r="M22" s="33">
        <f>11000+23187</f>
        <v>34187</v>
      </c>
      <c r="N22" s="34">
        <v>965</v>
      </c>
      <c r="O22" s="35"/>
      <c r="P22" s="235">
        <f t="shared" si="0"/>
        <v>45261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45034</v>
      </c>
      <c r="C23" s="25">
        <v>0</v>
      </c>
      <c r="D23" s="46"/>
      <c r="E23" s="27">
        <v>45034</v>
      </c>
      <c r="F23" s="28">
        <v>49176</v>
      </c>
      <c r="G23" s="29"/>
      <c r="H23" s="30">
        <v>45034</v>
      </c>
      <c r="I23" s="31">
        <v>42</v>
      </c>
      <c r="J23" s="270"/>
      <c r="K23" s="271"/>
      <c r="L23" s="263"/>
      <c r="M23" s="33">
        <f>8100+40533</f>
        <v>48633</v>
      </c>
      <c r="N23" s="34">
        <v>501</v>
      </c>
      <c r="O23" s="35"/>
      <c r="P23" s="235">
        <f t="shared" si="0"/>
        <v>49176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45035</v>
      </c>
      <c r="C24" s="25">
        <v>0</v>
      </c>
      <c r="D24" s="42"/>
      <c r="E24" s="27">
        <v>45035</v>
      </c>
      <c r="F24" s="28">
        <v>83504</v>
      </c>
      <c r="G24" s="29"/>
      <c r="H24" s="30">
        <v>45035</v>
      </c>
      <c r="I24" s="31">
        <v>111</v>
      </c>
      <c r="J24" s="272"/>
      <c r="K24" s="271"/>
      <c r="L24" s="273"/>
      <c r="M24" s="33">
        <f>8500+71869</f>
        <v>80369</v>
      </c>
      <c r="N24" s="34">
        <v>3024</v>
      </c>
      <c r="O24" s="35"/>
      <c r="P24" s="235">
        <f t="shared" si="0"/>
        <v>83504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45036</v>
      </c>
      <c r="C25" s="25">
        <v>2400</v>
      </c>
      <c r="D25" s="38" t="s">
        <v>67</v>
      </c>
      <c r="E25" s="27">
        <v>45036</v>
      </c>
      <c r="F25" s="28">
        <v>78726</v>
      </c>
      <c r="G25" s="29"/>
      <c r="H25" s="30">
        <v>45036</v>
      </c>
      <c r="I25" s="31">
        <v>70</v>
      </c>
      <c r="J25" s="274"/>
      <c r="K25" s="275"/>
      <c r="L25" s="276"/>
      <c r="M25" s="33">
        <f>16600+59656</f>
        <v>76256</v>
      </c>
      <c r="N25" s="34">
        <v>0</v>
      </c>
      <c r="O25" s="35"/>
      <c r="P25" s="235">
        <f t="shared" si="0"/>
        <v>78726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45037</v>
      </c>
      <c r="C26" s="25">
        <v>14471</v>
      </c>
      <c r="D26" s="38" t="s">
        <v>69</v>
      </c>
      <c r="E26" s="27">
        <v>45037</v>
      </c>
      <c r="F26" s="28">
        <v>86916</v>
      </c>
      <c r="G26" s="29"/>
      <c r="H26" s="30">
        <v>45037</v>
      </c>
      <c r="I26" s="31">
        <v>219</v>
      </c>
      <c r="J26" s="258"/>
      <c r="K26" s="271"/>
      <c r="L26" s="263"/>
      <c r="M26" s="33">
        <f>67849</f>
        <v>67849</v>
      </c>
      <c r="N26" s="34">
        <v>4377</v>
      </c>
      <c r="O26" s="35"/>
      <c r="P26" s="235">
        <f t="shared" si="0"/>
        <v>86916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45038</v>
      </c>
      <c r="C27" s="25">
        <v>0</v>
      </c>
      <c r="D27" s="42"/>
      <c r="E27" s="27">
        <v>45038</v>
      </c>
      <c r="F27" s="28">
        <v>89280</v>
      </c>
      <c r="G27" s="29"/>
      <c r="H27" s="30">
        <v>45038</v>
      </c>
      <c r="I27" s="31">
        <v>71</v>
      </c>
      <c r="J27" s="277">
        <v>45038</v>
      </c>
      <c r="K27" s="275" t="s">
        <v>210</v>
      </c>
      <c r="L27" s="276">
        <v>9000</v>
      </c>
      <c r="M27" s="33">
        <f>30700+41154</f>
        <v>71854</v>
      </c>
      <c r="N27" s="34">
        <v>8355</v>
      </c>
      <c r="O27" s="35"/>
      <c r="P27" s="235">
        <f t="shared" si="0"/>
        <v>89280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45039</v>
      </c>
      <c r="C28" s="25">
        <v>480</v>
      </c>
      <c r="D28" s="42" t="s">
        <v>100</v>
      </c>
      <c r="E28" s="27">
        <v>45039</v>
      </c>
      <c r="F28" s="28">
        <v>113440</v>
      </c>
      <c r="G28" s="29"/>
      <c r="H28" s="30">
        <v>45039</v>
      </c>
      <c r="I28" s="31">
        <v>15</v>
      </c>
      <c r="J28" s="278"/>
      <c r="K28" s="71"/>
      <c r="L28" s="276"/>
      <c r="M28" s="33">
        <f>100600+8707</f>
        <v>109307</v>
      </c>
      <c r="N28" s="34">
        <v>3638</v>
      </c>
      <c r="O28" s="35"/>
      <c r="P28" s="235">
        <f t="shared" si="0"/>
        <v>113440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45040</v>
      </c>
      <c r="C29" s="25">
        <v>2730</v>
      </c>
      <c r="D29" s="72" t="s">
        <v>67</v>
      </c>
      <c r="E29" s="27">
        <v>45040</v>
      </c>
      <c r="F29" s="28">
        <v>121430</v>
      </c>
      <c r="G29" s="29"/>
      <c r="H29" s="30">
        <v>45040</v>
      </c>
      <c r="I29" s="31">
        <v>148</v>
      </c>
      <c r="J29" s="277"/>
      <c r="K29" s="279"/>
      <c r="L29" s="276"/>
      <c r="M29" s="33">
        <f>10000+106763</f>
        <v>116763</v>
      </c>
      <c r="N29" s="34">
        <v>1789</v>
      </c>
      <c r="O29" s="35"/>
      <c r="P29" s="235">
        <f t="shared" si="0"/>
        <v>121430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45041</v>
      </c>
      <c r="C30" s="25">
        <v>0</v>
      </c>
      <c r="D30" s="72"/>
      <c r="E30" s="27">
        <v>45041</v>
      </c>
      <c r="F30" s="28">
        <v>74729</v>
      </c>
      <c r="G30" s="29"/>
      <c r="H30" s="30">
        <v>45041</v>
      </c>
      <c r="I30" s="31">
        <v>18</v>
      </c>
      <c r="J30" s="86"/>
      <c r="K30" s="280"/>
      <c r="L30" s="281"/>
      <c r="M30" s="33">
        <f>7500+66346</f>
        <v>73846</v>
      </c>
      <c r="N30" s="34">
        <v>865</v>
      </c>
      <c r="O30" s="35"/>
      <c r="P30" s="235">
        <f t="shared" si="0"/>
        <v>74729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45042</v>
      </c>
      <c r="C31" s="25">
        <v>1894</v>
      </c>
      <c r="D31" s="77" t="s">
        <v>211</v>
      </c>
      <c r="E31" s="27">
        <v>45042</v>
      </c>
      <c r="F31" s="28">
        <v>56424</v>
      </c>
      <c r="G31" s="29"/>
      <c r="H31" s="30">
        <v>45042</v>
      </c>
      <c r="I31" s="31">
        <v>101</v>
      </c>
      <c r="J31" s="86"/>
      <c r="K31" s="282"/>
      <c r="L31" s="283"/>
      <c r="M31" s="33">
        <v>54429</v>
      </c>
      <c r="N31" s="34">
        <v>0</v>
      </c>
      <c r="O31" s="35"/>
      <c r="P31" s="235">
        <f t="shared" si="0"/>
        <v>56424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45043</v>
      </c>
      <c r="C32" s="25">
        <v>0</v>
      </c>
      <c r="D32" s="82"/>
      <c r="E32" s="27">
        <v>45043</v>
      </c>
      <c r="F32" s="28">
        <v>85938</v>
      </c>
      <c r="G32" s="29"/>
      <c r="H32" s="30">
        <v>45043</v>
      </c>
      <c r="I32" s="31">
        <v>112</v>
      </c>
      <c r="J32" s="86"/>
      <c r="K32" s="280"/>
      <c r="L32" s="281"/>
      <c r="M32" s="33">
        <f>68685+13000</f>
        <v>81685</v>
      </c>
      <c r="N32" s="34">
        <v>4141</v>
      </c>
      <c r="O32" s="35"/>
      <c r="P32" s="235">
        <f t="shared" si="0"/>
        <v>85938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45044</v>
      </c>
      <c r="C33" s="25">
        <v>9194</v>
      </c>
      <c r="D33" s="80" t="s">
        <v>69</v>
      </c>
      <c r="E33" s="27">
        <v>45044</v>
      </c>
      <c r="F33" s="28">
        <v>136049</v>
      </c>
      <c r="G33" s="29"/>
      <c r="H33" s="30">
        <v>45044</v>
      </c>
      <c r="I33" s="31">
        <v>81</v>
      </c>
      <c r="J33" s="86"/>
      <c r="K33" s="282"/>
      <c r="L33" s="216"/>
      <c r="M33" s="33">
        <f>33600+91736</f>
        <v>125336</v>
      </c>
      <c r="N33" s="34">
        <v>1438</v>
      </c>
      <c r="O33" s="35"/>
      <c r="P33" s="235">
        <f t="shared" si="0"/>
        <v>136049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45045</v>
      </c>
      <c r="C34" s="25">
        <v>3549</v>
      </c>
      <c r="D34" s="82" t="s">
        <v>69</v>
      </c>
      <c r="E34" s="27">
        <v>45045</v>
      </c>
      <c r="F34" s="28">
        <v>79034</v>
      </c>
      <c r="G34" s="29"/>
      <c r="H34" s="30">
        <v>45045</v>
      </c>
      <c r="I34" s="31">
        <v>167</v>
      </c>
      <c r="J34" s="86">
        <v>45045</v>
      </c>
      <c r="K34" s="83" t="s">
        <v>212</v>
      </c>
      <c r="L34" s="284">
        <v>9352</v>
      </c>
      <c r="M34" s="33">
        <f>12700+48441</f>
        <v>61141</v>
      </c>
      <c r="N34" s="34">
        <v>4825</v>
      </c>
      <c r="O34" s="35"/>
      <c r="P34" s="235">
        <f t="shared" si="0"/>
        <v>79034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45046</v>
      </c>
      <c r="C35" s="25">
        <v>0</v>
      </c>
      <c r="D35" s="77"/>
      <c r="E35" s="27">
        <v>45046</v>
      </c>
      <c r="F35" s="28">
        <v>65712</v>
      </c>
      <c r="G35" s="29"/>
      <c r="H35" s="30">
        <v>45046</v>
      </c>
      <c r="I35" s="31">
        <v>22</v>
      </c>
      <c r="J35" s="86"/>
      <c r="K35" s="282"/>
      <c r="L35" s="216"/>
      <c r="M35" s="33">
        <f>55500+9676</f>
        <v>65176</v>
      </c>
      <c r="N35" s="34">
        <v>514</v>
      </c>
      <c r="O35" s="35"/>
      <c r="P35" s="235">
        <f t="shared" si="0"/>
        <v>65712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45047</v>
      </c>
      <c r="C36" s="25">
        <v>0</v>
      </c>
      <c r="D36" s="85"/>
      <c r="E36" s="27">
        <v>45047</v>
      </c>
      <c r="F36" s="28">
        <v>131263</v>
      </c>
      <c r="G36" s="29"/>
      <c r="H36" s="30">
        <v>45047</v>
      </c>
      <c r="I36" s="31">
        <v>75</v>
      </c>
      <c r="J36" s="86"/>
      <c r="K36" s="285"/>
      <c r="L36" s="216"/>
      <c r="M36" s="33">
        <f>20900+108362</f>
        <v>129262</v>
      </c>
      <c r="N36" s="34">
        <v>1926</v>
      </c>
      <c r="O36" s="35"/>
      <c r="P36" s="235">
        <f t="shared" si="0"/>
        <v>131263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45048</v>
      </c>
      <c r="C37" s="25">
        <v>3900</v>
      </c>
      <c r="D37" s="82" t="s">
        <v>213</v>
      </c>
      <c r="E37" s="27">
        <v>45048</v>
      </c>
      <c r="F37" s="28">
        <v>70706</v>
      </c>
      <c r="G37" s="29"/>
      <c r="H37" s="30">
        <v>45048</v>
      </c>
      <c r="I37" s="31">
        <v>24</v>
      </c>
      <c r="J37" s="86"/>
      <c r="K37" s="286"/>
      <c r="L37" s="216"/>
      <c r="M37" s="33">
        <f>35600+30790</f>
        <v>66390</v>
      </c>
      <c r="N37" s="34">
        <v>392</v>
      </c>
      <c r="O37" s="35"/>
      <c r="P37" s="235">
        <f t="shared" si="0"/>
        <v>70706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45049</v>
      </c>
      <c r="C38" s="25">
        <v>0</v>
      </c>
      <c r="D38" s="80"/>
      <c r="E38" s="27">
        <v>45049</v>
      </c>
      <c r="F38" s="28">
        <v>44693</v>
      </c>
      <c r="G38" s="29"/>
      <c r="H38" s="30">
        <v>45049</v>
      </c>
      <c r="I38" s="31">
        <v>210</v>
      </c>
      <c r="J38" s="86"/>
      <c r="K38" s="282"/>
      <c r="L38" s="216"/>
      <c r="M38" s="33">
        <v>44383</v>
      </c>
      <c r="N38" s="34">
        <v>100</v>
      </c>
      <c r="O38" s="35"/>
      <c r="P38" s="235">
        <f t="shared" si="0"/>
        <v>44693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45050</v>
      </c>
      <c r="C39" s="25">
        <v>0</v>
      </c>
      <c r="D39" s="80"/>
      <c r="E39" s="27">
        <v>45050</v>
      </c>
      <c r="F39" s="28">
        <v>52115</v>
      </c>
      <c r="G39" s="29"/>
      <c r="H39" s="30">
        <v>45050</v>
      </c>
      <c r="I39" s="31">
        <v>5</v>
      </c>
      <c r="J39" s="86"/>
      <c r="K39" s="231"/>
      <c r="L39" s="281"/>
      <c r="M39" s="33">
        <f>14000+37239</f>
        <v>51239</v>
      </c>
      <c r="N39" s="34">
        <v>871</v>
      </c>
      <c r="O39" s="35"/>
      <c r="P39" s="235">
        <f t="shared" si="0"/>
        <v>52115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31.5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45026</v>
      </c>
      <c r="K41" s="305" t="s">
        <v>227</v>
      </c>
      <c r="L41" s="281">
        <v>1225.1199999999999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45033</v>
      </c>
      <c r="K42" s="231" t="s">
        <v>108</v>
      </c>
      <c r="L42" s="281">
        <v>1392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45033</v>
      </c>
      <c r="K43" s="313" t="s">
        <v>230</v>
      </c>
      <c r="L43" s="281">
        <v>14500</v>
      </c>
      <c r="M43" s="33">
        <v>0</v>
      </c>
      <c r="N43" s="34">
        <v>0</v>
      </c>
      <c r="O43" s="35"/>
      <c r="P43" s="240">
        <f t="shared" si="0"/>
        <v>14500</v>
      </c>
      <c r="Q43" s="241">
        <f t="shared" si="2"/>
        <v>14500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>
        <v>45042</v>
      </c>
      <c r="K44" s="231" t="s">
        <v>109</v>
      </c>
      <c r="L44" s="281">
        <v>1031.47</v>
      </c>
      <c r="M44" s="92">
        <v>0</v>
      </c>
      <c r="N44" s="93"/>
      <c r="O44" s="35"/>
      <c r="P44" s="36">
        <f t="shared" si="0"/>
        <v>1031.47</v>
      </c>
      <c r="Q44" s="13">
        <f t="shared" si="2"/>
        <v>1031.47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311">
        <v>45050</v>
      </c>
      <c r="K45" s="310" t="s">
        <v>228</v>
      </c>
      <c r="L45" s="312">
        <v>2123.98</v>
      </c>
      <c r="M45" s="355">
        <f>SUM(M5:M39)</f>
        <v>2488709</v>
      </c>
      <c r="N45" s="340">
        <f>SUM(N5:N39)</f>
        <v>78710</v>
      </c>
      <c r="P45" s="98">
        <f t="shared" si="0"/>
        <v>2569542.98</v>
      </c>
      <c r="Q45" s="99">
        <f>SUM(Q5:Q39)</f>
        <v>803.5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>
        <v>45037</v>
      </c>
      <c r="K46" s="306" t="s">
        <v>229</v>
      </c>
      <c r="L46" s="281">
        <v>34015</v>
      </c>
      <c r="M46" s="356"/>
      <c r="N46" s="341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90923</v>
      </c>
      <c r="D49" s="123"/>
      <c r="E49" s="124" t="s">
        <v>10</v>
      </c>
      <c r="F49" s="125">
        <f>SUM(F5:F48)</f>
        <v>2695407</v>
      </c>
      <c r="G49" s="123"/>
      <c r="H49" s="126" t="s">
        <v>11</v>
      </c>
      <c r="I49" s="127">
        <f>SUM(I5:I48)</f>
        <v>3926.5</v>
      </c>
      <c r="J49" s="290"/>
      <c r="K49" s="291" t="s">
        <v>12</v>
      </c>
      <c r="L49" s="292">
        <f>SUM(L5:L48)</f>
        <v>120317.56999999999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2" t="s">
        <v>13</v>
      </c>
      <c r="I51" s="343"/>
      <c r="J51" s="135"/>
      <c r="K51" s="344">
        <f>I49+L49</f>
        <v>124244.06999999999</v>
      </c>
      <c r="L51" s="345"/>
      <c r="M51" s="346">
        <f>N45+M45</f>
        <v>2567419</v>
      </c>
      <c r="N51" s="347"/>
      <c r="P51" s="36"/>
      <c r="Q51" s="9"/>
    </row>
    <row r="52" spans="1:17" x14ac:dyDescent="0.25">
      <c r="D52" s="339" t="s">
        <v>14</v>
      </c>
      <c r="E52" s="339"/>
      <c r="F52" s="136">
        <f>F49-K51-C49</f>
        <v>2480239.9300000002</v>
      </c>
      <c r="I52" s="137"/>
      <c r="J52" s="138"/>
      <c r="P52" s="36"/>
      <c r="Q52" s="9"/>
    </row>
    <row r="53" spans="1:17" x14ac:dyDescent="0.25">
      <c r="D53" s="357" t="s">
        <v>15</v>
      </c>
      <c r="E53" s="357"/>
      <c r="F53" s="131">
        <v>-2463938.5299999998</v>
      </c>
      <c r="I53" s="358" t="s">
        <v>16</v>
      </c>
      <c r="J53" s="359"/>
      <c r="K53" s="372">
        <f>F55+F56+F57</f>
        <v>439109.10000000038</v>
      </c>
      <c r="L53" s="373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16301.400000000373</v>
      </c>
      <c r="H55" s="23"/>
      <c r="I55" s="146" t="s">
        <v>18</v>
      </c>
      <c r="J55" s="147"/>
      <c r="K55" s="374">
        <f>-C4</f>
        <v>-341192.34</v>
      </c>
      <c r="L55" s="375"/>
    </row>
    <row r="56" spans="1:17" ht="16.5" thickBot="1" x14ac:dyDescent="0.3">
      <c r="D56" s="148" t="s">
        <v>19</v>
      </c>
      <c r="E56" s="133" t="s">
        <v>20</v>
      </c>
      <c r="F56" s="149">
        <v>28259</v>
      </c>
    </row>
    <row r="57" spans="1:17" ht="20.25" thickTop="1" thickBot="1" x14ac:dyDescent="0.35">
      <c r="C57" s="150">
        <v>45050</v>
      </c>
      <c r="D57" s="364" t="s">
        <v>21</v>
      </c>
      <c r="E57" s="365"/>
      <c r="F57" s="151">
        <v>394548.7</v>
      </c>
      <c r="I57" s="381" t="s">
        <v>22</v>
      </c>
      <c r="J57" s="382"/>
      <c r="K57" s="383">
        <f>K53+K55</f>
        <v>97916.760000000359</v>
      </c>
      <c r="L57" s="383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45016</v>
      </c>
      <c r="B3" s="182" t="s">
        <v>172</v>
      </c>
      <c r="C3" s="149">
        <v>107193.8</v>
      </c>
      <c r="D3" s="244"/>
      <c r="E3" s="220"/>
      <c r="F3" s="180">
        <f>C3-E3</f>
        <v>107193.8</v>
      </c>
    </row>
    <row r="4" spans="1:7" ht="22.5" customHeight="1" x14ac:dyDescent="0.25">
      <c r="A4" s="181">
        <v>45017</v>
      </c>
      <c r="B4" s="182" t="s">
        <v>173</v>
      </c>
      <c r="C4" s="149">
        <v>39698.300000000003</v>
      </c>
      <c r="D4" s="244"/>
      <c r="E4" s="220"/>
      <c r="F4" s="183">
        <f>C4-E4+F3</f>
        <v>146892.1</v>
      </c>
    </row>
    <row r="5" spans="1:7" ht="21" customHeight="1" x14ac:dyDescent="0.25">
      <c r="A5" s="181">
        <v>45017</v>
      </c>
      <c r="B5" s="182" t="s">
        <v>174</v>
      </c>
      <c r="C5" s="149">
        <v>68414</v>
      </c>
      <c r="D5" s="244"/>
      <c r="E5" s="220"/>
      <c r="F5" s="183">
        <f t="shared" ref="F5:F68" si="0">C5-E5+F4</f>
        <v>215306.1</v>
      </c>
    </row>
    <row r="6" spans="1:7" ht="21" customHeight="1" x14ac:dyDescent="0.3">
      <c r="A6" s="181">
        <v>45020</v>
      </c>
      <c r="B6" s="182" t="s">
        <v>175</v>
      </c>
      <c r="C6" s="149">
        <v>13062.54</v>
      </c>
      <c r="D6" s="244"/>
      <c r="E6" s="220"/>
      <c r="F6" s="183">
        <f t="shared" si="0"/>
        <v>228368.64000000001</v>
      </c>
      <c r="G6" s="184"/>
    </row>
    <row r="7" spans="1:7" ht="21" customHeight="1" x14ac:dyDescent="0.25">
      <c r="A7" s="181">
        <v>45020</v>
      </c>
      <c r="B7" s="182" t="s">
        <v>176</v>
      </c>
      <c r="C7" s="149">
        <v>15649.2</v>
      </c>
      <c r="D7" s="244"/>
      <c r="E7" s="220"/>
      <c r="F7" s="183">
        <f t="shared" si="0"/>
        <v>244017.84000000003</v>
      </c>
    </row>
    <row r="8" spans="1:7" ht="21" customHeight="1" x14ac:dyDescent="0.25">
      <c r="A8" s="181">
        <v>45021</v>
      </c>
      <c r="B8" s="182" t="s">
        <v>177</v>
      </c>
      <c r="C8" s="149">
        <v>71900.800000000003</v>
      </c>
      <c r="D8" s="244"/>
      <c r="E8" s="220"/>
      <c r="F8" s="183">
        <f t="shared" si="0"/>
        <v>315918.64</v>
      </c>
    </row>
    <row r="9" spans="1:7" ht="21" customHeight="1" x14ac:dyDescent="0.25">
      <c r="A9" s="181">
        <v>45021</v>
      </c>
      <c r="B9" s="182" t="s">
        <v>178</v>
      </c>
      <c r="C9" s="149">
        <v>37854</v>
      </c>
      <c r="D9" s="181"/>
      <c r="E9" s="149"/>
      <c r="F9" s="183">
        <f t="shared" si="0"/>
        <v>353772.64</v>
      </c>
    </row>
    <row r="10" spans="1:7" ht="21" customHeight="1" x14ac:dyDescent="0.25">
      <c r="A10" s="181">
        <v>45022</v>
      </c>
      <c r="B10" s="182" t="s">
        <v>179</v>
      </c>
      <c r="C10" s="149">
        <v>44246.14</v>
      </c>
      <c r="D10" s="181"/>
      <c r="E10" s="149"/>
      <c r="F10" s="183">
        <f t="shared" si="0"/>
        <v>398018.78</v>
      </c>
    </row>
    <row r="11" spans="1:7" ht="21" customHeight="1" x14ac:dyDescent="0.25">
      <c r="A11" s="181">
        <v>45023</v>
      </c>
      <c r="B11" s="182" t="s">
        <v>180</v>
      </c>
      <c r="C11" s="149">
        <v>47065.64</v>
      </c>
      <c r="D11" s="181"/>
      <c r="E11" s="149"/>
      <c r="F11" s="183">
        <f t="shared" si="0"/>
        <v>445084.42000000004</v>
      </c>
    </row>
    <row r="12" spans="1:7" ht="21" customHeight="1" x14ac:dyDescent="0.3">
      <c r="A12" s="181">
        <v>45023</v>
      </c>
      <c r="B12" s="182" t="s">
        <v>181</v>
      </c>
      <c r="C12" s="149">
        <v>2623.48</v>
      </c>
      <c r="D12" s="181"/>
      <c r="E12" s="149"/>
      <c r="F12" s="183">
        <f t="shared" si="0"/>
        <v>447707.9</v>
      </c>
      <c r="G12" s="184"/>
    </row>
    <row r="13" spans="1:7" ht="21" customHeight="1" x14ac:dyDescent="0.25">
      <c r="A13" s="181">
        <v>45023</v>
      </c>
      <c r="B13" s="182" t="s">
        <v>182</v>
      </c>
      <c r="C13" s="149">
        <v>112506.88</v>
      </c>
      <c r="D13" s="181"/>
      <c r="E13" s="149"/>
      <c r="F13" s="183">
        <f t="shared" si="0"/>
        <v>560214.78</v>
      </c>
    </row>
    <row r="14" spans="1:7" ht="21" customHeight="1" x14ac:dyDescent="0.25">
      <c r="A14" s="181">
        <v>45024</v>
      </c>
      <c r="B14" s="182" t="s">
        <v>183</v>
      </c>
      <c r="C14" s="149">
        <v>1643</v>
      </c>
      <c r="D14" s="181"/>
      <c r="E14" s="149"/>
      <c r="F14" s="183">
        <f t="shared" si="0"/>
        <v>561857.78</v>
      </c>
    </row>
    <row r="15" spans="1:7" ht="21" customHeight="1" x14ac:dyDescent="0.25">
      <c r="A15" s="181">
        <v>45024</v>
      </c>
      <c r="B15" s="182" t="s">
        <v>184</v>
      </c>
      <c r="C15" s="149">
        <v>1704</v>
      </c>
      <c r="D15" s="181"/>
      <c r="E15" s="149"/>
      <c r="F15" s="183">
        <f t="shared" si="0"/>
        <v>563561.78</v>
      </c>
    </row>
    <row r="16" spans="1:7" ht="21" customHeight="1" x14ac:dyDescent="0.25">
      <c r="A16" s="181">
        <v>45026</v>
      </c>
      <c r="B16" s="182" t="s">
        <v>185</v>
      </c>
      <c r="C16" s="149">
        <v>50594.9</v>
      </c>
      <c r="D16" s="181"/>
      <c r="E16" s="149"/>
      <c r="F16" s="183">
        <f t="shared" si="0"/>
        <v>614156.68000000005</v>
      </c>
    </row>
    <row r="17" spans="1:10" ht="21" customHeight="1" x14ac:dyDescent="0.25">
      <c r="A17" s="181">
        <v>45028</v>
      </c>
      <c r="B17" s="182" t="s">
        <v>186</v>
      </c>
      <c r="C17" s="149">
        <v>107073.9</v>
      </c>
      <c r="D17" s="181"/>
      <c r="E17" s="149"/>
      <c r="F17" s="183">
        <f t="shared" si="0"/>
        <v>721230.58000000007</v>
      </c>
    </row>
    <row r="18" spans="1:10" ht="21" customHeight="1" x14ac:dyDescent="0.25">
      <c r="A18" s="181">
        <v>45030</v>
      </c>
      <c r="B18" s="182" t="s">
        <v>187</v>
      </c>
      <c r="C18" s="149">
        <v>38479.599999999999</v>
      </c>
      <c r="D18" s="181"/>
      <c r="E18" s="149"/>
      <c r="F18" s="183">
        <f t="shared" si="0"/>
        <v>759710.18</v>
      </c>
    </row>
    <row r="19" spans="1:10" ht="21" customHeight="1" x14ac:dyDescent="0.25">
      <c r="A19" s="181">
        <v>45030</v>
      </c>
      <c r="B19" s="182" t="s">
        <v>188</v>
      </c>
      <c r="C19" s="149">
        <v>6657.6</v>
      </c>
      <c r="D19" s="181"/>
      <c r="E19" s="149"/>
      <c r="F19" s="183">
        <f t="shared" si="0"/>
        <v>766367.78</v>
      </c>
    </row>
    <row r="20" spans="1:10" ht="21" customHeight="1" x14ac:dyDescent="0.25">
      <c r="A20" s="181">
        <v>45030</v>
      </c>
      <c r="B20" s="182" t="s">
        <v>189</v>
      </c>
      <c r="C20" s="149">
        <v>66744</v>
      </c>
      <c r="D20" s="181"/>
      <c r="E20" s="149"/>
      <c r="F20" s="183">
        <f t="shared" si="0"/>
        <v>833111.78</v>
      </c>
    </row>
    <row r="21" spans="1:10" ht="24.75" customHeight="1" x14ac:dyDescent="0.25">
      <c r="A21" s="181">
        <v>45030</v>
      </c>
      <c r="B21" s="182" t="s">
        <v>190</v>
      </c>
      <c r="C21" s="149">
        <v>9662.7999999999993</v>
      </c>
      <c r="D21" s="181"/>
      <c r="E21" s="149"/>
      <c r="F21" s="183">
        <f t="shared" si="0"/>
        <v>842774.58000000007</v>
      </c>
    </row>
    <row r="22" spans="1:10" ht="21" customHeight="1" x14ac:dyDescent="0.25">
      <c r="A22" s="181">
        <v>45031</v>
      </c>
      <c r="B22" s="182" t="s">
        <v>191</v>
      </c>
      <c r="C22" s="149">
        <v>133072.38</v>
      </c>
      <c r="D22" s="181"/>
      <c r="E22" s="149"/>
      <c r="F22" s="183">
        <f t="shared" si="0"/>
        <v>975846.96000000008</v>
      </c>
    </row>
    <row r="23" spans="1:10" ht="21" customHeight="1" x14ac:dyDescent="0.25">
      <c r="A23" s="181">
        <v>45031</v>
      </c>
      <c r="B23" s="182" t="s">
        <v>192</v>
      </c>
      <c r="C23" s="149">
        <v>2777.6</v>
      </c>
      <c r="D23" s="181"/>
      <c r="E23" s="149"/>
      <c r="F23" s="183">
        <f t="shared" si="0"/>
        <v>978624.56</v>
      </c>
    </row>
    <row r="24" spans="1:10" ht="21" customHeight="1" x14ac:dyDescent="0.3">
      <c r="A24" s="181">
        <v>45033</v>
      </c>
      <c r="B24" s="182" t="s">
        <v>193</v>
      </c>
      <c r="C24" s="149">
        <v>24800.62</v>
      </c>
      <c r="D24" s="181"/>
      <c r="E24" s="149"/>
      <c r="F24" s="183">
        <f t="shared" si="0"/>
        <v>1003425.18</v>
      </c>
      <c r="G24" s="184"/>
    </row>
    <row r="25" spans="1:10" ht="21" customHeight="1" x14ac:dyDescent="0.25">
      <c r="A25" s="181">
        <v>45034</v>
      </c>
      <c r="B25" s="182" t="s">
        <v>194</v>
      </c>
      <c r="C25" s="149">
        <v>98055.61</v>
      </c>
      <c r="D25" s="181"/>
      <c r="E25" s="149"/>
      <c r="F25" s="183">
        <f t="shared" si="0"/>
        <v>1101480.79</v>
      </c>
    </row>
    <row r="26" spans="1:10" ht="21" customHeight="1" x14ac:dyDescent="0.25">
      <c r="A26" s="181">
        <v>45034</v>
      </c>
      <c r="B26" s="182" t="s">
        <v>195</v>
      </c>
      <c r="C26" s="149">
        <v>36370</v>
      </c>
      <c r="D26" s="181"/>
      <c r="E26" s="149"/>
      <c r="F26" s="183">
        <f t="shared" si="0"/>
        <v>1137850.79</v>
      </c>
    </row>
    <row r="27" spans="1:10" ht="21" customHeight="1" x14ac:dyDescent="0.25">
      <c r="A27" s="181">
        <v>45036</v>
      </c>
      <c r="B27" s="182" t="s">
        <v>196</v>
      </c>
      <c r="C27" s="149">
        <v>113167.03999999999</v>
      </c>
      <c r="D27" s="181"/>
      <c r="E27" s="149"/>
      <c r="F27" s="183">
        <f t="shared" si="0"/>
        <v>1251017.83</v>
      </c>
    </row>
    <row r="28" spans="1:10" ht="21" customHeight="1" x14ac:dyDescent="0.25">
      <c r="A28" s="181">
        <v>45037</v>
      </c>
      <c r="B28" s="182" t="s">
        <v>197</v>
      </c>
      <c r="C28" s="149">
        <v>11191</v>
      </c>
      <c r="D28" s="181"/>
      <c r="E28" s="149"/>
      <c r="F28" s="183">
        <f t="shared" si="0"/>
        <v>1262208.83</v>
      </c>
    </row>
    <row r="29" spans="1:10" ht="21" customHeight="1" x14ac:dyDescent="0.25">
      <c r="A29" s="181">
        <v>45037</v>
      </c>
      <c r="B29" s="182" t="s">
        <v>198</v>
      </c>
      <c r="C29" s="149">
        <v>185805.2</v>
      </c>
      <c r="D29" s="181"/>
      <c r="E29" s="149"/>
      <c r="F29" s="183">
        <f t="shared" si="0"/>
        <v>1448014.03</v>
      </c>
      <c r="J29" s="149">
        <v>0</v>
      </c>
    </row>
    <row r="30" spans="1:10" ht="21" customHeight="1" x14ac:dyDescent="0.25">
      <c r="A30" s="181">
        <v>45038</v>
      </c>
      <c r="B30" s="182" t="s">
        <v>199</v>
      </c>
      <c r="C30" s="149">
        <v>67717.600000000006</v>
      </c>
      <c r="D30" s="181"/>
      <c r="E30" s="149"/>
      <c r="F30" s="183">
        <f t="shared" si="0"/>
        <v>1515731.6300000001</v>
      </c>
      <c r="J30" s="149">
        <v>0</v>
      </c>
    </row>
    <row r="31" spans="1:10" ht="21" customHeight="1" x14ac:dyDescent="0.25">
      <c r="A31" s="181">
        <v>45040</v>
      </c>
      <c r="B31" s="182" t="s">
        <v>200</v>
      </c>
      <c r="C31" s="149">
        <v>108308.48</v>
      </c>
      <c r="D31" s="181"/>
      <c r="E31" s="149"/>
      <c r="F31" s="183">
        <f t="shared" si="0"/>
        <v>1624040.11</v>
      </c>
      <c r="J31" s="149">
        <v>0</v>
      </c>
    </row>
    <row r="32" spans="1:10" ht="21" customHeight="1" x14ac:dyDescent="0.3">
      <c r="A32" s="181">
        <v>45040</v>
      </c>
      <c r="B32" s="182" t="s">
        <v>201</v>
      </c>
      <c r="C32" s="149">
        <v>11858.9</v>
      </c>
      <c r="D32" s="181"/>
      <c r="E32" s="149"/>
      <c r="F32" s="183">
        <f t="shared" si="0"/>
        <v>1635899.01</v>
      </c>
      <c r="G32" s="184"/>
      <c r="J32" s="149">
        <v>0</v>
      </c>
    </row>
    <row r="33" spans="1:10" ht="21" customHeight="1" x14ac:dyDescent="0.25">
      <c r="A33" s="181">
        <v>45042</v>
      </c>
      <c r="B33" s="182" t="s">
        <v>202</v>
      </c>
      <c r="C33" s="149">
        <v>97899.56</v>
      </c>
      <c r="D33" s="181"/>
      <c r="E33" s="149"/>
      <c r="F33" s="183">
        <f t="shared" si="0"/>
        <v>1733798.57</v>
      </c>
      <c r="J33" s="149">
        <v>0</v>
      </c>
    </row>
    <row r="34" spans="1:10" ht="21" customHeight="1" x14ac:dyDescent="0.25">
      <c r="A34" s="181">
        <v>45043</v>
      </c>
      <c r="B34" s="182" t="s">
        <v>203</v>
      </c>
      <c r="C34" s="149">
        <v>105373.56</v>
      </c>
      <c r="D34" s="181"/>
      <c r="E34" s="149"/>
      <c r="F34" s="183">
        <f t="shared" si="0"/>
        <v>1839172.1300000001</v>
      </c>
      <c r="J34" s="149">
        <v>0</v>
      </c>
    </row>
    <row r="35" spans="1:10" ht="23.25" customHeight="1" x14ac:dyDescent="0.25">
      <c r="A35" s="181">
        <v>45044</v>
      </c>
      <c r="B35" s="182" t="s">
        <v>215</v>
      </c>
      <c r="C35" s="149">
        <v>4532.6000000000004</v>
      </c>
      <c r="D35" s="181"/>
      <c r="E35" s="149"/>
      <c r="F35" s="183">
        <f t="shared" si="0"/>
        <v>1843704.7300000002</v>
      </c>
      <c r="J35" s="149">
        <v>0</v>
      </c>
    </row>
    <row r="36" spans="1:10" ht="23.25" customHeight="1" x14ac:dyDescent="0.25">
      <c r="A36" s="181">
        <v>45044</v>
      </c>
      <c r="B36" s="182" t="s">
        <v>216</v>
      </c>
      <c r="C36" s="149">
        <v>73444.52</v>
      </c>
      <c r="D36" s="181"/>
      <c r="E36" s="149"/>
      <c r="F36" s="183">
        <f t="shared" si="0"/>
        <v>1917149.2500000002</v>
      </c>
      <c r="J36" s="133">
        <v>0</v>
      </c>
    </row>
    <row r="37" spans="1:10" ht="23.25" customHeight="1" x14ac:dyDescent="0.25">
      <c r="A37" s="181">
        <v>45044</v>
      </c>
      <c r="B37" s="182" t="s">
        <v>217</v>
      </c>
      <c r="C37" s="149">
        <v>71980.740000000005</v>
      </c>
      <c r="D37" s="181"/>
      <c r="E37" s="149"/>
      <c r="F37" s="183">
        <f t="shared" si="0"/>
        <v>1989129.9900000002</v>
      </c>
      <c r="J37" s="187">
        <f>SUM(J29:J36)</f>
        <v>0</v>
      </c>
    </row>
    <row r="38" spans="1:10" ht="23.25" customHeight="1" x14ac:dyDescent="0.25">
      <c r="A38" s="181">
        <v>45045</v>
      </c>
      <c r="B38" s="182" t="s">
        <v>218</v>
      </c>
      <c r="C38" s="149">
        <v>44290.2</v>
      </c>
      <c r="D38" s="181"/>
      <c r="E38" s="149"/>
      <c r="F38" s="183">
        <f t="shared" si="0"/>
        <v>2033420.1900000002</v>
      </c>
    </row>
    <row r="39" spans="1:10" ht="23.25" customHeight="1" x14ac:dyDescent="0.25">
      <c r="A39" s="181">
        <v>45045</v>
      </c>
      <c r="B39" s="182" t="s">
        <v>219</v>
      </c>
      <c r="C39" s="149">
        <v>126876.82</v>
      </c>
      <c r="D39" s="181"/>
      <c r="E39" s="149"/>
      <c r="F39" s="183">
        <f t="shared" si="0"/>
        <v>2160297.0100000002</v>
      </c>
    </row>
    <row r="40" spans="1:10" ht="23.25" customHeight="1" x14ac:dyDescent="0.25">
      <c r="A40" s="181">
        <v>45045</v>
      </c>
      <c r="B40" s="182" t="s">
        <v>220</v>
      </c>
      <c r="C40" s="149">
        <v>3454.2</v>
      </c>
      <c r="D40" s="181"/>
      <c r="E40" s="100"/>
      <c r="F40" s="183">
        <f t="shared" si="0"/>
        <v>2163751.2100000004</v>
      </c>
    </row>
    <row r="41" spans="1:10" ht="23.25" customHeight="1" x14ac:dyDescent="0.25">
      <c r="A41" s="181">
        <v>45047</v>
      </c>
      <c r="B41" s="182" t="s">
        <v>221</v>
      </c>
      <c r="C41" s="149">
        <v>21412.3</v>
      </c>
      <c r="D41" s="181"/>
      <c r="E41" s="100"/>
      <c r="F41" s="183">
        <f t="shared" si="0"/>
        <v>2185163.5100000002</v>
      </c>
    </row>
    <row r="42" spans="1:10" ht="23.25" customHeight="1" x14ac:dyDescent="0.25">
      <c r="A42" s="185">
        <v>45048</v>
      </c>
      <c r="B42" s="186" t="s">
        <v>222</v>
      </c>
      <c r="C42" s="149">
        <v>6509.5</v>
      </c>
      <c r="D42" s="185"/>
      <c r="E42" s="100"/>
      <c r="F42" s="183">
        <f t="shared" si="0"/>
        <v>2191673.0100000002</v>
      </c>
    </row>
    <row r="43" spans="1:10" ht="23.25" customHeight="1" x14ac:dyDescent="0.25">
      <c r="A43" s="245">
        <v>45048</v>
      </c>
      <c r="B43" s="247" t="s">
        <v>223</v>
      </c>
      <c r="C43" s="149">
        <v>9543.92</v>
      </c>
      <c r="D43" s="192"/>
      <c r="E43" s="100"/>
      <c r="F43" s="183">
        <f t="shared" si="0"/>
        <v>2201216.9300000002</v>
      </c>
    </row>
    <row r="44" spans="1:10" ht="23.25" customHeight="1" x14ac:dyDescent="0.25">
      <c r="A44" s="246">
        <v>45049</v>
      </c>
      <c r="B44" s="248" t="s">
        <v>224</v>
      </c>
      <c r="C44" s="149">
        <v>91322.1</v>
      </c>
      <c r="D44" s="192"/>
      <c r="E44" s="100"/>
      <c r="F44" s="183">
        <f t="shared" si="0"/>
        <v>2292539.0300000003</v>
      </c>
    </row>
    <row r="45" spans="1:10" ht="23.25" customHeight="1" x14ac:dyDescent="0.25">
      <c r="A45" s="246">
        <v>45049</v>
      </c>
      <c r="B45" s="248" t="s">
        <v>225</v>
      </c>
      <c r="C45" s="149">
        <v>35946.300000000003</v>
      </c>
      <c r="D45" s="192"/>
      <c r="E45" s="100"/>
      <c r="F45" s="183">
        <f t="shared" si="0"/>
        <v>2328485.33</v>
      </c>
    </row>
    <row r="46" spans="1:10" ht="23.25" customHeight="1" x14ac:dyDescent="0.25">
      <c r="A46" s="246">
        <v>45050</v>
      </c>
      <c r="B46" s="248" t="s">
        <v>226</v>
      </c>
      <c r="C46" s="149">
        <v>135453.20000000001</v>
      </c>
      <c r="D46" s="192"/>
      <c r="E46" s="100"/>
      <c r="F46" s="183">
        <f t="shared" si="0"/>
        <v>2463938.5300000003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2463938.5300000003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2463938.5300000003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2463938.5300000003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2463938.5300000003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2463938.5300000003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2463938.5300000003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2463938.5300000003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2463938.5300000003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2463938.5300000003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2463938.5300000003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2463938.5300000003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2463938.5300000003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2463938.5300000003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2463938.5300000003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2463938.5300000003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2463938.5300000003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2463938.5300000003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2463938.5300000003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2463938.5300000003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2463938.5300000003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2463938.5300000003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2463938.5300000003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2463938.5300000003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2463938.5300000003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2463938.5300000003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2463938.5300000003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2463938.5300000003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2463938.5300000003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2463938.5300000003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2463938.5300000003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2463938.5300000003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2463938.5300000003</v>
      </c>
    </row>
    <row r="79" spans="1:6" ht="19.5" thickBot="1" x14ac:dyDescent="0.35">
      <c r="A79" s="201"/>
      <c r="B79" s="202"/>
      <c r="C79" s="203">
        <f>SUM(C3:C78)</f>
        <v>2463938.5300000003</v>
      </c>
      <c r="D79" s="175"/>
      <c r="E79" s="204">
        <f>SUM(E3:E78)</f>
        <v>0</v>
      </c>
      <c r="F79" s="205">
        <f>F78</f>
        <v>2463938.5300000003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opLeftCell="D28" workbookViewId="0">
      <selection activeCell="H46" sqref="H46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48"/>
      <c r="C1" s="350" t="s">
        <v>231</v>
      </c>
      <c r="D1" s="351"/>
      <c r="E1" s="351"/>
      <c r="F1" s="351"/>
      <c r="G1" s="351"/>
      <c r="H1" s="351"/>
      <c r="I1" s="351"/>
      <c r="J1" s="351"/>
      <c r="K1" s="351"/>
      <c r="L1" s="351"/>
      <c r="M1" s="351"/>
    </row>
    <row r="2" spans="1:21" ht="16.5" thickBot="1" x14ac:dyDescent="0.3">
      <c r="B2" s="349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52" t="s">
        <v>0</v>
      </c>
      <c r="C3" s="353"/>
      <c r="D3" s="10"/>
      <c r="E3" s="11"/>
      <c r="F3" s="11"/>
      <c r="H3" s="354" t="s">
        <v>1</v>
      </c>
      <c r="I3" s="354"/>
      <c r="K3" s="13"/>
      <c r="L3" s="13"/>
      <c r="M3" s="6"/>
      <c r="R3" s="384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307">
        <v>45050</v>
      </c>
      <c r="E4" s="333" t="s">
        <v>4</v>
      </c>
      <c r="F4" s="334"/>
      <c r="H4" s="335" t="s">
        <v>5</v>
      </c>
      <c r="I4" s="336"/>
      <c r="J4" s="255"/>
      <c r="K4" s="256"/>
      <c r="L4" s="16"/>
      <c r="M4" s="21" t="s">
        <v>6</v>
      </c>
      <c r="N4" s="22" t="s">
        <v>7</v>
      </c>
      <c r="P4" s="370" t="s">
        <v>8</v>
      </c>
      <c r="Q4" s="371"/>
      <c r="R4" s="385"/>
    </row>
    <row r="5" spans="1:21" ht="18" thickBot="1" x14ac:dyDescent="0.35">
      <c r="A5" s="23" t="s">
        <v>9</v>
      </c>
      <c r="B5" s="24">
        <v>45051</v>
      </c>
      <c r="C5" s="25">
        <v>480</v>
      </c>
      <c r="D5" s="26" t="s">
        <v>100</v>
      </c>
      <c r="E5" s="27">
        <v>45051</v>
      </c>
      <c r="F5" s="28">
        <v>193610</v>
      </c>
      <c r="G5" s="29"/>
      <c r="H5" s="30">
        <v>45051</v>
      </c>
      <c r="I5" s="31">
        <v>39</v>
      </c>
      <c r="J5" s="251"/>
      <c r="K5" s="257"/>
      <c r="L5" s="13"/>
      <c r="M5" s="33">
        <f>117500+83242</f>
        <v>200742</v>
      </c>
      <c r="N5" s="34">
        <v>5814</v>
      </c>
      <c r="O5" s="35"/>
      <c r="P5" s="235">
        <f>N5+M5+L5+I5+C5</f>
        <v>207075</v>
      </c>
      <c r="Q5" s="236">
        <v>0</v>
      </c>
      <c r="R5" s="237">
        <v>13465</v>
      </c>
      <c r="S5" s="37" t="s">
        <v>274</v>
      </c>
    </row>
    <row r="6" spans="1:21" ht="18" thickBot="1" x14ac:dyDescent="0.35">
      <c r="A6" s="23"/>
      <c r="B6" s="24">
        <v>45052</v>
      </c>
      <c r="C6" s="25">
        <v>0</v>
      </c>
      <c r="D6" s="38"/>
      <c r="E6" s="27">
        <v>45052</v>
      </c>
      <c r="F6" s="28">
        <v>93499</v>
      </c>
      <c r="G6" s="29"/>
      <c r="H6" s="30">
        <v>45052</v>
      </c>
      <c r="I6" s="31">
        <v>375</v>
      </c>
      <c r="J6" s="258">
        <v>45052</v>
      </c>
      <c r="K6" s="71" t="s">
        <v>266</v>
      </c>
      <c r="L6" s="259">
        <v>10902</v>
      </c>
      <c r="M6" s="33">
        <v>80492</v>
      </c>
      <c r="N6" s="34">
        <v>1741</v>
      </c>
      <c r="O6" s="35"/>
      <c r="P6" s="235">
        <f>N6+M6+L6+I6+C6</f>
        <v>93510</v>
      </c>
      <c r="Q6" s="243">
        <f t="shared" ref="Q6:Q41" si="0">P6-F6</f>
        <v>11</v>
      </c>
      <c r="R6" s="238">
        <v>0</v>
      </c>
      <c r="S6" s="37" t="s">
        <v>274</v>
      </c>
      <c r="T6" s="9"/>
    </row>
    <row r="7" spans="1:21" ht="18" thickBot="1" x14ac:dyDescent="0.35">
      <c r="A7" s="23"/>
      <c r="B7" s="24">
        <v>45053</v>
      </c>
      <c r="C7" s="25">
        <v>14714</v>
      </c>
      <c r="D7" s="42" t="s">
        <v>267</v>
      </c>
      <c r="E7" s="27">
        <v>45053</v>
      </c>
      <c r="F7" s="28">
        <v>62394</v>
      </c>
      <c r="G7" s="29"/>
      <c r="H7" s="30">
        <v>45053</v>
      </c>
      <c r="I7" s="31">
        <v>5</v>
      </c>
      <c r="J7" s="258"/>
      <c r="K7" s="102"/>
      <c r="L7" s="259"/>
      <c r="M7" s="33">
        <f>30250+29046</f>
        <v>59296</v>
      </c>
      <c r="N7" s="34">
        <v>339</v>
      </c>
      <c r="O7" s="35"/>
      <c r="P7" s="235">
        <f>N7+M7+L7+I7+C7</f>
        <v>74354</v>
      </c>
      <c r="Q7" s="243">
        <v>10</v>
      </c>
      <c r="R7" s="237">
        <v>11950</v>
      </c>
      <c r="S7" s="37" t="s">
        <v>274</v>
      </c>
    </row>
    <row r="8" spans="1:21" ht="18" thickBot="1" x14ac:dyDescent="0.35">
      <c r="A8" s="23"/>
      <c r="B8" s="24">
        <v>45054</v>
      </c>
      <c r="C8" s="25">
        <v>0</v>
      </c>
      <c r="D8" s="42"/>
      <c r="E8" s="27">
        <v>45054</v>
      </c>
      <c r="F8" s="28">
        <v>196857</v>
      </c>
      <c r="G8" s="29"/>
      <c r="H8" s="30">
        <v>45054</v>
      </c>
      <c r="I8" s="31">
        <v>153</v>
      </c>
      <c r="J8" s="258"/>
      <c r="K8" s="260"/>
      <c r="L8" s="259"/>
      <c r="M8" s="33">
        <f>52700+146098</f>
        <v>198798</v>
      </c>
      <c r="N8" s="34">
        <v>773</v>
      </c>
      <c r="O8" s="35"/>
      <c r="P8" s="235">
        <f t="shared" ref="P8:P45" si="1">N8+M8+L8+I8+C8</f>
        <v>199724</v>
      </c>
      <c r="Q8" s="243">
        <v>23</v>
      </c>
      <c r="R8" s="237">
        <v>2844</v>
      </c>
      <c r="S8" s="37" t="s">
        <v>274</v>
      </c>
    </row>
    <row r="9" spans="1:21" ht="18" thickBot="1" x14ac:dyDescent="0.35">
      <c r="A9" s="23"/>
      <c r="B9" s="24">
        <v>45055</v>
      </c>
      <c r="C9" s="25">
        <v>3480</v>
      </c>
      <c r="D9" s="46" t="s">
        <v>100</v>
      </c>
      <c r="E9" s="27">
        <v>45055</v>
      </c>
      <c r="F9" s="28">
        <v>44290</v>
      </c>
      <c r="G9" s="29"/>
      <c r="H9" s="30">
        <v>45055</v>
      </c>
      <c r="I9" s="31">
        <v>168</v>
      </c>
      <c r="J9" s="258"/>
      <c r="K9" s="261"/>
      <c r="L9" s="259"/>
      <c r="M9" s="33">
        <v>39891</v>
      </c>
      <c r="N9" s="34">
        <v>774</v>
      </c>
      <c r="O9" s="35"/>
      <c r="P9" s="235">
        <f t="shared" si="1"/>
        <v>44313</v>
      </c>
      <c r="Q9" s="243">
        <f t="shared" si="0"/>
        <v>23</v>
      </c>
      <c r="R9" s="238">
        <v>0</v>
      </c>
      <c r="S9" s="37" t="s">
        <v>274</v>
      </c>
    </row>
    <row r="10" spans="1:21" ht="18" thickBot="1" x14ac:dyDescent="0.35">
      <c r="A10" s="23"/>
      <c r="B10" s="24">
        <v>45056</v>
      </c>
      <c r="C10" s="25">
        <v>0</v>
      </c>
      <c r="D10" s="38"/>
      <c r="E10" s="27">
        <v>45056</v>
      </c>
      <c r="F10" s="28">
        <v>125195</v>
      </c>
      <c r="G10" s="29"/>
      <c r="H10" s="30">
        <v>45056</v>
      </c>
      <c r="I10" s="31">
        <v>50</v>
      </c>
      <c r="J10" s="258"/>
      <c r="K10" s="262"/>
      <c r="L10" s="263"/>
      <c r="M10" s="33">
        <f>25300+97775</f>
        <v>123075</v>
      </c>
      <c r="N10" s="34">
        <v>2134</v>
      </c>
      <c r="O10" s="35"/>
      <c r="P10" s="235">
        <f>N10+M10+L10+I10+C10</f>
        <v>125259</v>
      </c>
      <c r="Q10" s="243">
        <f t="shared" si="0"/>
        <v>64</v>
      </c>
      <c r="R10" s="238">
        <v>0</v>
      </c>
      <c r="S10" s="37" t="s">
        <v>274</v>
      </c>
      <c r="U10" t="s">
        <v>9</v>
      </c>
    </row>
    <row r="11" spans="1:21" ht="18" thickBot="1" x14ac:dyDescent="0.35">
      <c r="A11" s="23"/>
      <c r="B11" s="24">
        <v>45057</v>
      </c>
      <c r="C11" s="25">
        <v>0</v>
      </c>
      <c r="D11" s="38"/>
      <c r="E11" s="27">
        <v>45057</v>
      </c>
      <c r="F11" s="28">
        <v>102966</v>
      </c>
      <c r="G11" s="29"/>
      <c r="H11" s="30">
        <v>45057</v>
      </c>
      <c r="I11" s="31">
        <v>37</v>
      </c>
      <c r="J11" s="258"/>
      <c r="K11" s="261"/>
      <c r="L11" s="259"/>
      <c r="M11" s="33">
        <f>59900+43029</f>
        <v>102929</v>
      </c>
      <c r="N11" s="34">
        <v>0</v>
      </c>
      <c r="O11" s="35"/>
      <c r="P11" s="235">
        <f>N11+M11+L11+I11+C11</f>
        <v>102966</v>
      </c>
      <c r="Q11" s="236">
        <f t="shared" si="0"/>
        <v>0</v>
      </c>
      <c r="R11" s="238">
        <v>0</v>
      </c>
      <c r="S11" s="37" t="s">
        <v>274</v>
      </c>
    </row>
    <row r="12" spans="1:21" ht="18" thickBot="1" x14ac:dyDescent="0.35">
      <c r="A12" s="23"/>
      <c r="B12" s="24">
        <v>45058</v>
      </c>
      <c r="C12" s="25">
        <v>13187</v>
      </c>
      <c r="D12" s="38" t="s">
        <v>267</v>
      </c>
      <c r="E12" s="27">
        <v>45058</v>
      </c>
      <c r="F12" s="28">
        <v>121939</v>
      </c>
      <c r="G12" s="29"/>
      <c r="H12" s="30">
        <v>45058</v>
      </c>
      <c r="I12" s="31">
        <v>81</v>
      </c>
      <c r="J12" s="258"/>
      <c r="K12" s="264"/>
      <c r="L12" s="259"/>
      <c r="M12" s="33">
        <f>22200+85632</f>
        <v>107832</v>
      </c>
      <c r="N12" s="34">
        <v>865</v>
      </c>
      <c r="O12" s="35"/>
      <c r="P12" s="235">
        <f t="shared" si="1"/>
        <v>121965</v>
      </c>
      <c r="Q12" s="243">
        <f t="shared" si="0"/>
        <v>26</v>
      </c>
      <c r="R12" s="238">
        <v>0</v>
      </c>
      <c r="S12" s="37" t="s">
        <v>274</v>
      </c>
    </row>
    <row r="13" spans="1:21" ht="18" thickBot="1" x14ac:dyDescent="0.35">
      <c r="A13" s="23"/>
      <c r="B13" s="24">
        <v>45059</v>
      </c>
      <c r="C13" s="25">
        <v>0</v>
      </c>
      <c r="D13" s="42"/>
      <c r="E13" s="27">
        <v>45059</v>
      </c>
      <c r="F13" s="28">
        <v>96083</v>
      </c>
      <c r="G13" s="29"/>
      <c r="H13" s="30">
        <v>45059</v>
      </c>
      <c r="I13" s="31">
        <v>106</v>
      </c>
      <c r="J13" s="258">
        <v>45059</v>
      </c>
      <c r="K13" s="71" t="s">
        <v>268</v>
      </c>
      <c r="L13" s="259">
        <v>9388</v>
      </c>
      <c r="M13" s="33">
        <f>46100+38937</f>
        <v>85037</v>
      </c>
      <c r="N13" s="34">
        <v>1600</v>
      </c>
      <c r="O13" s="35"/>
      <c r="P13" s="235">
        <f t="shared" si="1"/>
        <v>96131</v>
      </c>
      <c r="Q13" s="243">
        <f t="shared" si="0"/>
        <v>48</v>
      </c>
      <c r="R13" s="238">
        <v>0</v>
      </c>
      <c r="S13" s="37" t="s">
        <v>274</v>
      </c>
    </row>
    <row r="14" spans="1:21" ht="18" thickBot="1" x14ac:dyDescent="0.35">
      <c r="A14" s="23"/>
      <c r="B14" s="24">
        <v>45060</v>
      </c>
      <c r="C14" s="25">
        <v>4350</v>
      </c>
      <c r="D14" s="46" t="s">
        <v>269</v>
      </c>
      <c r="E14" s="27">
        <v>45060</v>
      </c>
      <c r="F14" s="28">
        <v>97009</v>
      </c>
      <c r="G14" s="29"/>
      <c r="H14" s="30">
        <v>45060</v>
      </c>
      <c r="I14" s="31">
        <v>0</v>
      </c>
      <c r="J14" s="258"/>
      <c r="K14" s="260"/>
      <c r="L14" s="259"/>
      <c r="M14" s="33">
        <f>44850+47350</f>
        <v>92200</v>
      </c>
      <c r="N14" s="34">
        <v>474</v>
      </c>
      <c r="O14" s="35"/>
      <c r="P14" s="235">
        <f t="shared" si="1"/>
        <v>97024</v>
      </c>
      <c r="Q14" s="243">
        <f t="shared" si="0"/>
        <v>15</v>
      </c>
      <c r="R14" s="238">
        <v>0</v>
      </c>
      <c r="S14" s="37" t="s">
        <v>274</v>
      </c>
    </row>
    <row r="15" spans="1:21" ht="18" thickBot="1" x14ac:dyDescent="0.35">
      <c r="A15" s="23"/>
      <c r="B15" s="24">
        <v>45061</v>
      </c>
      <c r="C15" s="25">
        <v>1673</v>
      </c>
      <c r="D15" s="46" t="s">
        <v>74</v>
      </c>
      <c r="E15" s="27">
        <v>45061</v>
      </c>
      <c r="F15" s="28">
        <v>185145</v>
      </c>
      <c r="G15" s="29"/>
      <c r="H15" s="30">
        <v>45061</v>
      </c>
      <c r="I15" s="31">
        <v>72</v>
      </c>
      <c r="J15" s="258"/>
      <c r="K15" s="260"/>
      <c r="L15" s="259"/>
      <c r="M15" s="33">
        <f>69000+114109</f>
        <v>183109</v>
      </c>
      <c r="N15" s="34">
        <v>291</v>
      </c>
      <c r="O15" s="314" t="s">
        <v>270</v>
      </c>
      <c r="P15" s="235">
        <f t="shared" si="1"/>
        <v>185145</v>
      </c>
      <c r="Q15" s="236">
        <f t="shared" si="0"/>
        <v>0</v>
      </c>
      <c r="R15" s="238">
        <v>0</v>
      </c>
      <c r="S15" s="37" t="s">
        <v>273</v>
      </c>
    </row>
    <row r="16" spans="1:21" ht="18" thickBot="1" x14ac:dyDescent="0.35">
      <c r="A16" s="23"/>
      <c r="B16" s="24">
        <v>45062</v>
      </c>
      <c r="C16" s="25">
        <v>0</v>
      </c>
      <c r="D16" s="52"/>
      <c r="E16" s="27">
        <v>45062</v>
      </c>
      <c r="F16" s="28">
        <v>94866</v>
      </c>
      <c r="G16" s="29"/>
      <c r="H16" s="30">
        <v>45062</v>
      </c>
      <c r="I16" s="31">
        <v>600</v>
      </c>
      <c r="J16" s="258"/>
      <c r="K16" s="260"/>
      <c r="L16" s="13"/>
      <c r="M16" s="33">
        <f>42050+50702</f>
        <v>92752</v>
      </c>
      <c r="N16" s="34">
        <v>1560</v>
      </c>
      <c r="O16" s="35"/>
      <c r="P16" s="235">
        <f t="shared" si="1"/>
        <v>94912</v>
      </c>
      <c r="Q16" s="243">
        <f t="shared" si="0"/>
        <v>46</v>
      </c>
      <c r="R16" s="238">
        <v>0</v>
      </c>
      <c r="S16" s="37" t="s">
        <v>274</v>
      </c>
    </row>
    <row r="17" spans="1:20" ht="18" thickBot="1" x14ac:dyDescent="0.35">
      <c r="A17" s="23"/>
      <c r="B17" s="24">
        <v>45063</v>
      </c>
      <c r="C17" s="25">
        <v>0</v>
      </c>
      <c r="D17" s="46"/>
      <c r="E17" s="27">
        <v>45063</v>
      </c>
      <c r="F17" s="28">
        <v>50639</v>
      </c>
      <c r="G17" s="29"/>
      <c r="H17" s="30">
        <v>45063</v>
      </c>
      <c r="I17" s="31">
        <v>490</v>
      </c>
      <c r="J17" s="258"/>
      <c r="K17" s="260"/>
      <c r="L17" s="263"/>
      <c r="M17" s="33">
        <v>49762</v>
      </c>
      <c r="N17" s="34">
        <v>399</v>
      </c>
      <c r="O17" s="35"/>
      <c r="P17" s="235">
        <f t="shared" si="1"/>
        <v>50651</v>
      </c>
      <c r="Q17" s="243">
        <f t="shared" si="0"/>
        <v>12</v>
      </c>
      <c r="R17" s="238">
        <v>0</v>
      </c>
      <c r="S17" s="37" t="s">
        <v>274</v>
      </c>
    </row>
    <row r="18" spans="1:20" ht="18" thickBot="1" x14ac:dyDescent="0.35">
      <c r="A18" s="23"/>
      <c r="B18" s="24">
        <v>45064</v>
      </c>
      <c r="C18" s="25">
        <v>0</v>
      </c>
      <c r="D18" s="38"/>
      <c r="E18" s="27">
        <v>45064</v>
      </c>
      <c r="F18" s="28">
        <v>126228</v>
      </c>
      <c r="G18" s="29"/>
      <c r="H18" s="30">
        <v>45064</v>
      </c>
      <c r="I18" s="31">
        <v>111</v>
      </c>
      <c r="J18" s="258"/>
      <c r="K18" s="265"/>
      <c r="L18" s="259"/>
      <c r="M18" s="33">
        <f>30600+94047</f>
        <v>124647</v>
      </c>
      <c r="N18" s="34">
        <v>1515</v>
      </c>
      <c r="O18" s="35"/>
      <c r="P18" s="235">
        <f t="shared" si="1"/>
        <v>126273</v>
      </c>
      <c r="Q18" s="243">
        <f t="shared" si="0"/>
        <v>45</v>
      </c>
      <c r="R18" s="238">
        <v>0</v>
      </c>
      <c r="S18" s="37" t="s">
        <v>274</v>
      </c>
    </row>
    <row r="19" spans="1:20" ht="18" thickBot="1" x14ac:dyDescent="0.35">
      <c r="A19" s="23"/>
      <c r="B19" s="24">
        <v>45065</v>
      </c>
      <c r="C19" s="25">
        <v>3470</v>
      </c>
      <c r="D19" s="38" t="s">
        <v>267</v>
      </c>
      <c r="E19" s="27">
        <v>45065</v>
      </c>
      <c r="F19" s="28">
        <v>104774</v>
      </c>
      <c r="G19" s="29"/>
      <c r="H19" s="30">
        <v>45065</v>
      </c>
      <c r="I19" s="31">
        <v>84</v>
      </c>
      <c r="J19" s="258"/>
      <c r="K19" s="266"/>
      <c r="L19" s="267"/>
      <c r="M19" s="33">
        <f>19700+80997</f>
        <v>100697</v>
      </c>
      <c r="N19" s="34">
        <v>540</v>
      </c>
      <c r="O19" s="35"/>
      <c r="P19" s="235">
        <f t="shared" si="1"/>
        <v>104791</v>
      </c>
      <c r="Q19" s="243">
        <f t="shared" si="0"/>
        <v>17</v>
      </c>
      <c r="R19" s="238">
        <v>0</v>
      </c>
      <c r="S19" s="37" t="s">
        <v>274</v>
      </c>
    </row>
    <row r="20" spans="1:20" ht="18" thickBot="1" x14ac:dyDescent="0.35">
      <c r="A20" s="23"/>
      <c r="B20" s="24">
        <v>45066</v>
      </c>
      <c r="C20" s="25">
        <v>3000</v>
      </c>
      <c r="D20" s="38" t="s">
        <v>271</v>
      </c>
      <c r="E20" s="27">
        <v>45066</v>
      </c>
      <c r="F20" s="28">
        <v>107537</v>
      </c>
      <c r="G20" s="29"/>
      <c r="H20" s="30">
        <v>45066</v>
      </c>
      <c r="I20" s="31">
        <v>110</v>
      </c>
      <c r="J20" s="258">
        <v>45066</v>
      </c>
      <c r="K20" s="262" t="s">
        <v>272</v>
      </c>
      <c r="L20" s="263">
        <v>8985</v>
      </c>
      <c r="M20" s="33">
        <f>35300+58782</f>
        <v>94082</v>
      </c>
      <c r="N20" s="34">
        <v>1402</v>
      </c>
      <c r="O20" s="35"/>
      <c r="P20" s="235">
        <f t="shared" si="1"/>
        <v>107579</v>
      </c>
      <c r="Q20" s="243">
        <f t="shared" si="0"/>
        <v>42</v>
      </c>
      <c r="R20" s="238">
        <v>0</v>
      </c>
      <c r="S20" s="37" t="s">
        <v>274</v>
      </c>
    </row>
    <row r="21" spans="1:20" ht="18" thickBot="1" x14ac:dyDescent="0.35">
      <c r="A21" s="23"/>
      <c r="B21" s="24">
        <v>45067</v>
      </c>
      <c r="C21" s="25">
        <v>0</v>
      </c>
      <c r="D21" s="38"/>
      <c r="E21" s="27">
        <v>45067</v>
      </c>
      <c r="F21" s="28">
        <v>61555</v>
      </c>
      <c r="G21" s="29"/>
      <c r="H21" s="30">
        <v>45067</v>
      </c>
      <c r="I21" s="31">
        <v>9</v>
      </c>
      <c r="J21" s="258"/>
      <c r="K21" s="268"/>
      <c r="L21" s="263"/>
      <c r="M21" s="33">
        <f>34800+26082</f>
        <v>60882</v>
      </c>
      <c r="N21" s="34">
        <v>685</v>
      </c>
      <c r="O21" s="35"/>
      <c r="P21" s="235">
        <f t="shared" si="1"/>
        <v>61576</v>
      </c>
      <c r="Q21" s="243">
        <f t="shared" si="0"/>
        <v>21</v>
      </c>
      <c r="R21" s="238">
        <v>0</v>
      </c>
      <c r="S21" s="37" t="s">
        <v>274</v>
      </c>
    </row>
    <row r="22" spans="1:20" ht="18" thickBot="1" x14ac:dyDescent="0.35">
      <c r="A22" s="23"/>
      <c r="B22" s="24">
        <v>45068</v>
      </c>
      <c r="C22" s="25">
        <v>1860</v>
      </c>
      <c r="D22" s="38" t="s">
        <v>100</v>
      </c>
      <c r="E22" s="27">
        <v>45068</v>
      </c>
      <c r="F22" s="28">
        <v>134761</v>
      </c>
      <c r="G22" s="29"/>
      <c r="H22" s="30">
        <v>45068</v>
      </c>
      <c r="I22" s="31">
        <v>83</v>
      </c>
      <c r="J22" s="258"/>
      <c r="K22" s="302"/>
      <c r="L22" s="269"/>
      <c r="M22" s="33">
        <f>84000+48602</f>
        <v>132602</v>
      </c>
      <c r="N22" s="34">
        <v>216</v>
      </c>
      <c r="O22" s="315" t="s">
        <v>270</v>
      </c>
      <c r="P22" s="235">
        <f t="shared" si="1"/>
        <v>134761</v>
      </c>
      <c r="Q22" s="236">
        <f t="shared" si="0"/>
        <v>0</v>
      </c>
      <c r="R22" s="238">
        <v>0</v>
      </c>
      <c r="S22" s="37" t="s">
        <v>273</v>
      </c>
    </row>
    <row r="23" spans="1:20" ht="18" thickBot="1" x14ac:dyDescent="0.35">
      <c r="A23" s="23"/>
      <c r="B23" s="24">
        <v>45069</v>
      </c>
      <c r="C23" s="25">
        <v>0</v>
      </c>
      <c r="D23" s="46"/>
      <c r="E23" s="27">
        <v>45069</v>
      </c>
      <c r="F23" s="28">
        <v>56050</v>
      </c>
      <c r="G23" s="29"/>
      <c r="H23" s="30">
        <v>45069</v>
      </c>
      <c r="I23" s="31">
        <v>0</v>
      </c>
      <c r="J23" s="270"/>
      <c r="K23" s="271"/>
      <c r="L23" s="263"/>
      <c r="M23" s="33">
        <f>13500+41469</f>
        <v>54969</v>
      </c>
      <c r="N23" s="34">
        <v>1053</v>
      </c>
      <c r="O23" s="35"/>
      <c r="P23" s="235">
        <f t="shared" si="1"/>
        <v>56022</v>
      </c>
      <c r="Q23" s="243">
        <f t="shared" si="0"/>
        <v>-28</v>
      </c>
      <c r="R23" s="238">
        <v>0</v>
      </c>
      <c r="S23" s="37"/>
    </row>
    <row r="24" spans="1:20" ht="18" thickBot="1" x14ac:dyDescent="0.35">
      <c r="A24" s="23"/>
      <c r="B24" s="24">
        <v>45070</v>
      </c>
      <c r="C24" s="25">
        <v>0</v>
      </c>
      <c r="D24" s="42"/>
      <c r="E24" s="27">
        <v>45070</v>
      </c>
      <c r="F24" s="28">
        <v>84481</v>
      </c>
      <c r="G24" s="29"/>
      <c r="H24" s="30">
        <v>45070</v>
      </c>
      <c r="I24" s="31">
        <v>719</v>
      </c>
      <c r="J24" s="272"/>
      <c r="K24" s="271"/>
      <c r="L24" s="273"/>
      <c r="M24" s="33">
        <f>62262+20500</f>
        <v>82762</v>
      </c>
      <c r="N24" s="34">
        <v>1030</v>
      </c>
      <c r="O24" s="35"/>
      <c r="P24" s="235">
        <f t="shared" si="1"/>
        <v>84511</v>
      </c>
      <c r="Q24" s="243">
        <f t="shared" si="0"/>
        <v>30</v>
      </c>
      <c r="R24" s="238">
        <v>0</v>
      </c>
      <c r="S24" s="37"/>
    </row>
    <row r="25" spans="1:20" ht="18" thickBot="1" x14ac:dyDescent="0.35">
      <c r="A25" s="23"/>
      <c r="B25" s="24">
        <v>45071</v>
      </c>
      <c r="C25" s="25">
        <v>0</v>
      </c>
      <c r="D25" s="38"/>
      <c r="E25" s="27">
        <v>45071</v>
      </c>
      <c r="F25" s="28">
        <v>72267</v>
      </c>
      <c r="G25" s="29"/>
      <c r="H25" s="30">
        <v>45071</v>
      </c>
      <c r="I25" s="31">
        <v>108</v>
      </c>
      <c r="J25" s="274">
        <v>45071</v>
      </c>
      <c r="K25" s="275" t="s">
        <v>275</v>
      </c>
      <c r="L25" s="276">
        <v>12969</v>
      </c>
      <c r="M25" s="33">
        <v>59190</v>
      </c>
      <c r="N25" s="34">
        <v>0</v>
      </c>
      <c r="O25" s="35"/>
      <c r="P25" s="235">
        <f t="shared" si="1"/>
        <v>72267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45072</v>
      </c>
      <c r="C26" s="25">
        <v>18035</v>
      </c>
      <c r="D26" s="38" t="s">
        <v>267</v>
      </c>
      <c r="E26" s="27">
        <v>45072</v>
      </c>
      <c r="F26" s="28">
        <v>119280</v>
      </c>
      <c r="G26" s="29"/>
      <c r="H26" s="30">
        <v>45072</v>
      </c>
      <c r="I26" s="31">
        <v>81</v>
      </c>
      <c r="J26" s="258"/>
      <c r="K26" s="271"/>
      <c r="L26" s="263"/>
      <c r="M26" s="33">
        <f>14000+85052</f>
        <v>99052</v>
      </c>
      <c r="N26" s="34">
        <v>2177</v>
      </c>
      <c r="O26" s="35"/>
      <c r="P26" s="235">
        <f t="shared" si="1"/>
        <v>119345</v>
      </c>
      <c r="Q26" s="243">
        <f t="shared" si="0"/>
        <v>65</v>
      </c>
      <c r="R26" s="238">
        <v>0</v>
      </c>
      <c r="S26" s="37"/>
    </row>
    <row r="27" spans="1:20" ht="18" thickBot="1" x14ac:dyDescent="0.35">
      <c r="A27" s="23"/>
      <c r="B27" s="24">
        <v>45073</v>
      </c>
      <c r="C27" s="25">
        <v>0</v>
      </c>
      <c r="D27" s="42"/>
      <c r="E27" s="27">
        <v>45073</v>
      </c>
      <c r="F27" s="28">
        <v>79733</v>
      </c>
      <c r="G27" s="29"/>
      <c r="H27" s="30">
        <v>45073</v>
      </c>
      <c r="I27" s="31">
        <v>61</v>
      </c>
      <c r="J27" s="277">
        <v>45073</v>
      </c>
      <c r="K27" s="275" t="s">
        <v>276</v>
      </c>
      <c r="L27" s="276">
        <v>8700</v>
      </c>
      <c r="M27" s="33">
        <f>28500+37513+3653</f>
        <v>69666</v>
      </c>
      <c r="N27" s="34">
        <v>1347</v>
      </c>
      <c r="O27" s="35"/>
      <c r="P27" s="235">
        <f t="shared" si="1"/>
        <v>79774</v>
      </c>
      <c r="Q27" s="243">
        <f t="shared" si="0"/>
        <v>41</v>
      </c>
      <c r="R27" s="238">
        <v>0</v>
      </c>
      <c r="S27" s="37"/>
    </row>
    <row r="28" spans="1:20" ht="18" thickBot="1" x14ac:dyDescent="0.35">
      <c r="A28" s="23"/>
      <c r="B28" s="24">
        <v>45074</v>
      </c>
      <c r="C28" s="25">
        <v>0</v>
      </c>
      <c r="D28" s="42"/>
      <c r="E28" s="27">
        <v>45074</v>
      </c>
      <c r="F28" s="28">
        <v>84387</v>
      </c>
      <c r="G28" s="29"/>
      <c r="H28" s="30">
        <v>45074</v>
      </c>
      <c r="I28" s="31">
        <v>5</v>
      </c>
      <c r="J28" s="278"/>
      <c r="K28" s="71"/>
      <c r="L28" s="276"/>
      <c r="M28" s="33">
        <f>27059+57000</f>
        <v>84059</v>
      </c>
      <c r="N28" s="34">
        <v>334</v>
      </c>
      <c r="O28" s="35"/>
      <c r="P28" s="235">
        <f t="shared" si="1"/>
        <v>84398</v>
      </c>
      <c r="Q28" s="243">
        <f t="shared" si="0"/>
        <v>11</v>
      </c>
      <c r="R28" s="238">
        <v>0</v>
      </c>
      <c r="S28" s="37"/>
    </row>
    <row r="29" spans="1:20" ht="18" thickBot="1" x14ac:dyDescent="0.35">
      <c r="A29" s="23"/>
      <c r="B29" s="24">
        <v>45075</v>
      </c>
      <c r="C29" s="25">
        <v>0</v>
      </c>
      <c r="D29" s="72"/>
      <c r="E29" s="27">
        <v>45075</v>
      </c>
      <c r="F29" s="28">
        <v>110922</v>
      </c>
      <c r="G29" s="29"/>
      <c r="H29" s="30">
        <v>45075</v>
      </c>
      <c r="I29" s="31">
        <v>149</v>
      </c>
      <c r="J29" s="277"/>
      <c r="K29" s="279"/>
      <c r="L29" s="276"/>
      <c r="M29" s="33">
        <f>5000+105773</f>
        <v>110773</v>
      </c>
      <c r="N29" s="34">
        <v>0</v>
      </c>
      <c r="O29" s="35"/>
      <c r="P29" s="235">
        <f t="shared" si="1"/>
        <v>110922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45076</v>
      </c>
      <c r="C30" s="25">
        <v>0</v>
      </c>
      <c r="D30" s="72"/>
      <c r="E30" s="27">
        <v>45076</v>
      </c>
      <c r="F30" s="28">
        <v>65429</v>
      </c>
      <c r="G30" s="29"/>
      <c r="H30" s="30">
        <v>45076</v>
      </c>
      <c r="I30" s="31">
        <v>67</v>
      </c>
      <c r="J30" s="86"/>
      <c r="K30" s="280"/>
      <c r="L30" s="281"/>
      <c r="M30" s="33">
        <v>65362</v>
      </c>
      <c r="N30" s="34">
        <v>0</v>
      </c>
      <c r="O30" s="35"/>
      <c r="P30" s="235">
        <f t="shared" si="1"/>
        <v>65429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45077</v>
      </c>
      <c r="C31" s="25">
        <v>0</v>
      </c>
      <c r="D31" s="77"/>
      <c r="E31" s="27">
        <v>45077</v>
      </c>
      <c r="F31" s="28">
        <v>65294</v>
      </c>
      <c r="G31" s="29"/>
      <c r="H31" s="30">
        <v>45077</v>
      </c>
      <c r="I31" s="31">
        <v>483</v>
      </c>
      <c r="J31" s="86"/>
      <c r="K31" s="282"/>
      <c r="L31" s="283"/>
      <c r="M31" s="33">
        <f>38307+26000</f>
        <v>64307</v>
      </c>
      <c r="N31" s="34">
        <v>520</v>
      </c>
      <c r="O31" s="35"/>
      <c r="P31" s="235">
        <f t="shared" si="1"/>
        <v>65310</v>
      </c>
      <c r="Q31" s="243">
        <f t="shared" si="0"/>
        <v>16</v>
      </c>
      <c r="R31" s="238">
        <v>0</v>
      </c>
      <c r="S31" s="37"/>
    </row>
    <row r="32" spans="1:20" ht="18" thickBot="1" x14ac:dyDescent="0.35">
      <c r="A32" s="23"/>
      <c r="B32" s="24">
        <v>45078</v>
      </c>
      <c r="C32" s="25">
        <v>3900</v>
      </c>
      <c r="D32" s="82" t="s">
        <v>67</v>
      </c>
      <c r="E32" s="27">
        <v>45078</v>
      </c>
      <c r="F32" s="28">
        <v>99425</v>
      </c>
      <c r="G32" s="29"/>
      <c r="H32" s="30">
        <v>45078</v>
      </c>
      <c r="I32" s="31">
        <v>42</v>
      </c>
      <c r="J32" s="86"/>
      <c r="K32" s="280"/>
      <c r="L32" s="281"/>
      <c r="M32" s="33">
        <v>95356</v>
      </c>
      <c r="N32" s="34">
        <v>131</v>
      </c>
      <c r="O32" s="35"/>
      <c r="P32" s="235">
        <f t="shared" si="1"/>
        <v>99429</v>
      </c>
      <c r="Q32" s="243">
        <f t="shared" si="0"/>
        <v>4</v>
      </c>
      <c r="R32" s="238">
        <v>0</v>
      </c>
      <c r="S32" s="37"/>
    </row>
    <row r="33" spans="1:19" ht="18" thickBot="1" x14ac:dyDescent="0.35">
      <c r="A33" s="23"/>
      <c r="B33" s="24">
        <v>45079</v>
      </c>
      <c r="C33" s="25">
        <v>480</v>
      </c>
      <c r="D33" s="80" t="s">
        <v>100</v>
      </c>
      <c r="E33" s="27">
        <v>45079</v>
      </c>
      <c r="F33" s="28">
        <v>134912</v>
      </c>
      <c r="G33" s="29"/>
      <c r="H33" s="30">
        <v>45079</v>
      </c>
      <c r="I33" s="31">
        <v>48</v>
      </c>
      <c r="J33" s="86"/>
      <c r="K33" s="282"/>
      <c r="L33" s="216"/>
      <c r="M33" s="33">
        <f>62500+71481</f>
        <v>133981</v>
      </c>
      <c r="N33" s="34">
        <v>415</v>
      </c>
      <c r="O33" s="35"/>
      <c r="P33" s="235">
        <f t="shared" si="1"/>
        <v>134924</v>
      </c>
      <c r="Q33" s="243">
        <f t="shared" si="0"/>
        <v>12</v>
      </c>
      <c r="R33" s="238">
        <v>0</v>
      </c>
      <c r="S33" s="37"/>
    </row>
    <row r="34" spans="1:19" ht="18" thickBot="1" x14ac:dyDescent="0.35">
      <c r="A34" s="23"/>
      <c r="B34" s="24">
        <v>45080</v>
      </c>
      <c r="C34" s="25">
        <v>15694</v>
      </c>
      <c r="D34" s="82" t="s">
        <v>267</v>
      </c>
      <c r="E34" s="27">
        <v>45080</v>
      </c>
      <c r="F34" s="28">
        <v>88405</v>
      </c>
      <c r="G34" s="29"/>
      <c r="H34" s="30">
        <v>45080</v>
      </c>
      <c r="I34" s="31">
        <v>130</v>
      </c>
      <c r="J34" s="86">
        <v>45080</v>
      </c>
      <c r="K34" s="83" t="s">
        <v>293</v>
      </c>
      <c r="L34" s="284">
        <v>8700</v>
      </c>
      <c r="M34" s="33">
        <f>19300+43307</f>
        <v>62607</v>
      </c>
      <c r="N34" s="34">
        <v>1314</v>
      </c>
      <c r="O34" s="35"/>
      <c r="P34" s="235">
        <f t="shared" si="1"/>
        <v>88445</v>
      </c>
      <c r="Q34" s="243">
        <f t="shared" si="0"/>
        <v>40</v>
      </c>
      <c r="R34" s="238">
        <v>0</v>
      </c>
      <c r="S34" s="37"/>
    </row>
    <row r="35" spans="1:19" ht="18" thickBot="1" x14ac:dyDescent="0.35">
      <c r="A35" s="23"/>
      <c r="B35" s="24">
        <v>45081</v>
      </c>
      <c r="C35" s="25">
        <v>1800</v>
      </c>
      <c r="D35" s="77" t="s">
        <v>294</v>
      </c>
      <c r="E35" s="27">
        <v>45081</v>
      </c>
      <c r="F35" s="28">
        <v>98801</v>
      </c>
      <c r="G35" s="29"/>
      <c r="H35" s="30">
        <v>45081</v>
      </c>
      <c r="I35" s="31">
        <v>21</v>
      </c>
      <c r="J35" s="86"/>
      <c r="K35" s="282"/>
      <c r="L35" s="216"/>
      <c r="M35" s="33">
        <f>43500+53180</f>
        <v>96680</v>
      </c>
      <c r="N35" s="34">
        <v>309</v>
      </c>
      <c r="O35" s="35"/>
      <c r="P35" s="235">
        <f t="shared" si="1"/>
        <v>98810</v>
      </c>
      <c r="Q35" s="243">
        <f t="shared" si="0"/>
        <v>9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45051</v>
      </c>
      <c r="K37" s="318" t="s">
        <v>295</v>
      </c>
      <c r="L37" s="216">
        <v>377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45054</v>
      </c>
      <c r="K38" s="282" t="s">
        <v>296</v>
      </c>
      <c r="L38" s="216">
        <v>1225.1199999999999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45054</v>
      </c>
      <c r="K39" s="319" t="s">
        <v>298</v>
      </c>
      <c r="L39" s="281">
        <v>14500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45061</v>
      </c>
      <c r="K40" s="231" t="s">
        <v>108</v>
      </c>
      <c r="L40" s="281">
        <v>1392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45063</v>
      </c>
      <c r="K41" s="305" t="s">
        <v>111</v>
      </c>
      <c r="L41" s="281">
        <v>1098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45077</v>
      </c>
      <c r="K42" s="231" t="s">
        <v>109</v>
      </c>
      <c r="L42" s="281">
        <v>1031.47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45081</v>
      </c>
      <c r="K43" s="89" t="s">
        <v>297</v>
      </c>
      <c r="L43" s="281">
        <v>745.84</v>
      </c>
      <c r="M43" s="33">
        <v>0</v>
      </c>
      <c r="N43" s="34">
        <v>0</v>
      </c>
      <c r="O43" s="35"/>
      <c r="P43" s="240">
        <v>0</v>
      </c>
      <c r="Q43" s="241">
        <f t="shared" si="2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1"/>
        <v>0</v>
      </c>
      <c r="Q44" s="13">
        <f t="shared" si="2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55">
        <f>SUM(M5:M39)</f>
        <v>3007589</v>
      </c>
      <c r="N45" s="340">
        <f>SUM(N5:N39)</f>
        <v>29752</v>
      </c>
      <c r="P45" s="98">
        <f t="shared" si="1"/>
        <v>3037341</v>
      </c>
      <c r="Q45" s="99">
        <f>SUM(Q5:Q39)</f>
        <v>603</v>
      </c>
      <c r="R45" s="99">
        <f>SUM(R5:R39)</f>
        <v>28259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56"/>
      <c r="N46" s="341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86123</v>
      </c>
      <c r="D49" s="123"/>
      <c r="E49" s="124" t="s">
        <v>10</v>
      </c>
      <c r="F49" s="125">
        <f>SUM(F5:F48)</f>
        <v>3158733</v>
      </c>
      <c r="G49" s="123"/>
      <c r="H49" s="126" t="s">
        <v>11</v>
      </c>
      <c r="I49" s="127">
        <f>SUM(I5:I48)</f>
        <v>4487</v>
      </c>
      <c r="J49" s="290"/>
      <c r="K49" s="291" t="s">
        <v>12</v>
      </c>
      <c r="L49" s="292">
        <f>SUM(L5:L48)</f>
        <v>80013.429999999993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42" t="s">
        <v>13</v>
      </c>
      <c r="I51" s="343"/>
      <c r="J51" s="135"/>
      <c r="K51" s="344">
        <f>I49+L49</f>
        <v>84500.43</v>
      </c>
      <c r="L51" s="345"/>
      <c r="M51" s="346">
        <f>N45+M45</f>
        <v>3037341</v>
      </c>
      <c r="N51" s="347"/>
      <c r="P51" s="36"/>
      <c r="Q51" s="9"/>
    </row>
    <row r="52" spans="1:17" x14ac:dyDescent="0.25">
      <c r="D52" s="339" t="s">
        <v>14</v>
      </c>
      <c r="E52" s="339"/>
      <c r="F52" s="136">
        <f>F49-K51-C49</f>
        <v>2988109.57</v>
      </c>
      <c r="I52" s="137"/>
      <c r="J52" s="138"/>
      <c r="P52" s="36"/>
      <c r="Q52" s="9"/>
    </row>
    <row r="53" spans="1:17" x14ac:dyDescent="0.25">
      <c r="D53" s="357" t="s">
        <v>15</v>
      </c>
      <c r="E53" s="357"/>
      <c r="F53" s="131">
        <v>-2955802.29</v>
      </c>
      <c r="I53" s="358" t="s">
        <v>16</v>
      </c>
      <c r="J53" s="359"/>
      <c r="K53" s="372">
        <f>F55+F56+F57</f>
        <v>419364.9699999998</v>
      </c>
      <c r="L53" s="373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32307.279999999795</v>
      </c>
      <c r="H55" s="23"/>
      <c r="I55" s="146" t="s">
        <v>18</v>
      </c>
      <c r="J55" s="147"/>
      <c r="K55" s="374">
        <f>-C4</f>
        <v>-394548.7</v>
      </c>
      <c r="L55" s="375"/>
    </row>
    <row r="56" spans="1:17" ht="16.5" thickBot="1" x14ac:dyDescent="0.3">
      <c r="D56" s="148" t="s">
        <v>19</v>
      </c>
      <c r="E56" s="133" t="s">
        <v>20</v>
      </c>
      <c r="F56" s="149">
        <v>41424</v>
      </c>
    </row>
    <row r="57" spans="1:17" ht="20.25" thickTop="1" thickBot="1" x14ac:dyDescent="0.35">
      <c r="C57" s="150">
        <v>45081</v>
      </c>
      <c r="D57" s="364" t="s">
        <v>21</v>
      </c>
      <c r="E57" s="365"/>
      <c r="F57" s="316">
        <v>345633.69</v>
      </c>
      <c r="I57" s="381" t="s">
        <v>22</v>
      </c>
      <c r="J57" s="382"/>
      <c r="K57" s="383">
        <f>K53+K55</f>
        <v>24816.269999999786</v>
      </c>
      <c r="L57" s="383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   J U N I O     2 0 2 3     </vt:lpstr>
      <vt:lpstr> COMPRAS    JUNIO   2 0 2 3    </vt:lpstr>
      <vt:lpstr>   J U L I O     2 0 2 3       </vt:lpstr>
      <vt:lpstr>   COMPRAS   JULIO    2 0 2 3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2023-09-06T15:27:53Z</cp:lastPrinted>
  <dcterms:created xsi:type="dcterms:W3CDTF">2023-02-07T18:40:23Z</dcterms:created>
  <dcterms:modified xsi:type="dcterms:W3CDTF">2023-09-06T21:55:23Z</dcterms:modified>
</cp:coreProperties>
</file>