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5  MAYO  2022\"/>
    </mc:Choice>
  </mc:AlternateContent>
  <bookViews>
    <workbookView xWindow="3690" yWindow="0" windowWidth="16605" windowHeight="10920" firstSheet="15" activeTab="16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FEBRERO       2 0 2 2      " sheetId="12" r:id="rId9"/>
    <sheet name="COMPRAS   FEBRERO    2 0  2 2  " sheetId="13" r:id="rId10"/>
    <sheet name="    M A R Z O     2 0 2 2      " sheetId="14" r:id="rId11"/>
    <sheet name="COMPRAS     MARZO     2022    " sheetId="15" r:id="rId12"/>
    <sheet name="     A B R I L     2 0 2 2     " sheetId="16" r:id="rId13"/>
    <sheet name="   COMPRAS    ABRIL    2 02 2 2" sheetId="9" r:id="rId14"/>
    <sheet name="DEPOSITOS A NLP" sheetId="17" r:id="rId15"/>
    <sheet name="    MAYO     2022    " sheetId="18" r:id="rId16"/>
    <sheet name="COMPRAS     MAYO   2022   " sheetId="21" r:id="rId17"/>
    <sheet name="Hoja5" sheetId="22" r:id="rId18"/>
    <sheet name="Hoja1" sheetId="19" r:id="rId19"/>
    <sheet name="Hoja3" sheetId="20" r:id="rId2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0" i="9" l="1"/>
  <c r="D22" i="22" l="1"/>
  <c r="G21" i="22"/>
  <c r="G20" i="22"/>
  <c r="G19" i="22"/>
  <c r="G18" i="22"/>
  <c r="G17" i="22"/>
  <c r="F22" i="22" s="1"/>
  <c r="M21" i="18" l="1"/>
  <c r="M36" i="16" l="1"/>
  <c r="Q22" i="18" l="1"/>
  <c r="Q23" i="18"/>
  <c r="Q24" i="18"/>
  <c r="Q25" i="18"/>
  <c r="Q26" i="18"/>
  <c r="Q27" i="18"/>
  <c r="Q28" i="18"/>
  <c r="Q29" i="18"/>
  <c r="Q30" i="18"/>
  <c r="Q31" i="18"/>
  <c r="Q32" i="18"/>
  <c r="Q33" i="18"/>
  <c r="Q34" i="18"/>
  <c r="Q35" i="18"/>
  <c r="Q5" i="18"/>
  <c r="M5" i="18"/>
  <c r="M41" i="18" s="1"/>
  <c r="N89" i="21"/>
  <c r="M89" i="21"/>
  <c r="K89" i="21"/>
  <c r="E89" i="21"/>
  <c r="C89" i="21"/>
  <c r="F87" i="21"/>
  <c r="F86" i="21"/>
  <c r="F85" i="21"/>
  <c r="F84" i="21"/>
  <c r="F83" i="21"/>
  <c r="F82" i="21"/>
  <c r="F81" i="21"/>
  <c r="F80" i="21"/>
  <c r="F79" i="21"/>
  <c r="F78" i="21"/>
  <c r="F77" i="21"/>
  <c r="F76" i="21"/>
  <c r="F75" i="21"/>
  <c r="F74" i="21"/>
  <c r="F73" i="21"/>
  <c r="F72" i="21"/>
  <c r="F71" i="21"/>
  <c r="F70" i="21"/>
  <c r="F69" i="21"/>
  <c r="F68" i="21"/>
  <c r="F67" i="21"/>
  <c r="F66" i="21"/>
  <c r="F65" i="21"/>
  <c r="F64" i="21"/>
  <c r="F63" i="21"/>
  <c r="N62" i="21"/>
  <c r="N63" i="21" s="1"/>
  <c r="N64" i="21" s="1"/>
  <c r="N65" i="21" s="1"/>
  <c r="N66" i="21" s="1"/>
  <c r="N67" i="21" s="1"/>
  <c r="N68" i="21" s="1"/>
  <c r="N69" i="21" s="1"/>
  <c r="N70" i="21" s="1"/>
  <c r="N71" i="21" s="1"/>
  <c r="N72" i="21" s="1"/>
  <c r="N73" i="21" s="1"/>
  <c r="N74" i="21" s="1"/>
  <c r="N75" i="21" s="1"/>
  <c r="N76" i="21" s="1"/>
  <c r="N77" i="21" s="1"/>
  <c r="N78" i="21" s="1"/>
  <c r="N79" i="21" s="1"/>
  <c r="N80" i="21" s="1"/>
  <c r="N81" i="21" s="1"/>
  <c r="N82" i="21" s="1"/>
  <c r="N83" i="21" s="1"/>
  <c r="N84" i="21" s="1"/>
  <c r="N85" i="21" s="1"/>
  <c r="N86" i="21" s="1"/>
  <c r="N87" i="21" s="1"/>
  <c r="F62" i="21"/>
  <c r="N61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N3" i="21"/>
  <c r="N4" i="21" s="1"/>
  <c r="N5" i="21" s="1"/>
  <c r="N6" i="21" s="1"/>
  <c r="N7" i="21" s="1"/>
  <c r="N8" i="21" s="1"/>
  <c r="N9" i="21" s="1"/>
  <c r="N10" i="21" s="1"/>
  <c r="N11" i="21" s="1"/>
  <c r="N12" i="21" s="1"/>
  <c r="N13" i="21" s="1"/>
  <c r="N14" i="21" s="1"/>
  <c r="N15" i="21" s="1"/>
  <c r="N16" i="21" s="1"/>
  <c r="N17" i="21" s="1"/>
  <c r="N18" i="21" s="1"/>
  <c r="N19" i="21" s="1"/>
  <c r="N20" i="21" s="1"/>
  <c r="N21" i="21" s="1"/>
  <c r="N22" i="21" s="1"/>
  <c r="N23" i="21" s="1"/>
  <c r="N24" i="21" s="1"/>
  <c r="N25" i="21" s="1"/>
  <c r="N26" i="21" s="1"/>
  <c r="N27" i="21" s="1"/>
  <c r="N28" i="21" s="1"/>
  <c r="N29" i="21" s="1"/>
  <c r="N30" i="21" s="1"/>
  <c r="N31" i="21" s="1"/>
  <c r="N32" i="21" s="1"/>
  <c r="N33" i="21" s="1"/>
  <c r="N34" i="21" s="1"/>
  <c r="N35" i="21" s="1"/>
  <c r="N36" i="21" s="1"/>
  <c r="N37" i="21" s="1"/>
  <c r="N38" i="21" s="1"/>
  <c r="N39" i="21" s="1"/>
  <c r="N40" i="21" s="1"/>
  <c r="N41" i="21" s="1"/>
  <c r="N42" i="21" s="1"/>
  <c r="N43" i="21" s="1"/>
  <c r="F3" i="21"/>
  <c r="K56" i="18"/>
  <c r="I50" i="18"/>
  <c r="F50" i="18"/>
  <c r="C50" i="18"/>
  <c r="N41" i="18"/>
  <c r="Q40" i="18"/>
  <c r="P40" i="18"/>
  <c r="P39" i="18"/>
  <c r="Q39" i="18" s="1"/>
  <c r="P38" i="18"/>
  <c r="Q38" i="18" s="1"/>
  <c r="P37" i="18"/>
  <c r="Q37" i="18" s="1"/>
  <c r="P36" i="18"/>
  <c r="Q36" i="18" s="1"/>
  <c r="P35" i="18"/>
  <c r="P34" i="18"/>
  <c r="P33" i="18"/>
  <c r="P32" i="18"/>
  <c r="P31" i="18"/>
  <c r="P30" i="18"/>
  <c r="P29" i="18"/>
  <c r="P28" i="18"/>
  <c r="P27" i="18"/>
  <c r="P25" i="18"/>
  <c r="P24" i="18"/>
  <c r="P23" i="18"/>
  <c r="P22" i="18"/>
  <c r="P21" i="18"/>
  <c r="Q21" i="18" s="1"/>
  <c r="P20" i="18"/>
  <c r="Q20" i="18" s="1"/>
  <c r="P19" i="18"/>
  <c r="P18" i="18"/>
  <c r="Q18" i="18" s="1"/>
  <c r="P17" i="18"/>
  <c r="Q17" i="18" s="1"/>
  <c r="P16" i="18"/>
  <c r="Q16" i="18" s="1"/>
  <c r="P15" i="18"/>
  <c r="Q15" i="18" s="1"/>
  <c r="P14" i="18"/>
  <c r="P13" i="18"/>
  <c r="Q13" i="18" s="1"/>
  <c r="P12" i="18"/>
  <c r="Q12" i="18" s="1"/>
  <c r="P11" i="18"/>
  <c r="Q11" i="18" s="1"/>
  <c r="P10" i="18"/>
  <c r="Q10" i="18" s="1"/>
  <c r="P9" i="18"/>
  <c r="Q9" i="18" s="1"/>
  <c r="P8" i="18"/>
  <c r="Q8" i="18" s="1"/>
  <c r="P7" i="18"/>
  <c r="P6" i="18"/>
  <c r="Q6" i="18" s="1"/>
  <c r="F89" i="21" l="1"/>
  <c r="P5" i="18"/>
  <c r="M45" i="18"/>
  <c r="Q41" i="18"/>
  <c r="P26" i="18"/>
  <c r="P41" i="18" s="1"/>
  <c r="L50" i="18"/>
  <c r="K52" i="18" s="1"/>
  <c r="F53" i="18" s="1"/>
  <c r="F56" i="18" s="1"/>
  <c r="K54" i="18" s="1"/>
  <c r="K58" i="18" s="1"/>
  <c r="M30" i="16"/>
  <c r="M26" i="16"/>
  <c r="G11" i="17"/>
  <c r="D15" i="17" l="1"/>
  <c r="D11" i="17" l="1"/>
  <c r="E15" i="15" l="1"/>
  <c r="F48" i="13" l="1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46" i="13"/>
  <c r="F52" i="9" l="1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E89" i="9"/>
  <c r="C89" i="9"/>
  <c r="F44" i="9"/>
  <c r="F45" i="9"/>
  <c r="F46" i="9"/>
  <c r="F47" i="9"/>
  <c r="F48" i="9"/>
  <c r="F49" i="9"/>
  <c r="F50" i="9"/>
  <c r="F51" i="9"/>
  <c r="P38" i="16" l="1"/>
  <c r="M34" i="16" l="1"/>
  <c r="P33" i="16" l="1"/>
  <c r="P34" i="16"/>
  <c r="P35" i="16"/>
  <c r="P36" i="16"/>
  <c r="P37" i="16"/>
  <c r="P39" i="16"/>
  <c r="P40" i="16"/>
  <c r="M33" i="16"/>
  <c r="Q36" i="16" l="1"/>
  <c r="Q37" i="16"/>
  <c r="Q38" i="16"/>
  <c r="Q39" i="16"/>
  <c r="Q40" i="16"/>
  <c r="N41" i="16"/>
  <c r="M41" i="16"/>
  <c r="M45" i="16" l="1"/>
  <c r="L44" i="16" l="1"/>
  <c r="L31" i="16"/>
  <c r="Q6" i="16" l="1"/>
  <c r="Q8" i="16"/>
  <c r="Q9" i="16"/>
  <c r="Q10" i="16"/>
  <c r="Q5" i="16"/>
  <c r="P7" i="16"/>
  <c r="M89" i="9"/>
  <c r="K89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N84" i="9" s="1"/>
  <c r="N85" i="9" s="1"/>
  <c r="N86" i="9" s="1"/>
  <c r="N87" i="9" s="1"/>
  <c r="N89" i="9" s="1"/>
  <c r="F3" i="9"/>
  <c r="K56" i="16"/>
  <c r="L50" i="16"/>
  <c r="I50" i="16"/>
  <c r="F50" i="16"/>
  <c r="C50" i="16"/>
  <c r="Q35" i="16"/>
  <c r="T33" i="16"/>
  <c r="Q33" i="16"/>
  <c r="P32" i="16"/>
  <c r="P31" i="16"/>
  <c r="Q31" i="16" s="1"/>
  <c r="P30" i="16"/>
  <c r="Q30" i="16" s="1"/>
  <c r="P29" i="16"/>
  <c r="Q29" i="16" s="1"/>
  <c r="P28" i="16"/>
  <c r="Q28" i="16" s="1"/>
  <c r="P27" i="16"/>
  <c r="Q27" i="16" s="1"/>
  <c r="P26" i="16"/>
  <c r="P25" i="16"/>
  <c r="Q25" i="16" s="1"/>
  <c r="P24" i="16"/>
  <c r="Q24" i="16" s="1"/>
  <c r="P23" i="16"/>
  <c r="Q23" i="16" s="1"/>
  <c r="P22" i="16"/>
  <c r="Q22" i="16" s="1"/>
  <c r="P21" i="16"/>
  <c r="Q21" i="16" s="1"/>
  <c r="P20" i="16"/>
  <c r="Q20" i="16" s="1"/>
  <c r="W19" i="16"/>
  <c r="P19" i="16"/>
  <c r="Q19" i="16" s="1"/>
  <c r="P18" i="16"/>
  <c r="Q18" i="16" s="1"/>
  <c r="P17" i="16"/>
  <c r="Q17" i="16" s="1"/>
  <c r="P16" i="16"/>
  <c r="Q16" i="16" s="1"/>
  <c r="P15" i="16"/>
  <c r="Q15" i="16" s="1"/>
  <c r="P14" i="16"/>
  <c r="P13" i="16"/>
  <c r="Q13" i="16" s="1"/>
  <c r="U12" i="16"/>
  <c r="P12" i="16"/>
  <c r="Q12" i="16" s="1"/>
  <c r="P11" i="16"/>
  <c r="P10" i="16"/>
  <c r="P9" i="16"/>
  <c r="P8" i="16"/>
  <c r="P6" i="16"/>
  <c r="P5" i="16"/>
  <c r="F89" i="9" l="1"/>
  <c r="Q32" i="16"/>
  <c r="Q41" i="16" s="1"/>
  <c r="P41" i="16"/>
  <c r="K52" i="16"/>
  <c r="F53" i="16" s="1"/>
  <c r="F56" i="16" s="1"/>
  <c r="K54" i="16" s="1"/>
  <c r="K58" i="16" s="1"/>
  <c r="C38" i="14" l="1"/>
  <c r="M29" i="14" l="1"/>
  <c r="M28" i="14" l="1"/>
  <c r="Q35" i="14" l="1"/>
  <c r="M22" i="14"/>
  <c r="M19" i="14" l="1"/>
  <c r="F4" i="13" l="1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7" i="13"/>
  <c r="F3" i="13"/>
  <c r="F41" i="11"/>
  <c r="M14" i="14" l="1"/>
  <c r="M8" i="14" l="1"/>
  <c r="Q6" i="14"/>
  <c r="M79" i="15" l="1"/>
  <c r="K79" i="15"/>
  <c r="E79" i="15"/>
  <c r="C79" i="15"/>
  <c r="F47" i="15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F3" i="15"/>
  <c r="K56" i="14"/>
  <c r="L50" i="14"/>
  <c r="I50" i="14"/>
  <c r="F50" i="14"/>
  <c r="C50" i="14"/>
  <c r="Q34" i="14"/>
  <c r="T33" i="14"/>
  <c r="Q33" i="14"/>
  <c r="P32" i="14"/>
  <c r="Q32" i="14" s="1"/>
  <c r="P31" i="14"/>
  <c r="Q31" i="14" s="1"/>
  <c r="P30" i="14"/>
  <c r="Q30" i="14" s="1"/>
  <c r="N36" i="14"/>
  <c r="P28" i="14"/>
  <c r="P27" i="14"/>
  <c r="P26" i="14"/>
  <c r="Q26" i="14" s="1"/>
  <c r="P25" i="14"/>
  <c r="Q25" i="14" s="1"/>
  <c r="P24" i="14"/>
  <c r="Q24" i="14" s="1"/>
  <c r="P23" i="14"/>
  <c r="Q23" i="14" s="1"/>
  <c r="P22" i="14"/>
  <c r="Q22" i="14" s="1"/>
  <c r="P21" i="14"/>
  <c r="Q21" i="14" s="1"/>
  <c r="P20" i="14"/>
  <c r="Q20" i="14" s="1"/>
  <c r="W19" i="14"/>
  <c r="P19" i="14"/>
  <c r="Q19" i="14" s="1"/>
  <c r="P18" i="14"/>
  <c r="Q18" i="14" s="1"/>
  <c r="P17" i="14"/>
  <c r="Q17" i="14" s="1"/>
  <c r="P16" i="14"/>
  <c r="Q16" i="14" s="1"/>
  <c r="P15" i="14"/>
  <c r="Q15" i="14" s="1"/>
  <c r="P14" i="14"/>
  <c r="Q14" i="14" s="1"/>
  <c r="P13" i="14"/>
  <c r="Q13" i="14" s="1"/>
  <c r="U12" i="14"/>
  <c r="P12" i="14"/>
  <c r="Q12" i="14" s="1"/>
  <c r="P11" i="14"/>
  <c r="Q11" i="14" s="1"/>
  <c r="P10" i="14"/>
  <c r="Q10" i="14" s="1"/>
  <c r="P9" i="14"/>
  <c r="P8" i="14"/>
  <c r="Q8" i="14" s="1"/>
  <c r="P7" i="14"/>
  <c r="P6" i="14"/>
  <c r="P5" i="14"/>
  <c r="F79" i="15" l="1"/>
  <c r="K52" i="14"/>
  <c r="F53" i="14" s="1"/>
  <c r="F56" i="14" s="1"/>
  <c r="K54" i="14" s="1"/>
  <c r="K58" i="14" s="1"/>
  <c r="Q5" i="14"/>
  <c r="M36" i="14"/>
  <c r="M39" i="14" s="1"/>
  <c r="P29" i="14"/>
  <c r="Q29" i="14" s="1"/>
  <c r="M39" i="12"/>
  <c r="M32" i="12"/>
  <c r="T33" i="12"/>
  <c r="N31" i="12"/>
  <c r="M31" i="12"/>
  <c r="N29" i="12"/>
  <c r="M30" i="12"/>
  <c r="M29" i="12"/>
  <c r="Q36" i="14" l="1"/>
  <c r="P39" i="14"/>
  <c r="M28" i="12"/>
  <c r="P24" i="12" l="1"/>
  <c r="M21" i="12"/>
  <c r="M16" i="12" l="1"/>
  <c r="M15" i="12"/>
  <c r="M12" i="12"/>
  <c r="Q10" i="12" l="1"/>
  <c r="P10" i="12"/>
  <c r="P5" i="12" l="1"/>
  <c r="Q5" i="12"/>
  <c r="M79" i="13" l="1"/>
  <c r="K79" i="13"/>
  <c r="E79" i="13"/>
  <c r="C79" i="13"/>
  <c r="F79" i="13" s="1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F78" i="13"/>
  <c r="K56" i="12"/>
  <c r="I50" i="12"/>
  <c r="F50" i="12"/>
  <c r="C50" i="12"/>
  <c r="N36" i="12"/>
  <c r="Q35" i="12"/>
  <c r="Q34" i="12"/>
  <c r="Q33" i="12"/>
  <c r="P32" i="12"/>
  <c r="Q32" i="12" s="1"/>
  <c r="P31" i="12"/>
  <c r="Q31" i="12" s="1"/>
  <c r="P30" i="12"/>
  <c r="P29" i="12"/>
  <c r="Q29" i="12" s="1"/>
  <c r="P28" i="12"/>
  <c r="Q28" i="12" s="1"/>
  <c r="P27" i="12"/>
  <c r="Q27" i="12" s="1"/>
  <c r="P26" i="12"/>
  <c r="Q26" i="12" s="1"/>
  <c r="P25" i="12"/>
  <c r="Q25" i="12" s="1"/>
  <c r="Q24" i="12"/>
  <c r="P23" i="12"/>
  <c r="Q23" i="12" s="1"/>
  <c r="P22" i="12"/>
  <c r="Q22" i="12" s="1"/>
  <c r="P21" i="12"/>
  <c r="P20" i="12"/>
  <c r="Q20" i="12" s="1"/>
  <c r="W19" i="12"/>
  <c r="P19" i="12"/>
  <c r="Q19" i="12" s="1"/>
  <c r="P18" i="12"/>
  <c r="Q18" i="12" s="1"/>
  <c r="P17" i="12"/>
  <c r="Q17" i="12" s="1"/>
  <c r="L50" i="12"/>
  <c r="P16" i="12"/>
  <c r="Q16" i="12" s="1"/>
  <c r="P15" i="12"/>
  <c r="Q15" i="12" s="1"/>
  <c r="P14" i="12"/>
  <c r="P13" i="12"/>
  <c r="Q13" i="12" s="1"/>
  <c r="U12" i="12"/>
  <c r="P12" i="12"/>
  <c r="Q12" i="12" s="1"/>
  <c r="P11" i="12"/>
  <c r="Q11" i="12" s="1"/>
  <c r="P9" i="12"/>
  <c r="Q9" i="12" s="1"/>
  <c r="P8" i="12"/>
  <c r="Q8" i="12" s="1"/>
  <c r="M36" i="12"/>
  <c r="P7" i="12"/>
  <c r="Q7" i="12" s="1"/>
  <c r="P6" i="12"/>
  <c r="P39" i="12" l="1"/>
  <c r="K52" i="12"/>
  <c r="F53" i="12" s="1"/>
  <c r="F56" i="12" s="1"/>
  <c r="K54" i="12" s="1"/>
  <c r="K58" i="12" s="1"/>
  <c r="Q36" i="12"/>
  <c r="N74" i="8"/>
  <c r="M74" i="8"/>
  <c r="E79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2" i="11"/>
  <c r="F43" i="11"/>
  <c r="F44" i="11"/>
  <c r="F45" i="11"/>
  <c r="F46" i="11"/>
  <c r="F3" i="11"/>
  <c r="K79" i="11" l="1"/>
  <c r="M79" i="11"/>
  <c r="M32" i="10" l="1"/>
  <c r="M29" i="10"/>
  <c r="M28" i="10" l="1"/>
  <c r="M23" i="10" l="1"/>
  <c r="M21" i="10" l="1"/>
  <c r="M20" i="10"/>
  <c r="M15" i="10" l="1"/>
  <c r="M18" i="10"/>
  <c r="L17" i="10"/>
  <c r="M17" i="10"/>
  <c r="M10" i="10" l="1"/>
  <c r="M8" i="10" l="1"/>
  <c r="U12" i="10"/>
  <c r="M32" i="7"/>
  <c r="C79" i="11" l="1"/>
  <c r="F47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P31" i="10"/>
  <c r="Q31" i="10" s="1"/>
  <c r="U30" i="10"/>
  <c r="P30" i="10"/>
  <c r="Q30" i="10" s="1"/>
  <c r="P29" i="10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K52" i="10"/>
  <c r="Q36" i="10"/>
  <c r="P39" i="10"/>
  <c r="F53" i="10" l="1"/>
  <c r="F56" i="10" s="1"/>
  <c r="K54" i="10" s="1"/>
  <c r="K58" i="10" s="1"/>
  <c r="F79" i="11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N3" i="8" l="1"/>
  <c r="M30" i="7" l="1"/>
  <c r="M28" i="7"/>
  <c r="M29" i="7" l="1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<sst xmlns="http://schemas.openxmlformats.org/spreadsheetml/2006/main" count="1552" uniqueCount="820">
  <si>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</si>
  <si>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</si>
  <si>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</si>
  <si>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</si>
  <si>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</si>
  <si>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</si>
  <si>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</si>
  <si>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</si>
  <si>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</si>
  <si>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</si>
  <si>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</si>
  <si>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</si>
  <si>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</si>
  <si>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</si>
  <si>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</si>
  <si>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</si>
  <si>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</si>
  <si>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</si>
  <si>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</si>
  <si>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</si>
  <si>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</si>
  <si>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</si>
  <si>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</si>
  <si>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</si>
  <si>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</si>
  <si>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</si>
  <si>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</si>
  <si>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</si>
  <si>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</si>
  <si>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</si>
  <si>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</si>
  <si>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</si>
  <si>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</si>
  <si>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</si>
  <si>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</si>
  <si>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</si>
  <si>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</si>
  <si>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</si>
  <si>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</si>
  <si>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</si>
  <si>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</si>
  <si>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</si>
  <si>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</si>
  <si>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</si>
  <si>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</si>
  <si>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</si>
  <si>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</si>
  <si>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</si>
  <si>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</si>
  <si>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</si>
  <si>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</si>
  <si>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</si>
  <si>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</si>
  <si>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</si>
  <si>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</si>
  <si>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</si>
  <si>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</si>
  <si>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</si>
  <si>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</si>
  <si>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</si>
  <si>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</si>
  <si>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</si>
  <si>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</si>
  <si>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</si>
  <si>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</si>
  <si>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</si>
  <si>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</si>
  <si>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</si>
  <si>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</si>
  <si>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</si>
  <si>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</si>
  <si>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</si>
  <si>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</si>
  <si>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</si>
  <si>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</si>
  <si>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</si>
  <si>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</si>
  <si>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</si>
  <si>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</si>
  <si>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</si>
  <si>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</si>
  <si>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</si>
  <si>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</si>
  <si>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</si>
  <si>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</si>
  <si>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</si>
  <si>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</si>
  <si>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</si>
  <si>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</si>
  <si>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</si>
  <si>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</si>
  <si>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</si>
  <si>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</si>
  <si>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</si>
  <si>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</si>
  <si>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</si>
  <si>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</si>
  <si>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</si>
  <si>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</si>
  <si>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</si>
  <si>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</si>
  <si>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</si>
  <si>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</si>
  <si>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</si>
  <si>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</si>
  <si>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</si>
  <si>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</si>
  <si>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</si>
  <si>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</si>
  <si>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</si>
  <si>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</si>
  <si>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</si>
  <si>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</si>
  <si>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</si>
  <si>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</si>
  <si>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</si>
  <si>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</si>
  <si>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</si>
  <si>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</si>
  <si>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</si>
  <si>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</si>
  <si>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</si>
  <si>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</si>
  <si>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</si>
  <si>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</si>
  <si>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</si>
  <si>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</si>
  <si>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</si>
  <si>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</si>
  <si>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</si>
  <si>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</si>
  <si>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</si>
  <si>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</si>
  <si>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</si>
  <si>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</si>
  <si>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</si>
  <si>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</si>
  <si>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</si>
  <si>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</si>
  <si>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</si>
  <si>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</si>
  <si>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</si>
  <si>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</si>
  <si>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</si>
  <si>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</si>
  <si>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</si>
  <si>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</si>
  <si>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</si>
  <si>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</si>
  <si>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</si>
  <si>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</si>
  <si>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</si>
  <si>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</si>
  <si>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</si>
  <si>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</si>
  <si>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</si>
  <si>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</si>
  <si>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</si>
  <si>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</si>
  <si>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</si>
  <si>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</si>
  <si>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</si>
  <si>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</si>
  <si>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</si>
  <si>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</si>
  <si>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</si>
  <si>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</si>
  <si>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</si>
  <si>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</si>
  <si>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</si>
  <si>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</si>
  <si>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</si>
  <si>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</si>
  <si>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</si>
  <si>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</si>
  <si>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</si>
  <si>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</si>
  <si>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</si>
  <si>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</si>
  <si>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</si>
  <si>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</si>
  <si>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</si>
  <si>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</si>
  <si>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</si>
  <si>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</si>
  <si>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</si>
  <si>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</si>
  <si>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</si>
  <si>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</si>
  <si>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</si>
  <si>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</si>
  <si>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</si>
  <si>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</si>
  <si>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</si>
  <si>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</si>
  <si>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</si>
  <si>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</si>
  <si>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</si>
  <si>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</si>
  <si>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</si>
  <si>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</si>
  <si>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</si>
  <si>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</si>
  <si>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</si>
  <si>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</si>
  <si>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</si>
  <si>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</si>
  <si>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</si>
  <si>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</si>
  <si>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</si>
  <si>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</si>
  <si>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</si>
  <si>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</si>
  <si>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</si>
  <si>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</si>
  <si>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</si>
  <si>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</si>
  <si>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</si>
  <si>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</si>
  <si>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</si>
  <si>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</si>
  <si>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</si>
  <si>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</si>
  <si>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</si>
  <si>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</si>
  <si>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</si>
  <si>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</si>
  <si>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</si>
  <si>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</si>
  <si>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</si>
  <si>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</si>
  <si>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</si>
  <si>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</si>
  <si>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</si>
  <si>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</si>
  <si>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</si>
  <si>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</si>
  <si>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</si>
  <si>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</si>
  <si>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</si>
  <si>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</si>
  <si>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</si>
  <si>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</si>
  <si>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</si>
  <si>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</si>
  <si>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</si>
  <si>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</si>
  <si>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</si>
  <si>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</si>
  <si>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</si>
  <si>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</si>
  <si>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</si>
  <si>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</si>
  <si>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</si>
  <si>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</si>
  <si>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</si>
  <si>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</si>
  <si>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</si>
  <si>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</si>
  <si>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</si>
  <si>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</si>
  <si>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</si>
  <si>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</si>
  <si>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</si>
  <si>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</si>
  <si>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</si>
  <si>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</si>
  <si>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</si>
  <si>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</si>
  <si>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</si>
  <si>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</si>
  <si>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</si>
  <si>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</si>
  <si>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</si>
  <si>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</si>
  <si>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</si>
  <si>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</si>
  <si>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</si>
  <si>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</si>
  <si>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</si>
  <si>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</si>
  <si>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</si>
  <si>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</si>
  <si>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</si>
  <si>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</si>
  <si>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</si>
  <si>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</si>
  <si>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</si>
  <si>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</si>
  <si>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</si>
  <si>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</si>
  <si>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</si>
  <si>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</si>
  <si>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</si>
  <si>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</si>
  <si>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</si>
  <si>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</si>
  <si>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</si>
  <si>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</si>
  <si>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</si>
  <si>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</si>
  <si>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</si>
  <si>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</si>
  <si>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</si>
  <si>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</si>
  <si>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</si>
  <si>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</si>
  <si>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</si>
  <si>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</si>
  <si>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</si>
  <si>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</si>
  <si>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</si>
  <si>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</si>
  <si>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</si>
  <si>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</si>
  <si>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</si>
  <si>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</si>
  <si>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</si>
  <si>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</si>
  <si>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</si>
  <si>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</si>
  <si>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</si>
  <si>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</si>
  <si>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</si>
  <si>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</si>
  <si>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</si>
  <si>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</si>
  <si>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</si>
  <si>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</si>
  <si>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</si>
  <si>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</si>
  <si>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</si>
  <si>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</si>
  <si>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</si>
  <si>
    <t>QUESOS-POLLO</t>
  </si>
  <si>
    <t>JAMON-POLLO-QUESO</t>
  </si>
  <si>
    <t>JAMON-QUESO-POLLO-LONGANIZA</t>
  </si>
  <si>
    <t>NOMINA 4</t>
  </si>
  <si>
    <t>QUESOS-CHISTORRA-POLLO-LONGANIZA</t>
  </si>
  <si>
    <t>MANTEQUILLA-POLLO-CREMA</t>
  </si>
  <si>
    <t>POLLO-CHISTORRA-CHORIZO-QUESOS</t>
  </si>
  <si>
    <t>LONGANIZA-POLLO-QUESOS-CHORIZO</t>
  </si>
  <si>
    <t>QUESO-SALCHICHONERIA</t>
  </si>
  <si>
    <t>CHORIZO-JAMON-QUESOS-POLLO-LONGANIZA-CREMA</t>
  </si>
  <si>
    <t>NOMINA # 4</t>
  </si>
  <si>
    <t>NOMIN A # 3</t>
  </si>
  <si>
    <t>NOMINA 3</t>
  </si>
  <si>
    <t>LONGANIZA</t>
  </si>
  <si>
    <t>03/01/2022</t>
  </si>
  <si>
    <t>01/02/2022</t>
  </si>
  <si>
    <t>04/01/2022</t>
  </si>
  <si>
    <t>05/01/2022</t>
  </si>
  <si>
    <t>06/01/2022</t>
  </si>
  <si>
    <t>07/01/2022</t>
  </si>
  <si>
    <t>08/01/2022</t>
  </si>
  <si>
    <t>10/01/2022</t>
  </si>
  <si>
    <t>11/01/2022</t>
  </si>
  <si>
    <t>12/01/2022</t>
  </si>
  <si>
    <t>13/01/2022</t>
  </si>
  <si>
    <t>14/01/2022</t>
  </si>
  <si>
    <t>15/01/2022</t>
  </si>
  <si>
    <t>17/01/2022</t>
  </si>
  <si>
    <t>18/01/2022</t>
  </si>
  <si>
    <t>19/01/2022</t>
  </si>
  <si>
    <t>20/01/2022</t>
  </si>
  <si>
    <t>21/01/2022</t>
  </si>
  <si>
    <t>22/01/2022</t>
  </si>
  <si>
    <t>24/01/2022</t>
  </si>
  <si>
    <t>25/01/2022</t>
  </si>
  <si>
    <t>26/01/2022</t>
  </si>
  <si>
    <t>27/01/2022</t>
  </si>
  <si>
    <t>28/01/2022</t>
  </si>
  <si>
    <t>29/01/2022</t>
  </si>
  <si>
    <t>31/01/2022</t>
  </si>
  <si>
    <t>C-7437</t>
  </si>
  <si>
    <t>C-7449</t>
  </si>
  <si>
    <t>C-7575</t>
  </si>
  <si>
    <t>C-7754</t>
  </si>
  <si>
    <t>C-7770</t>
  </si>
  <si>
    <t>C-7812</t>
  </si>
  <si>
    <t>C-7842</t>
  </si>
  <si>
    <t>C-7952</t>
  </si>
  <si>
    <t>C-7963</t>
  </si>
  <si>
    <t>C-8055</t>
  </si>
  <si>
    <t>C-8058</t>
  </si>
  <si>
    <t>C-8065</t>
  </si>
  <si>
    <t>C-8132</t>
  </si>
  <si>
    <t>C-8266</t>
  </si>
  <si>
    <t>C-8360</t>
  </si>
  <si>
    <t>C-8363</t>
  </si>
  <si>
    <t>C-8451</t>
  </si>
  <si>
    <t>C-8536</t>
  </si>
  <si>
    <t>C-8565</t>
  </si>
  <si>
    <t>C-8667</t>
  </si>
  <si>
    <t>C-8689</t>
  </si>
  <si>
    <t>C-8856</t>
  </si>
  <si>
    <t>C-9054</t>
  </si>
  <si>
    <t>C-9103</t>
  </si>
  <si>
    <t>C-9211</t>
  </si>
  <si>
    <t>C-9218</t>
  </si>
  <si>
    <t>C-9338</t>
  </si>
  <si>
    <t>C-9468</t>
  </si>
  <si>
    <t>C-9622</t>
  </si>
  <si>
    <t>C-9653</t>
  </si>
  <si>
    <t>C-9768</t>
  </si>
  <si>
    <t>C-9879</t>
  </si>
  <si>
    <t>C-9884</t>
  </si>
  <si>
    <t>C-9926</t>
  </si>
  <si>
    <t>C-9982</t>
  </si>
  <si>
    <t>C-10113</t>
  </si>
  <si>
    <t>C-10222</t>
  </si>
  <si>
    <t>C-10364</t>
  </si>
  <si>
    <t>CANCELADA</t>
  </si>
  <si>
    <t>todos los pagos del 28 de enero ya se entregan originales a MARIEL</t>
  </si>
  <si>
    <t xml:space="preserve">todas las orignales   pagadas el 1 de Feb-22     se entregan a MARIEL </t>
  </si>
  <si>
    <t>SALCHICHAS-QUESOS-CHORIZO-POLLO-</t>
  </si>
  <si>
    <t>CHISTORRA-QUESOS--POLLO</t>
  </si>
  <si>
    <t>Jamones-pollo-Chorizo-Picaña-Quesos-</t>
  </si>
  <si>
    <t>LONGANIZA-QUESOS-ROAS-BEFF-POLLO-</t>
  </si>
  <si>
    <t>JAMONES--SALCHICHAS</t>
  </si>
  <si>
    <t>PICAÑA-CHORIZO-QUESOS-JAMON-SALSAS</t>
  </si>
  <si>
    <t>NOMINA # 6</t>
  </si>
  <si>
    <t xml:space="preserve">NOMINA </t>
  </si>
  <si>
    <t>SEMANA # 6</t>
  </si>
  <si>
    <t>SALCHICHONERIA</t>
  </si>
  <si>
    <t>POLLO-QUESO-LONGANIZA-SALCHICHONERIA</t>
  </si>
  <si>
    <t>LONGANIZA-QUESOS-POLLO</t>
  </si>
  <si>
    <t xml:space="preserve">   </t>
  </si>
  <si>
    <t>CHORIZO-POLLO-JAMON</t>
  </si>
  <si>
    <t>QUESO-SALCHICHA-JAMON</t>
  </si>
  <si>
    <t>QUESOS --POLLO</t>
  </si>
  <si>
    <t>SEMANA # 7</t>
  </si>
  <si>
    <t>LONGANIZA-POLLO-QUESO-LENGUA</t>
  </si>
  <si>
    <t>NOMINA # 7</t>
  </si>
  <si>
    <t>LONGANIZA-QUESOS-JAMONES</t>
  </si>
  <si>
    <t>JAMONES-POLLO-PICAÑA-CREMAS-VEERDURAS</t>
  </si>
  <si>
    <t>CORTES-POLLO-SALCHICHAS- VARIOS</t>
  </si>
  <si>
    <t>LONGANIZA-QUESOS-JAMONES-POLLO</t>
  </si>
  <si>
    <t>LONGANIZA-QUESOS-POLLO-ROAS BEFF-JAMON-CHISTORRA</t>
  </si>
  <si>
    <t>NOMINA # 8</t>
  </si>
  <si>
    <t>SEMANA  #8</t>
  </si>
  <si>
    <t>JAMON-PECHIUGA-SALCHICHONERIA VARIOS</t>
  </si>
  <si>
    <t>CHORIZO-SALCHICHONERIA -POLLO-QUESOS</t>
  </si>
  <si>
    <t>QUESOS-POLLO-CHORIZO BLANCO</t>
  </si>
  <si>
    <t>LONGANIZA-JAMON-´POLLO-</t>
  </si>
  <si>
    <t>LONGANIZA-QUESOS-SALCHICHONERIA</t>
  </si>
  <si>
    <t>CHORIZO-QUESOS-POLLO</t>
  </si>
  <si>
    <t>POLLO-CHISTORRA-QUESOS</t>
  </si>
  <si>
    <t>NOMINA #9</t>
  </si>
  <si>
    <t>SEMANA # 9</t>
  </si>
  <si>
    <t>ENCHILADA</t>
  </si>
  <si>
    <t>BALANCE      ABASTO 4 CARNES    Z A V A L E T A      M A R Z O           2 0 2 2</t>
  </si>
  <si>
    <t>QUESOS-SALCHICHONERIA-JAMONES-POLLO-</t>
  </si>
  <si>
    <t>LONGANIZA-LOMO-QUESOS-POLLO</t>
  </si>
  <si>
    <t>POLLO-QUESO-ROASBEFF-CHISTORRA</t>
  </si>
  <si>
    <t>JAMON-QUESOS-POLLO-SALCHICHONERIA</t>
  </si>
  <si>
    <t>ENCHILADA-JAMON-MIXIOTES-POLLO-QUESOS</t>
  </si>
  <si>
    <t>NOMINA # 10</t>
  </si>
  <si>
    <t>POLLO-QUESO-JAMONES</t>
  </si>
  <si>
    <t>JAMONES</t>
  </si>
  <si>
    <t>CHORIZO-JAMONES-QUESOS-ROASBEEF-POLLO-PAN</t>
  </si>
  <si>
    <t>Odelpa Y zav se repuso</t>
  </si>
  <si>
    <t>se repuso</t>
  </si>
  <si>
    <t>Odelpa Y zav  se repuso 15-3-22</t>
  </si>
  <si>
    <t>LONGANIZA-POLLO-QUESOS</t>
  </si>
  <si>
    <t>JAMONES-QUESOS-POLLO</t>
  </si>
  <si>
    <t>POLLO-SALCHICHONERIA QUESOS</t>
  </si>
  <si>
    <t>EMPANADAS-EMBUTIDOS-LONGANIZA-POLLO-SALSAS</t>
  </si>
  <si>
    <t>JAMON-EMPANADAS-QUESOS</t>
  </si>
  <si>
    <t>NOMINA # 11</t>
  </si>
  <si>
    <t>NOMNA # 11</t>
  </si>
  <si>
    <t>QUESOS-LONGANIZA-ENCHILADA</t>
  </si>
  <si>
    <t>10535 C</t>
  </si>
  <si>
    <t>10643 C</t>
  </si>
  <si>
    <t>10669 C</t>
  </si>
  <si>
    <t>10688 C</t>
  </si>
  <si>
    <t>10695 C</t>
  </si>
  <si>
    <t>10808 C</t>
  </si>
  <si>
    <t>10823 C</t>
  </si>
  <si>
    <t>10911 C</t>
  </si>
  <si>
    <t>10932 C</t>
  </si>
  <si>
    <t>10927 C</t>
  </si>
  <si>
    <t>10949 C</t>
  </si>
  <si>
    <t>11037 C</t>
  </si>
  <si>
    <t>11063 C</t>
  </si>
  <si>
    <t>11091 C</t>
  </si>
  <si>
    <t>11174 C</t>
  </si>
  <si>
    <t>11222 C</t>
  </si>
  <si>
    <t>11339 C</t>
  </si>
  <si>
    <t>11478 C</t>
  </si>
  <si>
    <t>11512 C</t>
  </si>
  <si>
    <t>11628 C</t>
  </si>
  <si>
    <t>11640 C</t>
  </si>
  <si>
    <t>11657 C</t>
  </si>
  <si>
    <t>11761 C</t>
  </si>
  <si>
    <t>11823 C</t>
  </si>
  <si>
    <t>11878 C</t>
  </si>
  <si>
    <t>11987 C</t>
  </si>
  <si>
    <t>11991 C</t>
  </si>
  <si>
    <t>12004 C</t>
  </si>
  <si>
    <t>12053 C</t>
  </si>
  <si>
    <t>12161 C</t>
  </si>
  <si>
    <t>12256 C</t>
  </si>
  <si>
    <t>12293 C</t>
  </si>
  <si>
    <t>12315 C</t>
  </si>
  <si>
    <t>12389 C</t>
  </si>
  <si>
    <t>12400 C</t>
  </si>
  <si>
    <t>12471 C</t>
  </si>
  <si>
    <t>12588 C</t>
  </si>
  <si>
    <t>12682 C</t>
  </si>
  <si>
    <t>12771 C</t>
  </si>
  <si>
    <t>12795 C</t>
  </si>
  <si>
    <t>12899 C</t>
  </si>
  <si>
    <t>12977 C</t>
  </si>
  <si>
    <t>13030 C</t>
  </si>
  <si>
    <t>13138 C</t>
  </si>
  <si>
    <t>13246 C</t>
  </si>
  <si>
    <t>13425 C</t>
  </si>
  <si>
    <t>13429 C</t>
  </si>
  <si>
    <t>13460 C</t>
  </si>
  <si>
    <t>13541 C</t>
  </si>
  <si>
    <t>13652 C</t>
  </si>
  <si>
    <t>13809 C</t>
  </si>
  <si>
    <t>13913 C</t>
  </si>
  <si>
    <t>14009 C</t>
  </si>
  <si>
    <t>14039 C</t>
  </si>
  <si>
    <t>14105 C</t>
  </si>
  <si>
    <t>14255 C</t>
  </si>
  <si>
    <t>14326 C</t>
  </si>
  <si>
    <t>14455 C</t>
  </si>
  <si>
    <t>14471 C</t>
  </si>
  <si>
    <t>14550 C</t>
  </si>
  <si>
    <t>14611 C</t>
  </si>
  <si>
    <t>14681 C</t>
  </si>
  <si>
    <t>14827 C</t>
  </si>
  <si>
    <t>SALCHICHONERIA-QUESOS-JAMON-CHORIZO</t>
  </si>
  <si>
    <t>CHORIZO-POLLO-LONZANIZA-JAMON</t>
  </si>
  <si>
    <t>14899 C</t>
  </si>
  <si>
    <t>14957 C</t>
  </si>
  <si>
    <t>15025 C</t>
  </si>
  <si>
    <t>15216 C</t>
  </si>
  <si>
    <t>15218 C</t>
  </si>
  <si>
    <t>15220 C</t>
  </si>
  <si>
    <t>15338 C</t>
  </si>
  <si>
    <t>15487 C</t>
  </si>
  <si>
    <t>15585 C</t>
  </si>
  <si>
    <t>15718 C</t>
  </si>
  <si>
    <t>TOTAL DEL PAGO EL 25 FEB  $ 1,623,404.93</t>
  </si>
  <si>
    <t>02/02/2022</t>
  </si>
  <si>
    <t>03/02/2022</t>
  </si>
  <si>
    <t>04/02/2022</t>
  </si>
  <si>
    <t>05/02/2022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</si>
  <si>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</si>
  <si>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</si>
  <si>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</si>
  <si>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</si>
  <si>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</si>
  <si>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</si>
  <si>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</si>
  <si>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</si>
  <si>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</si>
  <si>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</si>
  <si>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</si>
  <si>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</si>
  <si>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</si>
  <si>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21/02/2022</t>
  </si>
  <si>
    <t>23/02/2022</t>
  </si>
  <si>
    <t>24/02/2022</t>
  </si>
  <si>
    <t>25/02/2022</t>
  </si>
  <si>
    <t>26/02/2022</t>
  </si>
  <si>
    <t>RES Herrera</t>
  </si>
  <si>
    <t>ARRACHERA CARNES PREMIUM</t>
  </si>
  <si>
    <t>SALCHICHA</t>
  </si>
  <si>
    <t>Comisiones BANCO</t>
  </si>
  <si>
    <t>FEBRERO</t>
  </si>
  <si>
    <t xml:space="preserve">COMISION </t>
  </si>
  <si>
    <t xml:space="preserve">BANCARAI </t>
  </si>
  <si>
    <t>QUESOS GOUDA</t>
  </si>
  <si>
    <t>POLLO-JAMONES-QUESOS-MIXIOTES-CHISTORRA</t>
  </si>
  <si>
    <t>POLLO-PATA-CHULETA-SALCHICHONERIA-ENCHILADA</t>
  </si>
  <si>
    <t>QUESOS-JAMONES-POLLO</t>
  </si>
  <si>
    <t>SALCHICHAS JAMON ENCHILADA-POLLO</t>
  </si>
  <si>
    <t>NOMINA # 12</t>
  </si>
  <si>
    <t>SALCHICHONERIA -JAMON-QUESO</t>
  </si>
  <si>
    <t>CHORIZO-LONGANIZA-QUESO</t>
  </si>
  <si>
    <t>CHORIZO-POLLO-MIXIOTES-NUGETS-BONELES-PAPAS</t>
  </si>
  <si>
    <t>QUESOS-JA,MON-POLLO-CHISTORRA</t>
  </si>
  <si>
    <t>QUESOS-POLLO-SALCHICHONERIA-LONGANIZA</t>
  </si>
  <si>
    <t>POLLO-QUESOS-ENCHILADA</t>
  </si>
  <si>
    <t>JAMON-POLLO-QUESO-LONGANIZA</t>
  </si>
  <si>
    <t>NOMINQ # 13</t>
  </si>
  <si>
    <t>NOMINA # 13</t>
  </si>
  <si>
    <t>TOCINETA-JAMONES-CHISTORRA</t>
  </si>
  <si>
    <t xml:space="preserve">OBRADOR </t>
  </si>
  <si>
    <t xml:space="preserve">CENTRAL </t>
  </si>
  <si>
    <t>OBRADOR</t>
  </si>
  <si>
    <t>EL PAGO DEL 23 DE MARZO DE  ZAVALETA FUE POR   $  1,050,300.98</t>
  </si>
  <si>
    <t>CENTRAL</t>
  </si>
  <si>
    <t>TOTAL DE PAGO EL 23 DE MARZO $  700,085.00</t>
  </si>
  <si>
    <t>15814 C</t>
  </si>
  <si>
    <t>15860 C</t>
  </si>
  <si>
    <t>15881 C</t>
  </si>
  <si>
    <t>15984 C</t>
  </si>
  <si>
    <t>15992 C</t>
  </si>
  <si>
    <t>16132 C</t>
  </si>
  <si>
    <t>16164 C</t>
  </si>
  <si>
    <t>16238 C</t>
  </si>
  <si>
    <t>16345 C</t>
  </si>
  <si>
    <t>16459 C</t>
  </si>
  <si>
    <t>16620 C</t>
  </si>
  <si>
    <t>16747 C</t>
  </si>
  <si>
    <t>16941 C</t>
  </si>
  <si>
    <t>17025 C</t>
  </si>
  <si>
    <t>17074 C</t>
  </si>
  <si>
    <t>17134 C</t>
  </si>
  <si>
    <t>23-mar-2022</t>
  </si>
  <si>
    <t>24-mar-2022</t>
  </si>
  <si>
    <t>25-mar-2022</t>
  </si>
  <si>
    <t>26-mar-2022</t>
  </si>
  <si>
    <t>JAMON</t>
  </si>
  <si>
    <t>BALANCE      ABASTO 4 CARNES    Z A V A L E T A      A b r i l            2 0 2 2</t>
  </si>
  <si>
    <t>CHORIZO-SALCHICHONERIA</t>
  </si>
  <si>
    <t>ENCHILADA-QUESOS-RIB-BYE-COSTCO</t>
  </si>
  <si>
    <t>CARBON-POLLO</t>
  </si>
  <si>
    <t>BARBACOA-POLLO-JAMON-QUESOS-CREMA</t>
  </si>
  <si>
    <t>QUESOS-ENCHILADA-ARABE-PASTOR-POLLO</t>
  </si>
  <si>
    <t>JAMONES-POLLO</t>
  </si>
  <si>
    <t>NOMINA # 14</t>
  </si>
  <si>
    <t>CHISTORRA-LONGANIZA-MIXIOTE-QUESOS</t>
  </si>
  <si>
    <t>ROAST BEEF-CHORIZO-PAPA-QUESOS-JAMON-SALCHICHONERIA</t>
  </si>
  <si>
    <t>QUESOS-POLLO-LONGANIZA</t>
  </si>
  <si>
    <t>POLLO-JAMONES-QUESO</t>
  </si>
  <si>
    <t>ENCHILADA-POLLO-LONGANIZA-SALSAS</t>
  </si>
  <si>
    <t>QUESOS-POLLO-JAMONES-CHISTORRA-SALSAS-ROASF BEFF -ARABE-PASTOR</t>
  </si>
  <si>
    <t>NOMINA # 15</t>
  </si>
  <si>
    <t>SALCHICHONERIA-QUESOS-LONGANIZA</t>
  </si>
  <si>
    <t>LONGANIZA-JAMONES-PAPAS-SALMON-POLLO-</t>
  </si>
  <si>
    <t>POLLO-CHORIZO-QUESOS-JAMON</t>
  </si>
  <si>
    <t xml:space="preserve">QUESOS-JAMONES-QUESOS </t>
  </si>
  <si>
    <t>QUESOS-LONGANIZA-SALCHICHONERIA</t>
  </si>
  <si>
    <t>CHORIZO-LONGANIZA-QUESOS</t>
  </si>
  <si>
    <t>NOMINA # 16</t>
  </si>
  <si>
    <t>-</t>
  </si>
  <si>
    <t>CREMA-LONGANIZA-POLLO-CHISTORRA ETC</t>
  </si>
  <si>
    <t>PIÑON-NUEZ-QUESOS-POLLO-MIXIOTES-CHISTORRA</t>
  </si>
  <si>
    <t>POLLO-QUESOS-SALCHICHONERIA</t>
  </si>
  <si>
    <t>BALANCE      ABASTO 4 CARNES    Z A V A L E T A      FEBRERO           2 0 2 2</t>
  </si>
  <si>
    <t>QUESOS-ENCHILADA-LONGANIZA</t>
  </si>
  <si>
    <t>QUESO-POLLO-JAMON-ARABE</t>
  </si>
  <si>
    <t>NOMINA # 17  y vacaciones Pedro</t>
  </si>
  <si>
    <t>Nomina # 17 y vacaciones Pedro</t>
  </si>
  <si>
    <t>QUESOS-CHORIZO-LONGANIZA-TOCINETA-CHISTORRA</t>
  </si>
  <si>
    <t>POLLO-CHORIZO-CHISTORRA-SALCHICHONERIA</t>
  </si>
  <si>
    <t>POLLO-QUESOS-JAMON-</t>
  </si>
  <si>
    <t>Jamon-Pollo-Chorizo-Longaniza-Queso</t>
  </si>
  <si>
    <t xml:space="preserve">ENCHILADA-POLLO-LONGANIZA  </t>
  </si>
  <si>
    <t>Longaniza --QUESOS</t>
  </si>
  <si>
    <t>POLLO-QUESOS-CREMA</t>
  </si>
  <si>
    <t>NOMINA # 18</t>
  </si>
  <si>
    <t>QUESO  MIXIOTES--CHISTORRA</t>
  </si>
  <si>
    <t>01/04/2022</t>
  </si>
  <si>
    <t>C-17257</t>
  </si>
  <si>
    <t>C-17311</t>
  </si>
  <si>
    <t>02/04/2022</t>
  </si>
  <si>
    <t>C-17399</t>
  </si>
  <si>
    <t>C-17461</t>
  </si>
  <si>
    <t>04/04/2022</t>
  </si>
  <si>
    <t>C-17601</t>
  </si>
  <si>
    <t>05/04/2022</t>
  </si>
  <si>
    <t>C-17720</t>
  </si>
  <si>
    <t>C-17721</t>
  </si>
  <si>
    <t>06/04/2022</t>
  </si>
  <si>
    <t>C-17789</t>
  </si>
  <si>
    <t>C-17835</t>
  </si>
  <si>
    <t>C-17838</t>
  </si>
  <si>
    <t>07/04/2022</t>
  </si>
  <si>
    <t>C-17959</t>
  </si>
  <si>
    <t>08/04/2022</t>
  </si>
  <si>
    <t>C-18050</t>
  </si>
  <si>
    <t>C-18101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</si>
  <si>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</si>
  <si>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</si>
  <si>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</si>
  <si>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</si>
  <si>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</si>
  <si>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</si>
  <si>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</si>
  <si>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</si>
  <si>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</si>
  <si>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</si>
  <si>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</si>
  <si>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</si>
  <si>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</si>
  <si>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</si>
  <si>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</si>
  <si>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</si>
  <si>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</si>
  <si>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</si>
  <si>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</si>
  <si>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</si>
  <si>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</si>
  <si>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</si>
  <si>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</si>
  <si>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</si>
  <si>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</si>
  <si>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</si>
  <si>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</si>
  <si>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</si>
  <si>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</si>
  <si>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</si>
  <si>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</si>
  <si>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</si>
  <si>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</si>
  <si>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>25/04/2022</t>
  </si>
  <si>
    <t>C-19847</t>
  </si>
  <si>
    <t>26/04/2022</t>
  </si>
  <si>
    <t>C-20001</t>
  </si>
  <si>
    <t>C-20007</t>
  </si>
  <si>
    <t>C-20038</t>
  </si>
  <si>
    <t>27/04/2022</t>
  </si>
  <si>
    <t>C-20106</t>
  </si>
  <si>
    <t>28/04/2022</t>
  </si>
  <si>
    <t>C-20208</t>
  </si>
  <si>
    <t>29/04/2022</t>
  </si>
  <si>
    <t>C-20353</t>
  </si>
  <si>
    <t>30/04/2022</t>
  </si>
  <si>
    <t>C-20502</t>
  </si>
  <si>
    <t>23-Mar-22---19-Abr-22</t>
  </si>
  <si>
    <t>PAGO EL 19 DE ABRIL POR   $  1,740,651.32</t>
  </si>
  <si>
    <t>28-mar-2022</t>
  </si>
  <si>
    <t>29-mar-2022</t>
  </si>
  <si>
    <t>30-mar-2022</t>
  </si>
  <si>
    <t>31-mar-2022</t>
  </si>
  <si>
    <t>1-abr-2022</t>
  </si>
  <si>
    <t>2-abr-2022</t>
  </si>
  <si>
    <t>3-abr-2022</t>
  </si>
  <si>
    <t>4-abr-2022</t>
  </si>
  <si>
    <t>6-abr-2022</t>
  </si>
  <si>
    <t>7-abr-2022</t>
  </si>
  <si>
    <t>8-abr-2022</t>
  </si>
  <si>
    <t>9-abr-2022</t>
  </si>
  <si>
    <t>11-abr-2022</t>
  </si>
  <si>
    <t>12-abr-2022</t>
  </si>
  <si>
    <t>13-abr-2022</t>
  </si>
  <si>
    <t>14-abr-2022</t>
  </si>
  <si>
    <t>16-abr-2022</t>
  </si>
  <si>
    <t>18-abr-2022</t>
  </si>
  <si>
    <t>19-abr-2022</t>
  </si>
  <si>
    <t>20-abr-2022</t>
  </si>
  <si>
    <t>21-abr-2022</t>
  </si>
  <si>
    <t>22-abr-2022</t>
  </si>
  <si>
    <t>23-abr-2022</t>
  </si>
  <si>
    <t>25-abr-2022</t>
  </si>
  <si>
    <t>26-abr-2022</t>
  </si>
  <si>
    <t>27-abr-2022</t>
  </si>
  <si>
    <t>28-abr-2022</t>
  </si>
  <si>
    <t>29-abr-2022</t>
  </si>
  <si>
    <t>30-abr-2022</t>
  </si>
  <si>
    <t>nlp</t>
  </si>
  <si>
    <t>fecha de deposito</t>
  </si>
  <si>
    <t>VENTA</t>
  </si>
  <si>
    <t>VENTAS ZAVALETA</t>
  </si>
  <si>
    <t>CUENTA BBVA  NLP</t>
  </si>
  <si>
    <t xml:space="preserve">DIFERENCIA </t>
  </si>
  <si>
    <t>FICHA</t>
  </si>
  <si>
    <t xml:space="preserve">DEPOSITOS DE REPOSICION PARA  ZAVALETA </t>
  </si>
  <si>
    <t>DEBE ZAVALETA</t>
  </si>
  <si>
    <t>BALANCE      ABASTO 4 CARNES    Z A V A L E T A      M A Y O           2 0 2 2</t>
  </si>
  <si>
    <t>chorizo-pollo-quesos-papas</t>
  </si>
  <si>
    <t>pollo-quesos-jamon-chorizo-lengua-pavo-roas beef</t>
  </si>
  <si>
    <t>jamon-pollo-quesos-chistorra-longaniza</t>
  </si>
  <si>
    <t>ayuntamiento</t>
  </si>
  <si>
    <t xml:space="preserve">POLLO   </t>
  </si>
  <si>
    <t>pollo--Longaniza-quesos</t>
  </si>
  <si>
    <t>jamones-Pollo-quesos</t>
  </si>
  <si>
    <t>NOMINA #  19</t>
  </si>
  <si>
    <t>NOMINA # 19</t>
  </si>
  <si>
    <t xml:space="preserve">QUESOS-SALCHICHONERIA </t>
  </si>
  <si>
    <t>SALCHICHONERIA-POLLO-CREMA-QUESOS-ROASBEEF-SALSAS</t>
  </si>
  <si>
    <t>ODELPA</t>
  </si>
  <si>
    <t>SALCHICHA-CHORIZO</t>
  </si>
  <si>
    <t>QUESOS-POLLO-LONGANIZA-JAMONES-CHORIZO</t>
  </si>
  <si>
    <t>ARABE-POLLO-QUESOS</t>
  </si>
  <si>
    <t>QUESOS--SALSAS--POLLO</t>
  </si>
  <si>
    <t>papas-pollo-quesos-longaniza-chorizo</t>
  </si>
  <si>
    <t>NOMINA # 20</t>
  </si>
  <si>
    <t>MIXIOTES-POLLO-JAMON</t>
  </si>
  <si>
    <t>QUESOS-POLLO-LONGANIZA-JAMONES-CHISTORRA ETC</t>
  </si>
  <si>
    <t>QUESOS-POLLO-JAMON</t>
  </si>
  <si>
    <t>QUESOS-POLLO-LONGANIZA-PAN ARABE</t>
  </si>
  <si>
    <t>20702 C</t>
  </si>
  <si>
    <t>20719 C</t>
  </si>
  <si>
    <t>20823 C</t>
  </si>
  <si>
    <t>20933 C</t>
  </si>
  <si>
    <t>21017 C</t>
  </si>
  <si>
    <t>21173 C</t>
  </si>
  <si>
    <t>21215 C</t>
  </si>
  <si>
    <t>21427 C</t>
  </si>
  <si>
    <t>21467 C</t>
  </si>
  <si>
    <t>21481 C</t>
  </si>
  <si>
    <t>21570 C</t>
  </si>
  <si>
    <t>21648 C</t>
  </si>
  <si>
    <t>21749 C</t>
  </si>
  <si>
    <t>21751 C</t>
  </si>
  <si>
    <t>21853 C</t>
  </si>
  <si>
    <t>21890 C</t>
  </si>
  <si>
    <t>22328 C</t>
  </si>
  <si>
    <t>22377 C</t>
  </si>
  <si>
    <t>22458 C</t>
  </si>
  <si>
    <t>22560 C</t>
  </si>
  <si>
    <t>22666C------/*22665C</t>
  </si>
  <si>
    <t>22022 C</t>
  </si>
  <si>
    <t>21866 C</t>
  </si>
  <si>
    <t>22164 C</t>
  </si>
  <si>
    <t>22854 C</t>
  </si>
  <si>
    <t>22967 C</t>
  </si>
  <si>
    <t>23299 C</t>
  </si>
  <si>
    <t>23367 C</t>
  </si>
  <si>
    <t xml:space="preserve">A CUENTA </t>
  </si>
  <si>
    <t>22666C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</si>
</sst>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6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i/>
      <u/>
      <sz val="12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20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0000FF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FF"/>
        <bgColor indexed="64"/>
      </patternFill>
    </fill>
  </fills>
  <borders count="10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/>
      <right style="mediumDashDot">
        <color auto="1"/>
      </right>
      <top style="mediumDashDot">
        <color auto="1"/>
      </top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  <border>
      <left/>
      <right/>
      <top style="mediumDashDot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31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4" fontId="46" fillId="6" borderId="26" xfId="1" applyFont="1" applyFill="1" applyBorder="1"/>
    <xf numFmtId="44" fontId="46" fillId="0" borderId="26" xfId="1" applyFont="1" applyFill="1" applyBorder="1"/>
    <xf numFmtId="44" fontId="41" fillId="0" borderId="26" xfId="1" applyFont="1" applyFill="1" applyBorder="1"/>
    <xf numFmtId="44" fontId="2" fillId="17" borderId="84" xfId="1" applyFont="1" applyFill="1" applyBorder="1" applyAlignment="1">
      <alignment horizontal="center"/>
    </xf>
    <xf numFmtId="44" fontId="3" fillId="17" borderId="84" xfId="1" applyFont="1" applyFill="1" applyBorder="1" applyAlignment="1">
      <alignment horizontal="center"/>
    </xf>
    <xf numFmtId="49" fontId="2" fillId="0" borderId="86" xfId="0" applyNumberFormat="1" applyFont="1" applyFill="1" applyBorder="1"/>
    <xf numFmtId="0" fontId="3" fillId="0" borderId="86" xfId="0" applyFont="1" applyFill="1" applyBorder="1" applyAlignment="1">
      <alignment horizontal="center"/>
    </xf>
    <xf numFmtId="44" fontId="3" fillId="0" borderId="86" xfId="1" applyFont="1" applyFill="1" applyBorder="1"/>
    <xf numFmtId="49" fontId="3" fillId="0" borderId="91" xfId="0" applyNumberFormat="1" applyFont="1" applyFill="1" applyBorder="1"/>
    <xf numFmtId="49" fontId="3" fillId="0" borderId="86" xfId="0" applyNumberFormat="1" applyFont="1" applyFill="1" applyBorder="1"/>
    <xf numFmtId="44" fontId="3" fillId="6" borderId="58" xfId="1" applyFont="1" applyFill="1" applyBorder="1"/>
    <xf numFmtId="165" fontId="2" fillId="18" borderId="25" xfId="0" applyNumberFormat="1" applyFont="1" applyFill="1" applyBorder="1" applyAlignment="1">
      <alignment horizontal="center"/>
    </xf>
    <xf numFmtId="44" fontId="2" fillId="18" borderId="25" xfId="1" applyFont="1" applyFill="1" applyBorder="1"/>
    <xf numFmtId="44" fontId="3" fillId="18" borderId="0" xfId="1" applyFont="1" applyFill="1"/>
    <xf numFmtId="165" fontId="2" fillId="18" borderId="21" xfId="0" applyNumberFormat="1" applyFont="1" applyFill="1" applyBorder="1"/>
    <xf numFmtId="165" fontId="2" fillId="18" borderId="25" xfId="0" applyNumberFormat="1" applyFont="1" applyFill="1" applyBorder="1"/>
    <xf numFmtId="44" fontId="2" fillId="18" borderId="86" xfId="1" applyFont="1" applyFill="1" applyBorder="1"/>
    <xf numFmtId="44" fontId="2" fillId="18" borderId="89" xfId="1" applyFont="1" applyFill="1" applyBorder="1"/>
    <xf numFmtId="44" fontId="2" fillId="18" borderId="88" xfId="1" applyFont="1" applyFill="1" applyBorder="1"/>
    <xf numFmtId="44" fontId="13" fillId="0" borderId="0" xfId="1" applyFont="1" applyBorder="1" applyAlignment="1">
      <alignment vertical="center"/>
    </xf>
    <xf numFmtId="165" fontId="3" fillId="0" borderId="86" xfId="0" applyNumberFormat="1" applyFont="1" applyFill="1" applyBorder="1"/>
    <xf numFmtId="165" fontId="47" fillId="0" borderId="86" xfId="0" applyNumberFormat="1" applyFont="1" applyFill="1" applyBorder="1"/>
    <xf numFmtId="165" fontId="13" fillId="6" borderId="58" xfId="1" applyNumberFormat="1" applyFont="1" applyFill="1" applyBorder="1"/>
    <xf numFmtId="1" fontId="39" fillId="0" borderId="21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44" fontId="3" fillId="0" borderId="89" xfId="1" applyFont="1" applyFill="1" applyBorder="1"/>
    <xf numFmtId="165" fontId="3" fillId="0" borderId="89" xfId="0" applyNumberFormat="1" applyFont="1" applyFill="1" applyBorder="1"/>
    <xf numFmtId="165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vertical="center" wrapText="1"/>
    </xf>
    <xf numFmtId="0" fontId="19" fillId="0" borderId="25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164" fontId="2" fillId="0" borderId="54" xfId="0" applyNumberFormat="1" applyFont="1" applyFill="1" applyBorder="1" applyAlignment="1">
      <alignment horizontal="center"/>
    </xf>
    <xf numFmtId="44" fontId="47" fillId="3" borderId="26" xfId="1" applyFont="1" applyFill="1" applyBorder="1"/>
    <xf numFmtId="44" fontId="3" fillId="3" borderId="26" xfId="1" applyFont="1" applyFill="1" applyBorder="1"/>
    <xf numFmtId="44" fontId="3" fillId="0" borderId="73" xfId="1" applyFont="1" applyFill="1" applyBorder="1"/>
    <xf numFmtId="44" fontId="2" fillId="17" borderId="85" xfId="1" applyFont="1" applyFill="1" applyBorder="1" applyAlignment="1">
      <alignment horizontal="center"/>
    </xf>
    <xf numFmtId="0" fontId="54" fillId="9" borderId="0" xfId="0" applyFont="1" applyFill="1"/>
    <xf numFmtId="0" fontId="2" fillId="9" borderId="0" xfId="0" applyFont="1" applyFill="1"/>
    <xf numFmtId="44" fontId="2" fillId="9" borderId="0" xfId="1" applyFont="1" applyFill="1"/>
    <xf numFmtId="44" fontId="55" fillId="0" borderId="15" xfId="0" applyNumberFormat="1" applyFont="1" applyBorder="1"/>
    <xf numFmtId="0" fontId="54" fillId="0" borderId="0" xfId="0" applyFont="1" applyFill="1"/>
    <xf numFmtId="0" fontId="2" fillId="0" borderId="0" xfId="0" applyFont="1" applyFill="1"/>
    <xf numFmtId="15" fontId="33" fillId="7" borderId="57" xfId="0" applyNumberFormat="1" applyFont="1" applyFill="1" applyBorder="1" applyAlignment="1">
      <alignment vertical="center"/>
    </xf>
    <xf numFmtId="15" fontId="3" fillId="0" borderId="47" xfId="0" applyNumberFormat="1" applyFont="1" applyBorder="1" applyAlignment="1">
      <alignment horizontal="center"/>
    </xf>
    <xf numFmtId="15" fontId="3" fillId="0" borderId="91" xfId="0" applyNumberFormat="1" applyFont="1" applyFill="1" applyBorder="1"/>
    <xf numFmtId="15" fontId="3" fillId="0" borderId="26" xfId="0" applyNumberFormat="1" applyFont="1" applyFill="1" applyBorder="1"/>
    <xf numFmtId="15" fontId="3" fillId="0" borderId="25" xfId="0" applyNumberFormat="1" applyFont="1" applyFill="1" applyBorder="1"/>
    <xf numFmtId="15" fontId="35" fillId="0" borderId="25" xfId="0" applyNumberFormat="1" applyFont="1" applyFill="1" applyBorder="1" applyAlignment="1">
      <alignment horizontal="center"/>
    </xf>
    <xf numFmtId="15" fontId="35" fillId="0" borderId="55" xfId="0" applyNumberFormat="1" applyFont="1" applyBorder="1" applyAlignment="1">
      <alignment horizontal="center"/>
    </xf>
    <xf numFmtId="15" fontId="2" fillId="0" borderId="0" xfId="0" applyNumberFormat="1" applyFont="1"/>
    <xf numFmtId="15" fontId="0" fillId="0" borderId="0" xfId="0" applyNumberFormat="1"/>
    <xf numFmtId="0" fontId="0" fillId="7" borderId="77" xfId="0" applyFill="1" applyBorder="1" applyAlignment="1">
      <alignment horizontal="center"/>
    </xf>
    <xf numFmtId="49" fontId="3" fillId="0" borderId="86" xfId="0" applyNumberFormat="1" applyFont="1" applyFill="1" applyBorder="1" applyAlignment="1">
      <alignment horizontal="center"/>
    </xf>
    <xf numFmtId="49" fontId="3" fillId="0" borderId="89" xfId="0" applyNumberFormat="1" applyFont="1" applyFill="1" applyBorder="1" applyAlignment="1">
      <alignment horizontal="center"/>
    </xf>
    <xf numFmtId="49" fontId="3" fillId="0" borderId="25" xfId="0" applyNumberFormat="1" applyFont="1" applyFill="1" applyBorder="1" applyAlignment="1">
      <alignment horizontal="center" vertical="center" wrapText="1"/>
    </xf>
    <xf numFmtId="0" fontId="2" fillId="0" borderId="57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10" fillId="3" borderId="86" xfId="0" applyNumberFormat="1" applyFont="1" applyFill="1" applyBorder="1"/>
    <xf numFmtId="44" fontId="10" fillId="3" borderId="86" xfId="1" applyFont="1" applyFill="1" applyBorder="1"/>
    <xf numFmtId="1" fontId="56" fillId="0" borderId="25" xfId="0" applyNumberFormat="1" applyFont="1" applyFill="1" applyBorder="1" applyAlignment="1">
      <alignment horizontal="center"/>
    </xf>
    <xf numFmtId="15" fontId="57" fillId="0" borderId="25" xfId="0" applyNumberFormat="1" applyFont="1" applyFill="1" applyBorder="1" applyAlignment="1">
      <alignment horizontal="center"/>
    </xf>
    <xf numFmtId="1" fontId="58" fillId="0" borderId="25" xfId="0" applyNumberFormat="1" applyFont="1" applyFill="1" applyBorder="1" applyAlignment="1">
      <alignment horizontal="center"/>
    </xf>
    <xf numFmtId="15" fontId="57" fillId="0" borderId="54" xfId="0" applyNumberFormat="1" applyFont="1" applyFill="1" applyBorder="1" applyAlignment="1">
      <alignment horizontal="center"/>
    </xf>
    <xf numFmtId="1" fontId="58" fillId="0" borderId="54" xfId="0" applyNumberFormat="1" applyFont="1" applyFill="1" applyBorder="1" applyAlignment="1">
      <alignment horizontal="center"/>
    </xf>
    <xf numFmtId="164" fontId="33" fillId="7" borderId="57" xfId="0" applyNumberFormat="1" applyFont="1" applyFill="1" applyBorder="1" applyAlignment="1">
      <alignment vertical="center"/>
    </xf>
    <xf numFmtId="164" fontId="3" fillId="0" borderId="47" xfId="0" applyNumberFormat="1" applyFont="1" applyBorder="1" applyAlignment="1">
      <alignment horizontal="center"/>
    </xf>
    <xf numFmtId="164" fontId="3" fillId="0" borderId="91" xfId="0" applyNumberFormat="1" applyFont="1" applyFill="1" applyBorder="1"/>
    <xf numFmtId="164" fontId="3" fillId="0" borderId="26" xfId="0" applyNumberFormat="1" applyFont="1" applyFill="1" applyBorder="1"/>
    <xf numFmtId="164" fontId="3" fillId="0" borderId="25" xfId="0" applyNumberFormat="1" applyFont="1" applyFill="1" applyBorder="1"/>
    <xf numFmtId="164" fontId="2" fillId="0" borderId="0" xfId="0" applyNumberFormat="1" applyFont="1"/>
    <xf numFmtId="164" fontId="0" fillId="0" borderId="0" xfId="0" applyNumberFormat="1"/>
    <xf numFmtId="44" fontId="0" fillId="0" borderId="0" xfId="0" applyNumberFormat="1"/>
    <xf numFmtId="165" fontId="18" fillId="0" borderId="21" xfId="1" applyNumberFormat="1" applyFont="1" applyFill="1" applyBorder="1" applyAlignment="1">
      <alignment horizontal="right"/>
    </xf>
    <xf numFmtId="0" fontId="19" fillId="6" borderId="25" xfId="0" applyFont="1" applyFill="1" applyBorder="1" applyAlignment="1">
      <alignment horizontal="center"/>
    </xf>
    <xf numFmtId="44" fontId="19" fillId="6" borderId="25" xfId="1" applyFont="1" applyFill="1" applyBorder="1" applyAlignment="1">
      <alignment horizontal="right"/>
    </xf>
    <xf numFmtId="44" fontId="19" fillId="6" borderId="26" xfId="1" applyFont="1" applyFill="1" applyBorder="1"/>
    <xf numFmtId="0" fontId="2" fillId="15" borderId="0" xfId="0" applyFont="1" applyFill="1" applyAlignment="1">
      <alignment horizontal="left"/>
    </xf>
    <xf numFmtId="44" fontId="2" fillId="15" borderId="0" xfId="1" applyFont="1" applyFill="1"/>
    <xf numFmtId="165" fontId="0" fillId="15" borderId="0" xfId="0" applyNumberFormat="1" applyFill="1" applyAlignment="1">
      <alignment horizontal="center"/>
    </xf>
    <xf numFmtId="0" fontId="3" fillId="3" borderId="86" xfId="0" applyFont="1" applyFill="1" applyBorder="1" applyAlignment="1">
      <alignment horizontal="center"/>
    </xf>
    <xf numFmtId="165" fontId="2" fillId="6" borderId="28" xfId="0" applyNumberFormat="1" applyFont="1" applyFill="1" applyBorder="1" applyAlignment="1">
      <alignment horizontal="center"/>
    </xf>
    <xf numFmtId="165" fontId="2" fillId="0" borderId="21" xfId="0" applyNumberFormat="1" applyFont="1" applyFill="1" applyBorder="1" applyAlignment="1">
      <alignment horizontal="center"/>
    </xf>
    <xf numFmtId="165" fontId="0" fillId="9" borderId="77" xfId="0" applyNumberFormat="1" applyFill="1" applyBorder="1" applyAlignment="1">
      <alignment horizontal="center"/>
    </xf>
    <xf numFmtId="165" fontId="2" fillId="0" borderId="86" xfId="0" applyNumberFormat="1" applyFont="1" applyFill="1" applyBorder="1" applyAlignment="1">
      <alignment horizontal="center"/>
    </xf>
    <xf numFmtId="165" fontId="2" fillId="6" borderId="86" xfId="0" applyNumberFormat="1" applyFont="1" applyFill="1" applyBorder="1" applyAlignment="1">
      <alignment horizontal="center"/>
    </xf>
    <xf numFmtId="165" fontId="3" fillId="11" borderId="0" xfId="1" applyNumberFormat="1" applyFont="1" applyFill="1" applyAlignment="1">
      <alignment horizontal="center"/>
    </xf>
    <xf numFmtId="164" fontId="0" fillId="9" borderId="77" xfId="0" applyNumberFormat="1" applyFill="1" applyBorder="1"/>
    <xf numFmtId="164" fontId="3" fillId="0" borderId="79" xfId="0" applyNumberFormat="1" applyFont="1" applyBorder="1" applyAlignment="1">
      <alignment horizontal="center"/>
    </xf>
    <xf numFmtId="164" fontId="2" fillId="6" borderId="89" xfId="0" applyNumberFormat="1" applyFont="1" applyFill="1" applyBorder="1"/>
    <xf numFmtId="164" fontId="2" fillId="6" borderId="25" xfId="0" applyNumberFormat="1" applyFont="1" applyFill="1" applyBorder="1"/>
    <xf numFmtId="164" fontId="2" fillId="0" borderId="25" xfId="0" applyNumberFormat="1" applyFont="1" applyFill="1" applyBorder="1"/>
    <xf numFmtId="164" fontId="19" fillId="0" borderId="25" xfId="0" applyNumberFormat="1" applyFont="1" applyFill="1" applyBorder="1" applyAlignment="1">
      <alignment wrapText="1"/>
    </xf>
    <xf numFmtId="164" fontId="3" fillId="11" borderId="0" xfId="1" applyNumberFormat="1" applyFont="1" applyFill="1"/>
    <xf numFmtId="164" fontId="2" fillId="0" borderId="89" xfId="0" applyNumberFormat="1" applyFont="1" applyFill="1" applyBorder="1"/>
    <xf numFmtId="44" fontId="3" fillId="6" borderId="86" xfId="1" applyFont="1" applyFill="1" applyBorder="1"/>
    <xf numFmtId="44" fontId="1" fillId="20" borderId="0" xfId="1" applyFill="1"/>
    <xf numFmtId="0" fontId="3" fillId="15" borderId="0" xfId="0" applyFont="1" applyFill="1"/>
    <xf numFmtId="16" fontId="19" fillId="15" borderId="0" xfId="0" applyNumberFormat="1" applyFont="1" applyFill="1"/>
    <xf numFmtId="44" fontId="1" fillId="15" borderId="0" xfId="1" applyFill="1"/>
    <xf numFmtId="164" fontId="0" fillId="15" borderId="0" xfId="0" applyNumberFormat="1" applyFill="1"/>
    <xf numFmtId="165" fontId="3" fillId="20" borderId="86" xfId="0" applyNumberFormat="1" applyFont="1" applyFill="1" applyBorder="1"/>
    <xf numFmtId="44" fontId="3" fillId="20" borderId="86" xfId="1" applyFont="1" applyFill="1" applyBorder="1"/>
    <xf numFmtId="165" fontId="2" fillId="20" borderId="25" xfId="0" applyNumberFormat="1" applyFont="1" applyFill="1" applyBorder="1" applyAlignment="1">
      <alignment horizontal="center"/>
    </xf>
    <xf numFmtId="44" fontId="3" fillId="20" borderId="25" xfId="1" applyFont="1" applyFill="1" applyBorder="1"/>
    <xf numFmtId="44" fontId="3" fillId="20" borderId="0" xfId="1" applyFont="1" applyFill="1" applyBorder="1"/>
    <xf numFmtId="16" fontId="2" fillId="20" borderId="0" xfId="0" applyNumberFormat="1" applyFont="1" applyFill="1" applyAlignment="1">
      <alignment horizontal="left"/>
    </xf>
    <xf numFmtId="165" fontId="0" fillId="20" borderId="0" xfId="0" applyNumberFormat="1" applyFill="1"/>
    <xf numFmtId="164" fontId="3" fillId="20" borderId="91" xfId="0" applyNumberFormat="1" applyFont="1" applyFill="1" applyBorder="1"/>
    <xf numFmtId="49" fontId="3" fillId="20" borderId="89" xfId="0" applyNumberFormat="1" applyFont="1" applyFill="1" applyBorder="1" applyAlignment="1">
      <alignment horizontal="center"/>
    </xf>
    <xf numFmtId="44" fontId="3" fillId="20" borderId="89" xfId="1" applyFont="1" applyFill="1" applyBorder="1"/>
    <xf numFmtId="49" fontId="3" fillId="20" borderId="25" xfId="0" applyNumberFormat="1" applyFont="1" applyFill="1" applyBorder="1" applyAlignment="1">
      <alignment horizontal="center"/>
    </xf>
    <xf numFmtId="164" fontId="3" fillId="20" borderId="26" xfId="0" applyNumberFormat="1" applyFont="1" applyFill="1" applyBorder="1"/>
    <xf numFmtId="49" fontId="3" fillId="0" borderId="91" xfId="0" applyNumberFormat="1" applyFont="1" applyBorder="1"/>
    <xf numFmtId="0" fontId="3" fillId="0" borderId="86" xfId="0" applyFont="1" applyBorder="1" applyAlignment="1">
      <alignment horizontal="center"/>
    </xf>
    <xf numFmtId="44" fontId="3" fillId="0" borderId="86" xfId="1" applyFont="1" applyBorder="1"/>
    <xf numFmtId="49" fontId="3" fillId="21" borderId="91" xfId="0" applyNumberFormat="1" applyFont="1" applyFill="1" applyBorder="1"/>
    <xf numFmtId="0" fontId="3" fillId="21" borderId="86" xfId="0" applyFont="1" applyFill="1" applyBorder="1" applyAlignment="1">
      <alignment horizontal="center"/>
    </xf>
    <xf numFmtId="44" fontId="3" fillId="21" borderId="86" xfId="1" applyFont="1" applyFill="1" applyBorder="1"/>
    <xf numFmtId="16" fontId="19" fillId="0" borderId="0" xfId="0" applyNumberFormat="1" applyFont="1" applyFill="1"/>
    <xf numFmtId="164" fontId="0" fillId="0" borderId="0" xfId="0" applyNumberFormat="1" applyFill="1"/>
    <xf numFmtId="165" fontId="47" fillId="0" borderId="25" xfId="0" applyNumberFormat="1" applyFont="1" applyFill="1" applyBorder="1"/>
    <xf numFmtId="0" fontId="17" fillId="0" borderId="25" xfId="0" applyFont="1" applyFill="1" applyBorder="1" applyAlignment="1">
      <alignment horizontal="left"/>
    </xf>
    <xf numFmtId="0" fontId="15" fillId="0" borderId="25" xfId="0" applyFont="1" applyFill="1" applyBorder="1" applyAlignment="1">
      <alignment horizontal="left" wrapText="1"/>
    </xf>
    <xf numFmtId="44" fontId="2" fillId="0" borderId="15" xfId="1" applyFont="1" applyFill="1" applyBorder="1"/>
    <xf numFmtId="166" fontId="17" fillId="0" borderId="25" xfId="0" applyNumberFormat="1" applyFont="1" applyFill="1" applyBorder="1"/>
    <xf numFmtId="166" fontId="17" fillId="0" borderId="0" xfId="0" applyNumberFormat="1" applyFont="1" applyFill="1" applyBorder="1"/>
    <xf numFmtId="44" fontId="2" fillId="0" borderId="33" xfId="1" applyFont="1" applyFill="1" applyBorder="1" applyAlignment="1">
      <alignment horizontal="center"/>
    </xf>
    <xf numFmtId="164" fontId="0" fillId="0" borderId="0" xfId="0" applyNumberFormat="1" applyFill="1" applyBorder="1"/>
    <xf numFmtId="16" fontId="0" fillId="0" borderId="0" xfId="0" applyNumberFormat="1" applyFill="1" applyBorder="1" applyAlignment="1">
      <alignment horizontal="center"/>
    </xf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" fontId="11" fillId="20" borderId="0" xfId="0" applyNumberFormat="1" applyFont="1" applyFill="1" applyAlignment="1">
      <alignment horizontal="left"/>
    </xf>
    <xf numFmtId="16" fontId="14" fillId="20" borderId="0" xfId="0" applyNumberFormat="1" applyFont="1" applyFill="1" applyAlignment="1">
      <alignment horizontal="center"/>
    </xf>
    <xf numFmtId="44" fontId="14" fillId="20" borderId="0" xfId="1" applyFont="1" applyFill="1"/>
    <xf numFmtId="16" fontId="11" fillId="18" borderId="0" xfId="0" applyNumberFormat="1" applyFont="1" applyFill="1" applyAlignment="1">
      <alignment horizontal="left"/>
    </xf>
    <xf numFmtId="44" fontId="11" fillId="18" borderId="0" xfId="1" applyFont="1" applyFill="1"/>
    <xf numFmtId="165" fontId="11" fillId="18" borderId="0" xfId="0" applyNumberFormat="1" applyFont="1" applyFill="1"/>
    <xf numFmtId="44" fontId="1" fillId="18" borderId="0" xfId="1" applyFill="1"/>
    <xf numFmtId="0" fontId="3" fillId="0" borderId="86" xfId="0" applyFont="1" applyBorder="1"/>
    <xf numFmtId="49" fontId="3" fillId="0" borderId="86" xfId="0" applyNumberFormat="1" applyFont="1" applyBorder="1"/>
    <xf numFmtId="0" fontId="3" fillId="21" borderId="86" xfId="0" applyFont="1" applyFill="1" applyBorder="1"/>
    <xf numFmtId="49" fontId="3" fillId="21" borderId="86" xfId="0" applyNumberFormat="1" applyFont="1" applyFill="1" applyBorder="1"/>
    <xf numFmtId="44" fontId="11" fillId="11" borderId="0" xfId="1" applyFont="1" applyFill="1"/>
    <xf numFmtId="165" fontId="3" fillId="3" borderId="6" xfId="0" applyNumberFormat="1" applyFont="1" applyFill="1" applyBorder="1" applyAlignment="1">
      <alignment horizontal="center" vertical="center"/>
    </xf>
    <xf numFmtId="44" fontId="2" fillId="3" borderId="6" xfId="1" applyFont="1" applyFill="1" applyBorder="1" applyAlignment="1">
      <alignment horizontal="center" vertical="center"/>
    </xf>
    <xf numFmtId="165" fontId="3" fillId="3" borderId="3" xfId="0" applyNumberFormat="1" applyFont="1" applyFill="1" applyBorder="1" applyAlignment="1">
      <alignment horizontal="center" wrapText="1"/>
    </xf>
    <xf numFmtId="0" fontId="10" fillId="14" borderId="0" xfId="0" applyFont="1" applyFill="1" applyAlignment="1">
      <alignment horizontal="center" vertical="center" wrapText="1"/>
    </xf>
    <xf numFmtId="165" fontId="11" fillId="14" borderId="15" xfId="0" applyNumberFormat="1" applyFont="1" applyFill="1" applyBorder="1" applyAlignment="1">
      <alignment horizontal="center"/>
    </xf>
    <xf numFmtId="44" fontId="11" fillId="14" borderId="15" xfId="1" applyFont="1" applyFill="1" applyBorder="1"/>
    <xf numFmtId="165" fontId="11" fillId="0" borderId="0" xfId="0" applyNumberFormat="1" applyFont="1" applyAlignment="1">
      <alignment horizontal="center"/>
    </xf>
    <xf numFmtId="165" fontId="3" fillId="20" borderId="0" xfId="0" applyNumberFormat="1" applyFont="1" applyFill="1" applyBorder="1" applyAlignment="1">
      <alignment horizontal="center" vertical="center"/>
    </xf>
    <xf numFmtId="165" fontId="3" fillId="20" borderId="82" xfId="0" applyNumberFormat="1" applyFont="1" applyFill="1" applyBorder="1" applyAlignment="1">
      <alignment horizontal="center" wrapText="1"/>
    </xf>
    <xf numFmtId="44" fontId="2" fillId="20" borderId="0" xfId="1" applyFont="1" applyFill="1" applyBorder="1" applyAlignment="1">
      <alignment horizontal="center" vertical="center"/>
    </xf>
    <xf numFmtId="44" fontId="16" fillId="16" borderId="23" xfId="1" applyFont="1" applyFill="1" applyBorder="1"/>
    <xf numFmtId="0" fontId="3" fillId="16" borderId="0" xfId="0" applyFont="1" applyFill="1"/>
    <xf numFmtId="0" fontId="44" fillId="16" borderId="0" xfId="0" applyFont="1" applyFill="1"/>
    <xf numFmtId="44" fontId="63" fillId="0" borderId="20" xfId="1" applyFont="1" applyFill="1" applyBorder="1"/>
    <xf numFmtId="44" fontId="63" fillId="0" borderId="22" xfId="1" applyFont="1" applyFill="1" applyBorder="1"/>
    <xf numFmtId="44" fontId="63" fillId="0" borderId="33" xfId="1" applyFont="1" applyFill="1" applyBorder="1" applyAlignment="1">
      <alignment horizontal="center"/>
    </xf>
    <xf numFmtId="44" fontId="63" fillId="0" borderId="34" xfId="1" applyFont="1" applyFill="1" applyBorder="1"/>
    <xf numFmtId="0" fontId="61" fillId="0" borderId="0" xfId="0" applyFont="1" applyFill="1" applyAlignment="1">
      <alignment horizontal="center"/>
    </xf>
    <xf numFmtId="164" fontId="2" fillId="0" borderId="0" xfId="1" applyNumberFormat="1" applyFont="1" applyFill="1" applyBorder="1"/>
    <xf numFmtId="44" fontId="2" fillId="0" borderId="17" xfId="1" applyFont="1" applyFill="1" applyBorder="1" applyAlignment="1">
      <alignment horizontal="center"/>
    </xf>
    <xf numFmtId="44" fontId="55" fillId="0" borderId="0" xfId="0" applyNumberFormat="1" applyFont="1" applyFill="1" applyBorder="1"/>
    <xf numFmtId="44" fontId="3" fillId="0" borderId="50" xfId="1" applyFont="1" applyFill="1" applyBorder="1"/>
    <xf numFmtId="164" fontId="3" fillId="0" borderId="99" xfId="0" applyNumberFormat="1" applyFont="1" applyBorder="1" applyAlignment="1">
      <alignment horizontal="center"/>
    </xf>
    <xf numFmtId="0" fontId="3" fillId="0" borderId="100" xfId="0" applyFont="1" applyBorder="1" applyAlignment="1">
      <alignment horizontal="center"/>
    </xf>
    <xf numFmtId="44" fontId="3" fillId="0" borderId="100" xfId="1" applyFont="1" applyBorder="1" applyAlignment="1">
      <alignment horizontal="center"/>
    </xf>
    <xf numFmtId="165" fontId="3" fillId="0" borderId="100" xfId="0" applyNumberFormat="1" applyFont="1" applyBorder="1" applyAlignment="1">
      <alignment horizontal="center"/>
    </xf>
    <xf numFmtId="44" fontId="3" fillId="0" borderId="101" xfId="1" applyFont="1" applyBorder="1" applyAlignment="1">
      <alignment horizontal="center"/>
    </xf>
    <xf numFmtId="0" fontId="3" fillId="0" borderId="99" xfId="0" applyFont="1" applyBorder="1" applyAlignment="1">
      <alignment horizontal="center"/>
    </xf>
    <xf numFmtId="0" fontId="10" fillId="0" borderId="100" xfId="0" applyFont="1" applyBorder="1" applyAlignment="1">
      <alignment horizontal="center"/>
    </xf>
    <xf numFmtId="164" fontId="3" fillId="0" borderId="100" xfId="0" applyNumberFormat="1" applyFont="1" applyBorder="1" applyAlignment="1">
      <alignment horizontal="center"/>
    </xf>
    <xf numFmtId="0" fontId="3" fillId="0" borderId="25" xfId="0" applyFont="1" applyFill="1" applyBorder="1"/>
    <xf numFmtId="164" fontId="2" fillId="0" borderId="43" xfId="0" applyNumberFormat="1" applyFon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/>
    <xf numFmtId="0" fontId="33" fillId="0" borderId="5" xfId="0" applyFont="1" applyBorder="1" applyAlignment="1">
      <alignment vertical="center" wrapText="1"/>
    </xf>
    <xf numFmtId="0" fontId="0" fillId="0" borderId="0" xfId="0" applyFont="1" applyFill="1" applyBorder="1"/>
    <xf numFmtId="16" fontId="0" fillId="0" borderId="0" xfId="0" applyNumberFormat="1" applyFont="1"/>
    <xf numFmtId="165" fontId="11" fillId="0" borderId="9" xfId="0" applyNumberFormat="1" applyFont="1" applyBorder="1"/>
    <xf numFmtId="165" fontId="20" fillId="0" borderId="25" xfId="1" applyNumberFormat="1" applyFont="1" applyFill="1" applyBorder="1" applyAlignment="1">
      <alignment horizontal="center"/>
    </xf>
    <xf numFmtId="165" fontId="20" fillId="0" borderId="21" xfId="1" applyNumberFormat="1" applyFont="1" applyFill="1" applyBorder="1" applyAlignment="1">
      <alignment horizontal="center"/>
    </xf>
    <xf numFmtId="165" fontId="3" fillId="0" borderId="49" xfId="0" applyNumberFormat="1" applyFont="1" applyBorder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1" fillId="0" borderId="9" xfId="0" applyFont="1" applyBorder="1" applyAlignment="1">
      <alignment horizontal="center"/>
    </xf>
    <xf numFmtId="44" fontId="11" fillId="0" borderId="9" xfId="1" applyFont="1" applyBorder="1"/>
    <xf numFmtId="16" fontId="20" fillId="0" borderId="27" xfId="0" applyNumberFormat="1" applyFont="1" applyFill="1" applyBorder="1" applyAlignment="1">
      <alignment horizontal="center"/>
    </xf>
    <xf numFmtId="16" fontId="2" fillId="0" borderId="27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 wrapText="1"/>
    </xf>
    <xf numFmtId="16" fontId="3" fillId="0" borderId="0" xfId="0" applyNumberFormat="1" applyFont="1" applyFill="1" applyAlignment="1">
      <alignment horizontal="center" wrapText="1"/>
    </xf>
    <xf numFmtId="16" fontId="3" fillId="0" borderId="25" xfId="0" applyNumberFormat="1" applyFont="1" applyFill="1" applyBorder="1" applyAlignment="1">
      <alignment horizontal="center"/>
    </xf>
    <xf numFmtId="16" fontId="2" fillId="0" borderId="0" xfId="0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 wrapText="1"/>
    </xf>
    <xf numFmtId="0" fontId="64" fillId="0" borderId="25" xfId="0" applyFont="1" applyFill="1" applyBorder="1" applyAlignment="1">
      <alignment horizontal="left"/>
    </xf>
    <xf numFmtId="166" fontId="11" fillId="0" borderId="0" xfId="0" applyNumberFormat="1" applyFont="1" applyAlignment="1">
      <alignment horizontal="center"/>
    </xf>
    <xf numFmtId="0" fontId="0" fillId="0" borderId="0" xfId="0" applyFont="1" applyFill="1"/>
    <xf numFmtId="0" fontId="0" fillId="0" borderId="45" xfId="0" applyFont="1" applyBorder="1"/>
    <xf numFmtId="0" fontId="18" fillId="9" borderId="0" xfId="0" applyFont="1" applyFill="1" applyAlignment="1">
      <alignment horizontal="center"/>
    </xf>
    <xf numFmtId="0" fontId="65" fillId="0" borderId="0" xfId="0" applyFont="1" applyFill="1"/>
    <xf numFmtId="0" fontId="65" fillId="0" borderId="0" xfId="0" applyFont="1"/>
    <xf numFmtId="0" fontId="18" fillId="0" borderId="0" xfId="0" applyFont="1" applyFill="1" applyAlignment="1">
      <alignment horizontal="center"/>
    </xf>
    <xf numFmtId="0" fontId="18" fillId="0" borderId="0" xfId="0" applyFont="1" applyFill="1"/>
    <xf numFmtId="0" fontId="65" fillId="0" borderId="0" xfId="0" applyFont="1" applyAlignment="1">
      <alignment vertical="center"/>
    </xf>
    <xf numFmtId="44" fontId="18" fillId="0" borderId="0" xfId="1" applyFont="1" applyBorder="1" applyAlignment="1">
      <alignment vertical="center"/>
    </xf>
    <xf numFmtId="49" fontId="3" fillId="0" borderId="25" xfId="0" applyNumberFormat="1" applyFont="1" applyFill="1" applyBorder="1" applyAlignment="1">
      <alignment horizontal="center" wrapText="1"/>
    </xf>
    <xf numFmtId="164" fontId="3" fillId="6" borderId="25" xfId="0" applyNumberFormat="1" applyFont="1" applyFill="1" applyBorder="1"/>
    <xf numFmtId="165" fontId="2" fillId="0" borderId="0" xfId="0" applyNumberFormat="1" applyFont="1"/>
    <xf numFmtId="165" fontId="3" fillId="9" borderId="25" xfId="0" applyNumberFormat="1" applyFont="1" applyFill="1" applyBorder="1"/>
    <xf numFmtId="44" fontId="3" fillId="9" borderId="25" xfId="1" applyFont="1" applyFill="1" applyBorder="1"/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3" fillId="17" borderId="92" xfId="0" applyNumberFormat="1" applyFont="1" applyFill="1" applyBorder="1" applyAlignment="1">
      <alignment horizontal="center" vertical="center" wrapText="1"/>
    </xf>
    <xf numFmtId="49" fontId="3" fillId="17" borderId="74" xfId="0" applyNumberFormat="1" applyFont="1" applyFill="1" applyBorder="1" applyAlignment="1">
      <alignment horizontal="center" vertical="center" wrapText="1"/>
    </xf>
    <xf numFmtId="49" fontId="3" fillId="17" borderId="73" xfId="0" applyNumberFormat="1" applyFont="1" applyFill="1" applyBorder="1" applyAlignment="1">
      <alignment horizontal="center" vertical="center" wrapText="1"/>
    </xf>
    <xf numFmtId="49" fontId="3" fillId="17" borderId="29" xfId="0" applyNumberFormat="1" applyFont="1" applyFill="1" applyBorder="1" applyAlignment="1">
      <alignment horizontal="center" vertical="center" wrapText="1"/>
    </xf>
    <xf numFmtId="49" fontId="3" fillId="17" borderId="0" xfId="0" applyNumberFormat="1" applyFont="1" applyFill="1" applyBorder="1" applyAlignment="1">
      <alignment horizontal="center" vertical="center" wrapText="1"/>
    </xf>
    <xf numFmtId="49" fontId="3" fillId="17" borderId="90" xfId="0" applyNumberFormat="1" applyFont="1" applyFill="1" applyBorder="1" applyAlignment="1">
      <alignment horizontal="center" vertical="center" wrapText="1"/>
    </xf>
    <xf numFmtId="49" fontId="3" fillId="17" borderId="76" xfId="0" applyNumberFormat="1" applyFont="1" applyFill="1" applyBorder="1" applyAlignment="1">
      <alignment horizontal="center" vertical="center" wrapText="1"/>
    </xf>
    <xf numFmtId="49" fontId="3" fillId="17" borderId="39" xfId="0" applyNumberFormat="1" applyFont="1" applyFill="1" applyBorder="1" applyAlignment="1">
      <alignment horizontal="center" vertical="center" wrapText="1"/>
    </xf>
    <xf numFmtId="49" fontId="3" fillId="17" borderId="53" xfId="0" applyNumberFormat="1" applyFont="1" applyFill="1" applyBorder="1" applyAlignment="1">
      <alignment horizontal="center" vertical="center" wrapText="1"/>
    </xf>
    <xf numFmtId="0" fontId="19" fillId="19" borderId="57" xfId="0" applyFont="1" applyFill="1" applyBorder="1" applyAlignment="1">
      <alignment horizontal="center" wrapText="1"/>
    </xf>
    <xf numFmtId="0" fontId="19" fillId="19" borderId="77" xfId="0" applyFont="1" applyFill="1" applyBorder="1" applyAlignment="1">
      <alignment horizontal="center" wrapText="1"/>
    </xf>
    <xf numFmtId="0" fontId="19" fillId="19" borderId="58" xfId="0" applyFont="1" applyFill="1" applyBorder="1" applyAlignment="1">
      <alignment horizontal="center" wrapText="1"/>
    </xf>
    <xf numFmtId="0" fontId="19" fillId="19" borderId="33" xfId="0" applyFont="1" applyFill="1" applyBorder="1" applyAlignment="1">
      <alignment horizontal="center" wrapText="1"/>
    </xf>
    <xf numFmtId="0" fontId="19" fillId="19" borderId="5" xfId="0" applyFont="1" applyFill="1" applyBorder="1" applyAlignment="1">
      <alignment horizontal="center" wrapText="1"/>
    </xf>
    <xf numFmtId="0" fontId="19" fillId="19" borderId="59" xfId="0" applyFont="1" applyFill="1" applyBorder="1" applyAlignment="1">
      <alignment horizontal="center" wrapText="1"/>
    </xf>
    <xf numFmtId="49" fontId="59" fillId="3" borderId="92" xfId="0" applyNumberFormat="1" applyFont="1" applyFill="1" applyBorder="1" applyAlignment="1">
      <alignment horizontal="center"/>
    </xf>
    <xf numFmtId="49" fontId="59" fillId="3" borderId="73" xfId="0" applyNumberFormat="1" applyFont="1" applyFill="1" applyBorder="1" applyAlignment="1">
      <alignment horizontal="center"/>
    </xf>
    <xf numFmtId="49" fontId="59" fillId="3" borderId="76" xfId="0" applyNumberFormat="1" applyFont="1" applyFill="1" applyBorder="1" applyAlignment="1">
      <alignment horizontal="center"/>
    </xf>
    <xf numFmtId="49" fontId="59" fillId="3" borderId="53" xfId="0" applyNumberFormat="1" applyFont="1" applyFill="1" applyBorder="1" applyAlignment="1">
      <alignment horizontal="center"/>
    </xf>
    <xf numFmtId="164" fontId="60" fillId="15" borderId="29" xfId="0" applyNumberFormat="1" applyFont="1" applyFill="1" applyBorder="1" applyAlignment="1">
      <alignment horizontal="center" vertical="center"/>
    </xf>
    <xf numFmtId="164" fontId="60" fillId="15" borderId="90" xfId="0" applyNumberFormat="1" applyFont="1" applyFill="1" applyBorder="1" applyAlignment="1">
      <alignment horizontal="center" vertical="center"/>
    </xf>
    <xf numFmtId="164" fontId="60" fillId="15" borderId="93" xfId="0" applyNumberFormat="1" applyFont="1" applyFill="1" applyBorder="1" applyAlignment="1">
      <alignment horizontal="center" vertical="center"/>
    </xf>
    <xf numFmtId="164" fontId="60" fillId="15" borderId="87" xfId="0" applyNumberFormat="1" applyFont="1" applyFill="1" applyBorder="1" applyAlignment="1">
      <alignment horizontal="center" vertical="center"/>
    </xf>
    <xf numFmtId="44" fontId="11" fillId="3" borderId="1" xfId="1" applyFont="1" applyFill="1" applyBorder="1" applyAlignment="1">
      <alignment horizontal="center" vertical="center"/>
    </xf>
    <xf numFmtId="44" fontId="11" fillId="3" borderId="3" xfId="1" applyFont="1" applyFill="1" applyBorder="1" applyAlignment="1">
      <alignment horizontal="center" vertical="center"/>
    </xf>
    <xf numFmtId="7" fontId="13" fillId="6" borderId="7" xfId="1" applyNumberFormat="1" applyFont="1" applyFill="1" applyBorder="1" applyAlignment="1">
      <alignment horizontal="center" vertical="center"/>
    </xf>
    <xf numFmtId="7" fontId="13" fillId="6" borderId="16" xfId="1" applyNumberFormat="1" applyFont="1" applyFill="1" applyBorder="1" applyAlignment="1">
      <alignment horizontal="center" vertical="center"/>
    </xf>
    <xf numFmtId="16" fontId="11" fillId="0" borderId="0" xfId="0" applyNumberFormat="1" applyFont="1" applyAlignment="1">
      <alignment horizontal="center"/>
    </xf>
    <xf numFmtId="164" fontId="60" fillId="15" borderId="92" xfId="0" applyNumberFormat="1" applyFont="1" applyFill="1" applyBorder="1" applyAlignment="1">
      <alignment horizontal="center" vertical="center"/>
    </xf>
    <xf numFmtId="164" fontId="60" fillId="15" borderId="73" xfId="0" applyNumberFormat="1" applyFont="1" applyFill="1" applyBorder="1" applyAlignment="1">
      <alignment horizontal="center" vertical="center"/>
    </xf>
    <xf numFmtId="164" fontId="60" fillId="15" borderId="76" xfId="0" applyNumberFormat="1" applyFont="1" applyFill="1" applyBorder="1" applyAlignment="1">
      <alignment horizontal="center" vertical="center"/>
    </xf>
    <xf numFmtId="164" fontId="60" fillId="15" borderId="53" xfId="0" applyNumberFormat="1" applyFont="1" applyFill="1" applyBorder="1" applyAlignment="1">
      <alignment horizontal="center" vertical="center"/>
    </xf>
    <xf numFmtId="0" fontId="33" fillId="6" borderId="57" xfId="0" applyFont="1" applyFill="1" applyBorder="1" applyAlignment="1">
      <alignment horizontal="center" vertical="center"/>
    </xf>
    <xf numFmtId="0" fontId="33" fillId="6" borderId="58" xfId="0" applyFont="1" applyFill="1" applyBorder="1" applyAlignment="1">
      <alignment horizontal="center" vertical="center"/>
    </xf>
    <xf numFmtId="0" fontId="33" fillId="6" borderId="33" xfId="0" applyFont="1" applyFill="1" applyBorder="1" applyAlignment="1">
      <alignment horizontal="center" vertical="center"/>
    </xf>
    <xf numFmtId="0" fontId="33" fillId="6" borderId="59" xfId="0" applyFont="1" applyFill="1" applyBorder="1" applyAlignment="1">
      <alignment horizontal="center" vertical="center"/>
    </xf>
    <xf numFmtId="44" fontId="61" fillId="16" borderId="1" xfId="1" applyFont="1" applyFill="1" applyBorder="1" applyAlignment="1">
      <alignment horizontal="center" vertical="center"/>
    </xf>
    <xf numFmtId="44" fontId="61" fillId="16" borderId="3" xfId="1" applyFont="1" applyFill="1" applyBorder="1" applyAlignment="1">
      <alignment horizontal="center" vertical="center"/>
    </xf>
    <xf numFmtId="166" fontId="13" fillId="6" borderId="7" xfId="1" applyNumberFormat="1" applyFont="1" applyFill="1" applyBorder="1" applyAlignment="1">
      <alignment horizontal="center" vertical="center"/>
    </xf>
    <xf numFmtId="166" fontId="13" fillId="6" borderId="16" xfId="1" applyNumberFormat="1" applyFont="1" applyFill="1" applyBorder="1" applyAlignment="1">
      <alignment horizontal="center" vertical="center"/>
    </xf>
    <xf numFmtId="44" fontId="33" fillId="0" borderId="7" xfId="1" applyFont="1" applyBorder="1" applyAlignment="1">
      <alignment horizontal="center"/>
    </xf>
    <xf numFmtId="44" fontId="33" fillId="0" borderId="16" xfId="1" applyFont="1" applyBorder="1" applyAlignment="1">
      <alignment horizontal="center"/>
    </xf>
    <xf numFmtId="165" fontId="11" fillId="22" borderId="98" xfId="0" applyNumberFormat="1" applyFont="1" applyFill="1" applyBorder="1" applyAlignment="1">
      <alignment horizontal="center"/>
    </xf>
    <xf numFmtId="165" fontId="62" fillId="0" borderId="7" xfId="0" applyNumberFormat="1" applyFont="1" applyBorder="1" applyAlignment="1">
      <alignment horizontal="center" vertical="center"/>
    </xf>
    <xf numFmtId="165" fontId="62" fillId="0" borderId="8" xfId="0" applyNumberFormat="1" applyFont="1" applyBorder="1" applyAlignment="1">
      <alignment horizontal="center" vertical="center"/>
    </xf>
    <xf numFmtId="165" fontId="62" fillId="0" borderId="16" xfId="0" applyNumberFormat="1" applyFont="1" applyBorder="1" applyAlignment="1">
      <alignment horizontal="center" vertical="center"/>
    </xf>
    <xf numFmtId="165" fontId="62" fillId="3" borderId="57" xfId="0" applyNumberFormat="1" applyFont="1" applyFill="1" applyBorder="1" applyAlignment="1">
      <alignment horizontal="center" vertical="center" wrapText="1"/>
    </xf>
    <xf numFmtId="165" fontId="62" fillId="3" borderId="77" xfId="0" applyNumberFormat="1" applyFont="1" applyFill="1" applyBorder="1" applyAlignment="1">
      <alignment horizontal="center" vertical="center" wrapText="1"/>
    </xf>
    <xf numFmtId="165" fontId="62" fillId="3" borderId="58" xfId="0" applyNumberFormat="1" applyFont="1" applyFill="1" applyBorder="1" applyAlignment="1">
      <alignment horizontal="center" vertical="center" wrapText="1"/>
    </xf>
    <xf numFmtId="165" fontId="62" fillId="3" borderId="33" xfId="0" applyNumberFormat="1" applyFont="1" applyFill="1" applyBorder="1" applyAlignment="1">
      <alignment horizontal="center" vertical="center" wrapText="1"/>
    </xf>
    <xf numFmtId="165" fontId="62" fillId="3" borderId="5" xfId="0" applyNumberFormat="1" applyFont="1" applyFill="1" applyBorder="1" applyAlignment="1">
      <alignment horizontal="center" vertical="center" wrapText="1"/>
    </xf>
    <xf numFmtId="165" fontId="62" fillId="3" borderId="59" xfId="0" applyNumberFormat="1" applyFont="1" applyFill="1" applyBorder="1" applyAlignment="1">
      <alignment horizontal="center" vertical="center" wrapText="1"/>
    </xf>
    <xf numFmtId="44" fontId="33" fillId="3" borderId="7" xfId="0" applyNumberFormat="1" applyFont="1" applyFill="1" applyBorder="1" applyAlignment="1">
      <alignment horizontal="center"/>
    </xf>
    <xf numFmtId="44" fontId="33" fillId="3" borderId="16" xfId="0" applyNumberFormat="1" applyFont="1" applyFill="1" applyBorder="1" applyAlignment="1">
      <alignment horizontal="center"/>
    </xf>
    <xf numFmtId="44" fontId="61" fillId="0" borderId="95" xfId="1" applyFont="1" applyBorder="1" applyAlignment="1">
      <alignment horizontal="center" vertical="center"/>
    </xf>
    <xf numFmtId="44" fontId="61" fillId="0" borderId="97" xfId="1" applyFont="1" applyBorder="1" applyAlignment="1">
      <alignment horizontal="center" vertical="center"/>
    </xf>
    <xf numFmtId="165" fontId="11" fillId="0" borderId="94" xfId="0" applyNumberFormat="1" applyFont="1" applyBorder="1" applyAlignment="1">
      <alignment horizontal="center" vertical="center"/>
    </xf>
    <xf numFmtId="165" fontId="11" fillId="0" borderId="96" xfId="0" applyNumberFormat="1" applyFont="1" applyBorder="1" applyAlignment="1">
      <alignment horizontal="center" vertical="center"/>
    </xf>
    <xf numFmtId="44" fontId="13" fillId="0" borderId="0" xfId="1" applyFont="1" applyFill="1" applyBorder="1" applyAlignment="1">
      <alignment horizontal="center" vertical="center"/>
    </xf>
    <xf numFmtId="44" fontId="11" fillId="0" borderId="0" xfId="1" applyFont="1" applyFill="1" applyBorder="1" applyAlignment="1">
      <alignment horizontal="center" vertical="center"/>
    </xf>
    <xf numFmtId="44" fontId="11" fillId="0" borderId="26" xfId="1" applyFont="1" applyBorder="1" applyAlignment="1">
      <alignment horizontal="center"/>
    </xf>
    <xf numFmtId="166" fontId="3" fillId="0" borderId="49" xfId="0" applyNumberFormat="1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44" fontId="11" fillId="3" borderId="74" xfId="0" applyNumberFormat="1" applyFont="1" applyFill="1" applyBorder="1" applyAlignment="1">
      <alignment horizontal="center"/>
    </xf>
    <xf numFmtId="44" fontId="11" fillId="3" borderId="0" xfId="0" applyNumberFormat="1" applyFont="1" applyFill="1" applyAlignment="1">
      <alignment horizontal="center"/>
    </xf>
    <xf numFmtId="0" fontId="11" fillId="3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CCFF"/>
      <color rgb="FF0000FF"/>
      <color rgb="FFCC99FF"/>
      <color rgb="FFFFCCFF"/>
      <color rgb="FFFF00FF"/>
      <color rgb="FF00FF99"/>
      <color rgb="FF66FFFF"/>
      <color rgb="FFCCFF66"/>
      <color rgb="FF00FF00"/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7443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7252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08632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542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5634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6</xdr:col>
      <xdr:colOff>95250</xdr:colOff>
      <xdr:row>37</xdr:row>
      <xdr:rowOff>38100</xdr:rowOff>
    </xdr:to>
    <xdr:sp macro="" textlink="">
      <xdr:nvSpPr>
        <xdr:cNvPr id="2" name="Cerrar llave 1"/>
        <xdr:cNvSpPr/>
      </xdr:nvSpPr>
      <xdr:spPr>
        <a:xfrm>
          <a:off x="4286250" y="847725"/>
          <a:ext cx="2028825" cy="7172325"/>
        </a:xfrm>
        <a:prstGeom prst="rightBrace">
          <a:avLst>
            <a:gd name="adj1" fmla="val 8333"/>
            <a:gd name="adj2" fmla="val 49867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523874</xdr:colOff>
      <xdr:row>2</xdr:row>
      <xdr:rowOff>19050</xdr:rowOff>
    </xdr:from>
    <xdr:to>
      <xdr:col>14</xdr:col>
      <xdr:colOff>28574</xdr:colOff>
      <xdr:row>29</xdr:row>
      <xdr:rowOff>85724</xdr:rowOff>
    </xdr:to>
    <xdr:sp macro="" textlink="">
      <xdr:nvSpPr>
        <xdr:cNvPr id="3" name="Cerrar llave 2"/>
        <xdr:cNvSpPr/>
      </xdr:nvSpPr>
      <xdr:spPr>
        <a:xfrm>
          <a:off x="11601449" y="847725"/>
          <a:ext cx="1819275" cy="5581649"/>
        </a:xfrm>
        <a:prstGeom prst="rightBrace">
          <a:avLst>
            <a:gd name="adj1" fmla="val 8333"/>
            <a:gd name="adj2" fmla="val 49662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776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586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965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9680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10</xdr:row>
      <xdr:rowOff>266700</xdr:rowOff>
    </xdr:from>
    <xdr:to>
      <xdr:col>5</xdr:col>
      <xdr:colOff>742950</xdr:colOff>
      <xdr:row>11</xdr:row>
      <xdr:rowOff>0</xdr:rowOff>
    </xdr:to>
    <xdr:cxnSp macro="">
      <xdr:nvCxnSpPr>
        <xdr:cNvPr id="3" name="Conector recto de flecha 2"/>
        <xdr:cNvCxnSpPr/>
      </xdr:nvCxnSpPr>
      <xdr:spPr>
        <a:xfrm>
          <a:off x="4000500" y="3695700"/>
          <a:ext cx="1628775" cy="1905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11</xdr:row>
      <xdr:rowOff>57150</xdr:rowOff>
    </xdr:from>
    <xdr:to>
      <xdr:col>6</xdr:col>
      <xdr:colOff>466725</xdr:colOff>
      <xdr:row>14</xdr:row>
      <xdr:rowOff>171450</xdr:rowOff>
    </xdr:to>
    <xdr:cxnSp macro="">
      <xdr:nvCxnSpPr>
        <xdr:cNvPr id="5" name="Conector recto de flecha 4"/>
        <xdr:cNvCxnSpPr/>
      </xdr:nvCxnSpPr>
      <xdr:spPr>
        <a:xfrm flipH="1">
          <a:off x="3924300" y="3943350"/>
          <a:ext cx="2190750" cy="7810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topLeftCell="A10" zoomScale="85" zoomScaleNormal="85" workbookViewId="0">
      <selection activeCell="F24" sqref="F24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597"/>
      <c r="C1" s="599" t="s">
        <v>25</v>
      </c>
      <c r="D1" s="600"/>
      <c r="E1" s="600"/>
      <c r="F1" s="600"/>
      <c r="G1" s="600"/>
      <c r="H1" s="600"/>
      <c r="I1" s="600"/>
      <c r="J1" s="600"/>
      <c r="K1" s="600"/>
      <c r="L1" s="600"/>
      <c r="M1" s="600"/>
    </row>
    <row r="2" spans="1:19" ht="16.5" thickBot="1" x14ac:dyDescent="0.3">
      <c r="B2" s="598"/>
      <c r="C2" s="3"/>
      <c r="H2" s="5"/>
      <c r="I2" s="6"/>
      <c r="J2" s="7"/>
      <c r="L2" s="8"/>
      <c r="M2" s="6"/>
      <c r="N2" s="9"/>
    </row>
    <row r="3" spans="1:19" ht="21.75" thickBot="1" x14ac:dyDescent="0.35">
      <c r="B3" s="601" t="s">
        <v>0</v>
      </c>
      <c r="C3" s="602"/>
      <c r="D3" s="10"/>
      <c r="E3" s="11"/>
      <c r="F3" s="11"/>
      <c r="H3" s="603" t="s">
        <v>26</v>
      </c>
      <c r="I3" s="603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604" t="s">
        <v>2</v>
      </c>
      <c r="F4" s="605"/>
      <c r="H4" s="606" t="s">
        <v>3</v>
      </c>
      <c r="I4" s="607"/>
      <c r="J4" s="19"/>
      <c r="K4" s="166"/>
      <c r="L4" s="20"/>
      <c r="M4" s="21" t="s">
        <v>4</v>
      </c>
      <c r="N4" s="22" t="s">
        <v>5</v>
      </c>
      <c r="P4" s="613" t="s">
        <v>6</v>
      </c>
      <c r="Q4" s="614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 t="shared" ref="P9:P14" si="2"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si="2"/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si="2"/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615">
        <f>SUM(M5:M38)</f>
        <v>247061</v>
      </c>
      <c r="N39" s="617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616"/>
      <c r="N40" s="618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619" t="s">
        <v>11</v>
      </c>
      <c r="I52" s="620"/>
      <c r="J52" s="100"/>
      <c r="K52" s="621">
        <f>I50+L50</f>
        <v>53873.49</v>
      </c>
      <c r="L52" s="622"/>
      <c r="M52" s="623">
        <f>N39+M39</f>
        <v>419924</v>
      </c>
      <c r="N52" s="624"/>
      <c r="P52" s="34"/>
      <c r="Q52" s="9"/>
    </row>
    <row r="53" spans="1:17" ht="15.75" x14ac:dyDescent="0.25">
      <c r="D53" s="625" t="s">
        <v>12</v>
      </c>
      <c r="E53" s="625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625" t="s">
        <v>95</v>
      </c>
      <c r="E54" s="625"/>
      <c r="F54" s="96">
        <v>-549976.4</v>
      </c>
      <c r="I54" s="626" t="s">
        <v>13</v>
      </c>
      <c r="J54" s="627"/>
      <c r="K54" s="628">
        <f>F56+F57+F58</f>
        <v>-24577.400000000023</v>
      </c>
      <c r="L54" s="629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630">
        <f>-C4</f>
        <v>0</v>
      </c>
      <c r="L56" s="631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608" t="s">
        <v>18</v>
      </c>
      <c r="E58" s="609"/>
      <c r="F58" s="113">
        <v>567389.35</v>
      </c>
      <c r="I58" s="610" t="s">
        <v>97</v>
      </c>
      <c r="J58" s="611"/>
      <c r="K58" s="612">
        <f>K54+K56</f>
        <v>-24577.400000000023</v>
      </c>
      <c r="L58" s="612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5"/>
  <sheetViews>
    <sheetView topLeftCell="A43" zoomScale="130" zoomScaleNormal="130" workbookViewId="0">
      <selection activeCell="A75" sqref="A75:C75"/>
    </sheetView>
  </sheetViews>
  <sheetFormatPr baseColWidth="10" defaultRowHeight="15" x14ac:dyDescent="0.25"/>
  <cols>
    <col min="1" max="1" width="13.42578125" style="434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6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27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2"/>
      <c r="M1" s="303"/>
      <c r="N1" s="377" t="s">
        <v>314</v>
      </c>
    </row>
    <row r="2" spans="1:14" ht="21.75" customHeight="1" thickTop="1" thickBot="1" x14ac:dyDescent="0.35">
      <c r="A2" s="428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3" t="s">
        <v>22</v>
      </c>
      <c r="M2" s="299" t="s">
        <v>23</v>
      </c>
      <c r="N2" s="309" t="s">
        <v>210</v>
      </c>
    </row>
    <row r="3" spans="1:14" ht="15.75" x14ac:dyDescent="0.25">
      <c r="A3" s="429">
        <v>44592</v>
      </c>
      <c r="B3" s="437" t="s">
        <v>472</v>
      </c>
      <c r="C3" s="392">
        <v>2742.6</v>
      </c>
      <c r="D3" s="405">
        <v>44617</v>
      </c>
      <c r="E3" s="392">
        <v>2742.6</v>
      </c>
      <c r="F3" s="392">
        <f>C3-E3</f>
        <v>0</v>
      </c>
      <c r="I3" s="394" t="s">
        <v>373</v>
      </c>
      <c r="J3" s="391">
        <v>8445</v>
      </c>
      <c r="K3" s="392">
        <v>1315</v>
      </c>
      <c r="L3" s="474">
        <v>44643</v>
      </c>
      <c r="M3" s="392">
        <v>1315</v>
      </c>
      <c r="N3" s="183">
        <f>K3-M3</f>
        <v>0</v>
      </c>
    </row>
    <row r="4" spans="1:14" ht="18.75" x14ac:dyDescent="0.3">
      <c r="A4" s="429">
        <v>44593</v>
      </c>
      <c r="B4" s="437" t="s">
        <v>473</v>
      </c>
      <c r="C4" s="392">
        <v>139150.76</v>
      </c>
      <c r="D4" s="405">
        <v>44617</v>
      </c>
      <c r="E4" s="392">
        <v>139150.76</v>
      </c>
      <c r="F4" s="392">
        <f t="shared" ref="F4:F67" si="0">C4-E4</f>
        <v>0</v>
      </c>
      <c r="G4" s="138"/>
      <c r="I4" s="394" t="s">
        <v>373</v>
      </c>
      <c r="J4" s="391">
        <v>8449</v>
      </c>
      <c r="K4" s="392">
        <v>272.8</v>
      </c>
      <c r="L4" s="475">
        <v>44643</v>
      </c>
      <c r="M4" s="392">
        <v>272.8</v>
      </c>
      <c r="N4" s="137">
        <f>N3+K4-M4</f>
        <v>0</v>
      </c>
    </row>
    <row r="5" spans="1:14" ht="15.75" x14ac:dyDescent="0.25">
      <c r="A5" s="429">
        <v>44593</v>
      </c>
      <c r="B5" s="437" t="s">
        <v>474</v>
      </c>
      <c r="C5" s="392">
        <v>4949</v>
      </c>
      <c r="D5" s="405">
        <v>44617</v>
      </c>
      <c r="E5" s="392">
        <v>4949</v>
      </c>
      <c r="F5" s="392">
        <f t="shared" si="0"/>
        <v>0</v>
      </c>
      <c r="I5" s="394" t="s">
        <v>349</v>
      </c>
      <c r="J5" s="391">
        <v>8457</v>
      </c>
      <c r="K5" s="392">
        <v>84434.880000000005</v>
      </c>
      <c r="L5" s="475">
        <v>44643</v>
      </c>
      <c r="M5" s="392">
        <v>84434.880000000005</v>
      </c>
      <c r="N5" s="137">
        <f t="shared" ref="N5:N68" si="1">N4+K5-M5</f>
        <v>0</v>
      </c>
    </row>
    <row r="6" spans="1:14" ht="15.75" x14ac:dyDescent="0.25">
      <c r="A6" s="429">
        <v>44593</v>
      </c>
      <c r="B6" s="437" t="s">
        <v>475</v>
      </c>
      <c r="C6" s="392">
        <v>1080</v>
      </c>
      <c r="D6" s="405">
        <v>44617</v>
      </c>
      <c r="E6" s="392">
        <v>1080</v>
      </c>
      <c r="F6" s="392">
        <f t="shared" si="0"/>
        <v>0</v>
      </c>
      <c r="I6" s="394" t="s">
        <v>548</v>
      </c>
      <c r="J6" s="391">
        <v>8461</v>
      </c>
      <c r="K6" s="392">
        <v>10050.200000000001</v>
      </c>
      <c r="L6" s="475">
        <v>44643</v>
      </c>
      <c r="M6" s="392">
        <v>10050.200000000001</v>
      </c>
      <c r="N6" s="137">
        <f t="shared" si="1"/>
        <v>0</v>
      </c>
    </row>
    <row r="7" spans="1:14" ht="15.75" x14ac:dyDescent="0.25">
      <c r="A7" s="429">
        <v>44593</v>
      </c>
      <c r="B7" s="437" t="s">
        <v>476</v>
      </c>
      <c r="C7" s="392">
        <v>29260.799999999999</v>
      </c>
      <c r="D7" s="405">
        <v>44617</v>
      </c>
      <c r="E7" s="392">
        <v>29260.799999999999</v>
      </c>
      <c r="F7" s="392">
        <f t="shared" si="0"/>
        <v>0</v>
      </c>
      <c r="I7" s="394" t="s">
        <v>549</v>
      </c>
      <c r="J7" s="391">
        <v>8474</v>
      </c>
      <c r="K7" s="392">
        <v>1412.2</v>
      </c>
      <c r="L7" s="475">
        <v>44643</v>
      </c>
      <c r="M7" s="392">
        <v>1412.2</v>
      </c>
      <c r="N7" s="137">
        <f t="shared" si="1"/>
        <v>0</v>
      </c>
    </row>
    <row r="8" spans="1:14" ht="15.75" x14ac:dyDescent="0.25">
      <c r="A8" s="429">
        <v>44594</v>
      </c>
      <c r="B8" s="437" t="s">
        <v>477</v>
      </c>
      <c r="C8" s="392">
        <v>4790.8</v>
      </c>
      <c r="D8" s="405">
        <v>44617</v>
      </c>
      <c r="E8" s="392">
        <v>4790.8</v>
      </c>
      <c r="F8" s="392">
        <f t="shared" si="0"/>
        <v>0</v>
      </c>
      <c r="I8" s="394" t="s">
        <v>550</v>
      </c>
      <c r="J8" s="391">
        <v>8485</v>
      </c>
      <c r="K8" s="392">
        <v>12456.4</v>
      </c>
      <c r="L8" s="475">
        <v>44643</v>
      </c>
      <c r="M8" s="392">
        <v>12456.4</v>
      </c>
      <c r="N8" s="137">
        <f t="shared" si="1"/>
        <v>0</v>
      </c>
    </row>
    <row r="9" spans="1:14" ht="15.75" x14ac:dyDescent="0.25">
      <c r="A9" s="429">
        <v>44594</v>
      </c>
      <c r="B9" s="437" t="s">
        <v>478</v>
      </c>
      <c r="C9" s="392">
        <v>31559.200000000001</v>
      </c>
      <c r="D9" s="405">
        <v>44617</v>
      </c>
      <c r="E9" s="392">
        <v>31559.200000000001</v>
      </c>
      <c r="F9" s="392">
        <f t="shared" si="0"/>
        <v>0</v>
      </c>
      <c r="I9" s="394" t="s">
        <v>551</v>
      </c>
      <c r="J9" s="391">
        <v>8490</v>
      </c>
      <c r="K9" s="392">
        <v>69960</v>
      </c>
      <c r="L9" s="475">
        <v>44643</v>
      </c>
      <c r="M9" s="392">
        <v>69960</v>
      </c>
      <c r="N9" s="137">
        <f t="shared" si="1"/>
        <v>0</v>
      </c>
    </row>
    <row r="10" spans="1:14" ht="18.75" x14ac:dyDescent="0.3">
      <c r="A10" s="429">
        <v>44595</v>
      </c>
      <c r="B10" s="437" t="s">
        <v>479</v>
      </c>
      <c r="C10" s="392">
        <v>43550.76</v>
      </c>
      <c r="D10" s="405">
        <v>44617</v>
      </c>
      <c r="E10" s="392">
        <v>43550.76</v>
      </c>
      <c r="F10" s="392">
        <f t="shared" si="0"/>
        <v>0</v>
      </c>
      <c r="G10" s="138"/>
      <c r="I10" s="394" t="s">
        <v>552</v>
      </c>
      <c r="J10" s="391">
        <v>8497</v>
      </c>
      <c r="K10" s="392">
        <v>2609.4</v>
      </c>
      <c r="L10" s="475">
        <v>44643</v>
      </c>
      <c r="M10" s="392">
        <v>2609.4</v>
      </c>
      <c r="N10" s="137">
        <f t="shared" si="1"/>
        <v>0</v>
      </c>
    </row>
    <row r="11" spans="1:14" ht="15.75" x14ac:dyDescent="0.25">
      <c r="A11" s="429">
        <v>44595</v>
      </c>
      <c r="B11" s="437" t="s">
        <v>481</v>
      </c>
      <c r="C11" s="392">
        <v>9720</v>
      </c>
      <c r="D11" s="405">
        <v>44617</v>
      </c>
      <c r="E11" s="392">
        <v>9720</v>
      </c>
      <c r="F11" s="392">
        <f t="shared" si="0"/>
        <v>0</v>
      </c>
      <c r="I11" s="394" t="s">
        <v>552</v>
      </c>
      <c r="J11" s="391">
        <v>8501</v>
      </c>
      <c r="K11" s="392">
        <v>26863.200000000001</v>
      </c>
      <c r="L11" s="475">
        <v>44643</v>
      </c>
      <c r="M11" s="392">
        <v>26863.200000000001</v>
      </c>
      <c r="N11" s="137">
        <f t="shared" si="1"/>
        <v>0</v>
      </c>
    </row>
    <row r="12" spans="1:14" ht="15.75" x14ac:dyDescent="0.25">
      <c r="A12" s="429">
        <v>44595</v>
      </c>
      <c r="B12" s="437" t="s">
        <v>480</v>
      </c>
      <c r="C12" s="392">
        <v>2646</v>
      </c>
      <c r="D12" s="405">
        <v>44617</v>
      </c>
      <c r="E12" s="392">
        <v>2646</v>
      </c>
      <c r="F12" s="392">
        <f t="shared" si="0"/>
        <v>0</v>
      </c>
      <c r="I12" s="394" t="s">
        <v>552</v>
      </c>
      <c r="J12" s="391">
        <v>8502</v>
      </c>
      <c r="K12" s="392">
        <v>1443.2</v>
      </c>
      <c r="L12" s="475">
        <v>44643</v>
      </c>
      <c r="M12" s="392">
        <v>1443.2</v>
      </c>
      <c r="N12" s="137">
        <f t="shared" si="1"/>
        <v>0</v>
      </c>
    </row>
    <row r="13" spans="1:14" ht="15.75" x14ac:dyDescent="0.25">
      <c r="A13" s="429">
        <v>44595</v>
      </c>
      <c r="B13" s="437" t="s">
        <v>482</v>
      </c>
      <c r="C13" s="392">
        <v>3166.5</v>
      </c>
      <c r="D13" s="405">
        <v>44617</v>
      </c>
      <c r="E13" s="392">
        <v>3166.5</v>
      </c>
      <c r="F13" s="392">
        <f t="shared" si="0"/>
        <v>0</v>
      </c>
      <c r="I13" s="394" t="s">
        <v>553</v>
      </c>
      <c r="J13" s="391">
        <v>8504</v>
      </c>
      <c r="K13" s="392">
        <v>1760.2</v>
      </c>
      <c r="L13" s="475">
        <v>44643</v>
      </c>
      <c r="M13" s="392">
        <v>1760.2</v>
      </c>
      <c r="N13" s="137">
        <f t="shared" si="1"/>
        <v>0</v>
      </c>
    </row>
    <row r="14" spans="1:14" ht="15.75" x14ac:dyDescent="0.25">
      <c r="A14" s="429">
        <v>44596</v>
      </c>
      <c r="B14" s="437" t="s">
        <v>483</v>
      </c>
      <c r="C14" s="392">
        <v>47607.24</v>
      </c>
      <c r="D14" s="405">
        <v>44617</v>
      </c>
      <c r="E14" s="392">
        <v>47607.24</v>
      </c>
      <c r="F14" s="392">
        <f t="shared" si="0"/>
        <v>0</v>
      </c>
      <c r="I14" s="394" t="s">
        <v>553</v>
      </c>
      <c r="J14" s="391">
        <v>8505</v>
      </c>
      <c r="K14" s="392">
        <v>103232.8</v>
      </c>
      <c r="L14" s="475">
        <v>44643</v>
      </c>
      <c r="M14" s="392">
        <v>103232.8</v>
      </c>
      <c r="N14" s="137">
        <f t="shared" si="1"/>
        <v>0</v>
      </c>
    </row>
    <row r="15" spans="1:14" ht="15.75" x14ac:dyDescent="0.25">
      <c r="A15" s="429">
        <v>44596</v>
      </c>
      <c r="B15" s="437" t="s">
        <v>484</v>
      </c>
      <c r="C15" s="392">
        <v>65351.82</v>
      </c>
      <c r="D15" s="405">
        <v>44617</v>
      </c>
      <c r="E15" s="392">
        <v>65351.82</v>
      </c>
      <c r="F15" s="392">
        <f t="shared" si="0"/>
        <v>0</v>
      </c>
      <c r="I15" s="394" t="s">
        <v>553</v>
      </c>
      <c r="J15" s="391">
        <v>8506</v>
      </c>
      <c r="K15" s="392">
        <v>16973.599999999999</v>
      </c>
      <c r="L15" s="475">
        <v>44643</v>
      </c>
      <c r="M15" s="392">
        <v>16973.599999999999</v>
      </c>
      <c r="N15" s="137">
        <f t="shared" si="1"/>
        <v>0</v>
      </c>
    </row>
    <row r="16" spans="1:14" ht="15.75" x14ac:dyDescent="0.25">
      <c r="A16" s="429">
        <v>44596</v>
      </c>
      <c r="B16" s="437" t="s">
        <v>485</v>
      </c>
      <c r="C16" s="392">
        <v>175.2</v>
      </c>
      <c r="D16" s="405">
        <v>44617</v>
      </c>
      <c r="E16" s="392">
        <v>175.2</v>
      </c>
      <c r="F16" s="392">
        <f t="shared" si="0"/>
        <v>0</v>
      </c>
      <c r="I16" s="394" t="s">
        <v>554</v>
      </c>
      <c r="J16" s="391">
        <v>8512</v>
      </c>
      <c r="K16" s="392">
        <v>31269.200000000001</v>
      </c>
      <c r="L16" s="475">
        <v>44643</v>
      </c>
      <c r="M16" s="392">
        <v>31269.200000000001</v>
      </c>
      <c r="N16" s="137">
        <f t="shared" si="1"/>
        <v>0</v>
      </c>
    </row>
    <row r="17" spans="1:14" ht="15.75" x14ac:dyDescent="0.25">
      <c r="A17" s="429">
        <v>44597</v>
      </c>
      <c r="B17" s="437" t="s">
        <v>486</v>
      </c>
      <c r="C17" s="392">
        <v>62468.800000000003</v>
      </c>
      <c r="D17" s="405">
        <v>44617</v>
      </c>
      <c r="E17" s="392">
        <v>62468.800000000003</v>
      </c>
      <c r="F17" s="392">
        <f t="shared" si="0"/>
        <v>0</v>
      </c>
      <c r="I17" s="394" t="s">
        <v>555</v>
      </c>
      <c r="J17" s="391">
        <v>8520</v>
      </c>
      <c r="K17" s="392">
        <v>940</v>
      </c>
      <c r="L17" s="475">
        <v>44643</v>
      </c>
      <c r="M17" s="392">
        <v>940</v>
      </c>
      <c r="N17" s="137">
        <f t="shared" si="1"/>
        <v>0</v>
      </c>
    </row>
    <row r="18" spans="1:14" ht="15.75" x14ac:dyDescent="0.25">
      <c r="A18" s="429">
        <v>44597</v>
      </c>
      <c r="B18" s="437" t="s">
        <v>487</v>
      </c>
      <c r="C18" s="392">
        <v>2476.5</v>
      </c>
      <c r="D18" s="405">
        <v>44617</v>
      </c>
      <c r="E18" s="392">
        <v>2476.5</v>
      </c>
      <c r="F18" s="392">
        <f t="shared" si="0"/>
        <v>0</v>
      </c>
      <c r="I18" s="394" t="s">
        <v>555</v>
      </c>
      <c r="J18" s="391">
        <v>8522</v>
      </c>
      <c r="K18" s="392">
        <v>123992.8</v>
      </c>
      <c r="L18" s="475">
        <v>44643</v>
      </c>
      <c r="M18" s="392">
        <v>123992.8</v>
      </c>
      <c r="N18" s="137">
        <f t="shared" si="1"/>
        <v>0</v>
      </c>
    </row>
    <row r="19" spans="1:14" ht="15.75" x14ac:dyDescent="0.25">
      <c r="A19" s="429">
        <v>44599</v>
      </c>
      <c r="B19" s="437" t="s">
        <v>488</v>
      </c>
      <c r="C19" s="392">
        <v>3781.6</v>
      </c>
      <c r="D19" s="405">
        <v>44617</v>
      </c>
      <c r="E19" s="392">
        <v>3781.6</v>
      </c>
      <c r="F19" s="392">
        <f t="shared" si="0"/>
        <v>0</v>
      </c>
      <c r="I19" s="394" t="s">
        <v>556</v>
      </c>
      <c r="J19" s="391">
        <v>8526</v>
      </c>
      <c r="K19" s="392">
        <v>15453.4</v>
      </c>
      <c r="L19" s="475">
        <v>44643</v>
      </c>
      <c r="M19" s="392">
        <v>15453.4</v>
      </c>
      <c r="N19" s="137">
        <f t="shared" si="1"/>
        <v>0</v>
      </c>
    </row>
    <row r="20" spans="1:14" ht="15.75" x14ac:dyDescent="0.25">
      <c r="A20" s="429">
        <v>44600</v>
      </c>
      <c r="B20" s="437" t="s">
        <v>489</v>
      </c>
      <c r="C20" s="392">
        <v>71765.55</v>
      </c>
      <c r="D20" s="405">
        <v>44617</v>
      </c>
      <c r="E20" s="392">
        <v>71765.55</v>
      </c>
      <c r="F20" s="392">
        <f t="shared" si="0"/>
        <v>0</v>
      </c>
      <c r="I20" s="394" t="s">
        <v>557</v>
      </c>
      <c r="J20" s="391">
        <v>8534</v>
      </c>
      <c r="K20" s="392">
        <v>0</v>
      </c>
      <c r="L20" s="475">
        <v>44643</v>
      </c>
      <c r="M20" s="392">
        <v>0</v>
      </c>
      <c r="N20" s="137">
        <f t="shared" si="1"/>
        <v>0</v>
      </c>
    </row>
    <row r="21" spans="1:14" ht="15.75" x14ac:dyDescent="0.25">
      <c r="A21" s="429">
        <v>44600</v>
      </c>
      <c r="B21" s="437" t="s">
        <v>490</v>
      </c>
      <c r="C21" s="392">
        <v>2798.4</v>
      </c>
      <c r="D21" s="405">
        <v>44617</v>
      </c>
      <c r="E21" s="392">
        <v>2798.4</v>
      </c>
      <c r="F21" s="392">
        <f t="shared" si="0"/>
        <v>0</v>
      </c>
      <c r="I21" s="394" t="s">
        <v>557</v>
      </c>
      <c r="J21" s="391">
        <v>8536</v>
      </c>
      <c r="K21" s="392">
        <v>1596.8</v>
      </c>
      <c r="L21" s="475">
        <v>44643</v>
      </c>
      <c r="M21" s="392">
        <v>1596.8</v>
      </c>
      <c r="N21" s="137">
        <f t="shared" si="1"/>
        <v>0</v>
      </c>
    </row>
    <row r="22" spans="1:14" ht="18.75" x14ac:dyDescent="0.3">
      <c r="A22" s="429">
        <v>44601</v>
      </c>
      <c r="B22" s="437" t="s">
        <v>491</v>
      </c>
      <c r="C22" s="392">
        <v>8720.9</v>
      </c>
      <c r="D22" s="405">
        <v>44617</v>
      </c>
      <c r="E22" s="392">
        <v>8720.9</v>
      </c>
      <c r="F22" s="392">
        <f t="shared" si="0"/>
        <v>0</v>
      </c>
      <c r="G22" s="138"/>
      <c r="I22" s="394" t="s">
        <v>557</v>
      </c>
      <c r="J22" s="391">
        <v>8540</v>
      </c>
      <c r="K22" s="392">
        <v>7233.2</v>
      </c>
      <c r="L22" s="475">
        <v>44643</v>
      </c>
      <c r="M22" s="392">
        <v>7233.2</v>
      </c>
      <c r="N22" s="137">
        <f t="shared" si="1"/>
        <v>0</v>
      </c>
    </row>
    <row r="23" spans="1:14" ht="15.75" x14ac:dyDescent="0.25">
      <c r="A23" s="429">
        <v>44601</v>
      </c>
      <c r="B23" s="437" t="s">
        <v>492</v>
      </c>
      <c r="C23" s="392">
        <v>55980</v>
      </c>
      <c r="D23" s="405">
        <v>44617</v>
      </c>
      <c r="E23" s="392">
        <v>55980</v>
      </c>
      <c r="F23" s="392">
        <f t="shared" si="0"/>
        <v>0</v>
      </c>
      <c r="I23" s="394" t="s">
        <v>558</v>
      </c>
      <c r="J23" s="391">
        <v>8545</v>
      </c>
      <c r="K23" s="392">
        <v>7654.4</v>
      </c>
      <c r="L23" s="475">
        <v>44643</v>
      </c>
      <c r="M23" s="392">
        <v>7654.4</v>
      </c>
      <c r="N23" s="137">
        <f t="shared" si="1"/>
        <v>0</v>
      </c>
    </row>
    <row r="24" spans="1:14" ht="15.75" x14ac:dyDescent="0.25">
      <c r="A24" s="429">
        <v>44601</v>
      </c>
      <c r="B24" s="437" t="s">
        <v>493</v>
      </c>
      <c r="C24" s="392">
        <v>6934.5</v>
      </c>
      <c r="D24" s="405">
        <v>44617</v>
      </c>
      <c r="E24" s="392">
        <v>6934.5</v>
      </c>
      <c r="F24" s="392">
        <f t="shared" si="0"/>
        <v>0</v>
      </c>
      <c r="I24" s="394" t="s">
        <v>558</v>
      </c>
      <c r="J24" s="391">
        <v>8546</v>
      </c>
      <c r="K24" s="392">
        <v>270</v>
      </c>
      <c r="L24" s="475">
        <v>44643</v>
      </c>
      <c r="M24" s="392">
        <v>270</v>
      </c>
      <c r="N24" s="137">
        <f t="shared" si="1"/>
        <v>0</v>
      </c>
    </row>
    <row r="25" spans="1:14" ht="15.75" x14ac:dyDescent="0.25">
      <c r="A25" s="429">
        <v>44602</v>
      </c>
      <c r="B25" s="437" t="s">
        <v>494</v>
      </c>
      <c r="C25" s="392">
        <v>27574.5</v>
      </c>
      <c r="D25" s="405">
        <v>44617</v>
      </c>
      <c r="E25" s="392">
        <v>27574.5</v>
      </c>
      <c r="F25" s="392">
        <f t="shared" si="0"/>
        <v>0</v>
      </c>
      <c r="I25" s="394" t="s">
        <v>559</v>
      </c>
      <c r="J25" s="391">
        <v>8551</v>
      </c>
      <c r="K25" s="392">
        <v>583.20000000000005</v>
      </c>
      <c r="L25" s="475">
        <v>44643</v>
      </c>
      <c r="M25" s="392">
        <v>583.20000000000005</v>
      </c>
      <c r="N25" s="137">
        <f t="shared" si="1"/>
        <v>0</v>
      </c>
    </row>
    <row r="26" spans="1:14" ht="15.75" x14ac:dyDescent="0.25">
      <c r="A26" s="429">
        <v>44603</v>
      </c>
      <c r="B26" s="437" t="s">
        <v>495</v>
      </c>
      <c r="C26" s="392">
        <v>32211.8</v>
      </c>
      <c r="D26" s="405">
        <v>44617</v>
      </c>
      <c r="E26" s="392">
        <v>32211.8</v>
      </c>
      <c r="F26" s="392">
        <f t="shared" si="0"/>
        <v>0</v>
      </c>
      <c r="I26" s="394" t="s">
        <v>560</v>
      </c>
      <c r="J26" s="391">
        <v>8558</v>
      </c>
      <c r="K26" s="392">
        <v>2462.8000000000002</v>
      </c>
      <c r="L26" s="475">
        <v>44643</v>
      </c>
      <c r="M26" s="392">
        <v>2462.8000000000002</v>
      </c>
      <c r="N26" s="137">
        <f t="shared" si="1"/>
        <v>0</v>
      </c>
    </row>
    <row r="27" spans="1:14" ht="15.75" x14ac:dyDescent="0.25">
      <c r="A27" s="429">
        <v>44603</v>
      </c>
      <c r="B27" s="437" t="s">
        <v>496</v>
      </c>
      <c r="C27" s="392">
        <v>400</v>
      </c>
      <c r="D27" s="405">
        <v>44617</v>
      </c>
      <c r="E27" s="392">
        <v>400</v>
      </c>
      <c r="F27" s="392">
        <f t="shared" si="0"/>
        <v>0</v>
      </c>
      <c r="I27" s="394" t="s">
        <v>561</v>
      </c>
      <c r="J27" s="391">
        <v>8564</v>
      </c>
      <c r="K27" s="392">
        <v>3085.4</v>
      </c>
      <c r="L27" s="475">
        <v>44643</v>
      </c>
      <c r="M27" s="392">
        <v>3085.4</v>
      </c>
      <c r="N27" s="137">
        <f t="shared" si="1"/>
        <v>0</v>
      </c>
    </row>
    <row r="28" spans="1:14" ht="15.75" x14ac:dyDescent="0.25">
      <c r="A28" s="429">
        <v>44604</v>
      </c>
      <c r="B28" s="437" t="s">
        <v>497</v>
      </c>
      <c r="C28" s="392">
        <v>55111.8</v>
      </c>
      <c r="D28" s="405">
        <v>44617</v>
      </c>
      <c r="E28" s="392">
        <v>55111.8</v>
      </c>
      <c r="F28" s="392">
        <f t="shared" si="0"/>
        <v>0</v>
      </c>
      <c r="I28" s="394" t="s">
        <v>562</v>
      </c>
      <c r="J28" s="391">
        <v>8573</v>
      </c>
      <c r="K28" s="392">
        <v>2662.4</v>
      </c>
      <c r="L28" s="475">
        <v>44643</v>
      </c>
      <c r="M28" s="392">
        <v>2662.4</v>
      </c>
      <c r="N28" s="137">
        <f t="shared" si="1"/>
        <v>0</v>
      </c>
    </row>
    <row r="29" spans="1:14" ht="15.75" x14ac:dyDescent="0.25">
      <c r="A29" s="429">
        <v>44604</v>
      </c>
      <c r="B29" s="437" t="s">
        <v>498</v>
      </c>
      <c r="C29" s="392">
        <v>149188.5</v>
      </c>
      <c r="D29" s="405">
        <v>44617</v>
      </c>
      <c r="E29" s="392">
        <v>149188.5</v>
      </c>
      <c r="F29" s="392">
        <f t="shared" si="0"/>
        <v>0</v>
      </c>
      <c r="I29" s="394" t="s">
        <v>563</v>
      </c>
      <c r="J29" s="391">
        <v>8577</v>
      </c>
      <c r="K29" s="392">
        <v>2100</v>
      </c>
      <c r="L29" s="475">
        <v>44643</v>
      </c>
      <c r="M29" s="392">
        <v>2100</v>
      </c>
      <c r="N29" s="137">
        <f t="shared" si="1"/>
        <v>0</v>
      </c>
    </row>
    <row r="30" spans="1:14" ht="18.75" x14ac:dyDescent="0.3">
      <c r="A30" s="429">
        <v>44604</v>
      </c>
      <c r="B30" s="437" t="s">
        <v>499</v>
      </c>
      <c r="C30" s="392">
        <v>4932</v>
      </c>
      <c r="D30" s="405">
        <v>44617</v>
      </c>
      <c r="E30" s="392">
        <v>4932</v>
      </c>
      <c r="F30" s="392">
        <f t="shared" si="0"/>
        <v>0</v>
      </c>
      <c r="G30" s="138"/>
      <c r="I30" s="394" t="s">
        <v>564</v>
      </c>
      <c r="J30" s="391">
        <v>8581</v>
      </c>
      <c r="K30" s="392">
        <v>8324.6</v>
      </c>
      <c r="L30" s="475">
        <v>44643</v>
      </c>
      <c r="M30" s="392">
        <v>8324.6</v>
      </c>
      <c r="N30" s="137">
        <f t="shared" si="1"/>
        <v>0</v>
      </c>
    </row>
    <row r="31" spans="1:14" ht="15.75" x14ac:dyDescent="0.25">
      <c r="A31" s="429">
        <v>44604</v>
      </c>
      <c r="B31" s="437" t="s">
        <v>500</v>
      </c>
      <c r="C31" s="392">
        <v>16409.900000000001</v>
      </c>
      <c r="D31" s="405">
        <v>44617</v>
      </c>
      <c r="E31" s="392">
        <v>16409.900000000001</v>
      </c>
      <c r="F31" s="392">
        <f t="shared" si="0"/>
        <v>0</v>
      </c>
      <c r="I31" s="394" t="s">
        <v>565</v>
      </c>
      <c r="J31" s="391">
        <v>8588</v>
      </c>
      <c r="K31" s="392">
        <v>730.4</v>
      </c>
      <c r="L31" s="475">
        <v>44643</v>
      </c>
      <c r="M31" s="392">
        <v>730.4</v>
      </c>
      <c r="N31" s="137">
        <f t="shared" si="1"/>
        <v>0</v>
      </c>
    </row>
    <row r="32" spans="1:14" ht="15.75" x14ac:dyDescent="0.25">
      <c r="A32" s="429">
        <v>44606</v>
      </c>
      <c r="B32" s="437" t="s">
        <v>501</v>
      </c>
      <c r="C32" s="392">
        <v>38081.4</v>
      </c>
      <c r="D32" s="405">
        <v>44617</v>
      </c>
      <c r="E32" s="392">
        <v>38081.4</v>
      </c>
      <c r="F32" s="392">
        <f t="shared" si="0"/>
        <v>0</v>
      </c>
      <c r="I32" s="394" t="s">
        <v>565</v>
      </c>
      <c r="J32" s="391">
        <v>8589</v>
      </c>
      <c r="K32" s="392">
        <v>2296</v>
      </c>
      <c r="L32" s="475">
        <v>44643</v>
      </c>
      <c r="M32" s="392">
        <v>2296</v>
      </c>
      <c r="N32" s="137">
        <f t="shared" si="1"/>
        <v>0</v>
      </c>
    </row>
    <row r="33" spans="1:14" ht="15.75" x14ac:dyDescent="0.25">
      <c r="A33" s="429">
        <v>44607</v>
      </c>
      <c r="B33" s="437" t="s">
        <v>502</v>
      </c>
      <c r="C33" s="392">
        <v>42433.4</v>
      </c>
      <c r="D33" s="405">
        <v>44617</v>
      </c>
      <c r="E33" s="392">
        <v>42433.4</v>
      </c>
      <c r="F33" s="392">
        <f t="shared" si="0"/>
        <v>0</v>
      </c>
      <c r="I33" s="394" t="s">
        <v>566</v>
      </c>
      <c r="J33" s="391">
        <v>8599</v>
      </c>
      <c r="K33" s="392">
        <v>4034.6</v>
      </c>
      <c r="L33" s="475">
        <v>44643</v>
      </c>
      <c r="M33" s="392">
        <v>4034.6</v>
      </c>
      <c r="N33" s="137">
        <f t="shared" si="1"/>
        <v>0</v>
      </c>
    </row>
    <row r="34" spans="1:14" ht="15.75" x14ac:dyDescent="0.25">
      <c r="A34" s="429">
        <v>44607</v>
      </c>
      <c r="B34" s="437" t="s">
        <v>503</v>
      </c>
      <c r="C34" s="392">
        <v>46641.599999999999</v>
      </c>
      <c r="D34" s="405">
        <v>44617</v>
      </c>
      <c r="E34" s="392">
        <v>46641.599999999999</v>
      </c>
      <c r="F34" s="392">
        <f t="shared" si="0"/>
        <v>0</v>
      </c>
      <c r="I34" s="394" t="s">
        <v>567</v>
      </c>
      <c r="J34" s="391">
        <v>8611</v>
      </c>
      <c r="K34" s="392">
        <v>360</v>
      </c>
      <c r="L34" s="475">
        <v>44643</v>
      </c>
      <c r="M34" s="392">
        <v>360</v>
      </c>
      <c r="N34" s="137">
        <f t="shared" si="1"/>
        <v>0</v>
      </c>
    </row>
    <row r="35" spans="1:14" ht="15.75" x14ac:dyDescent="0.25">
      <c r="A35" s="429">
        <v>44607</v>
      </c>
      <c r="B35" s="437" t="s">
        <v>504</v>
      </c>
      <c r="C35" s="392">
        <v>840</v>
      </c>
      <c r="D35" s="405">
        <v>44617</v>
      </c>
      <c r="E35" s="392">
        <v>840</v>
      </c>
      <c r="F35" s="392">
        <f t="shared" si="0"/>
        <v>0</v>
      </c>
      <c r="I35" s="394" t="s">
        <v>567</v>
      </c>
      <c r="J35" s="391">
        <v>8614</v>
      </c>
      <c r="K35" s="392">
        <v>2121</v>
      </c>
      <c r="L35" s="475">
        <v>44643</v>
      </c>
      <c r="M35" s="392">
        <v>2121</v>
      </c>
      <c r="N35" s="137">
        <f t="shared" si="1"/>
        <v>0</v>
      </c>
    </row>
    <row r="36" spans="1:14" ht="15.75" x14ac:dyDescent="0.25">
      <c r="A36" s="429">
        <v>44608</v>
      </c>
      <c r="B36" s="437" t="s">
        <v>505</v>
      </c>
      <c r="C36" s="392">
        <v>34550.68</v>
      </c>
      <c r="D36" s="405">
        <v>44617</v>
      </c>
      <c r="E36" s="392">
        <v>34550.68</v>
      </c>
      <c r="F36" s="392">
        <f t="shared" si="0"/>
        <v>0</v>
      </c>
      <c r="I36" s="394" t="s">
        <v>568</v>
      </c>
      <c r="J36" s="391">
        <v>8617</v>
      </c>
      <c r="K36" s="392">
        <v>2600</v>
      </c>
      <c r="L36" s="475">
        <v>44643</v>
      </c>
      <c r="M36" s="392">
        <v>2600</v>
      </c>
      <c r="N36" s="137">
        <f t="shared" si="1"/>
        <v>0</v>
      </c>
    </row>
    <row r="37" spans="1:14" ht="15.75" x14ac:dyDescent="0.25">
      <c r="A37" s="429">
        <v>44608</v>
      </c>
      <c r="B37" s="437" t="s">
        <v>506</v>
      </c>
      <c r="C37" s="392">
        <v>5383.2</v>
      </c>
      <c r="D37" s="405">
        <v>44617</v>
      </c>
      <c r="E37" s="392">
        <v>5383.2</v>
      </c>
      <c r="F37" s="392">
        <f t="shared" si="0"/>
        <v>0</v>
      </c>
      <c r="I37" s="394" t="s">
        <v>569</v>
      </c>
      <c r="J37" s="391">
        <v>8627</v>
      </c>
      <c r="K37" s="392">
        <v>620</v>
      </c>
      <c r="L37" s="475">
        <v>44643</v>
      </c>
      <c r="M37" s="392">
        <v>620</v>
      </c>
      <c r="N37" s="137">
        <f t="shared" si="1"/>
        <v>0</v>
      </c>
    </row>
    <row r="38" spans="1:14" ht="15.75" x14ac:dyDescent="0.25">
      <c r="A38" s="429">
        <v>44609</v>
      </c>
      <c r="B38" s="438" t="s">
        <v>507</v>
      </c>
      <c r="C38" s="410">
        <v>38249.040000000001</v>
      </c>
      <c r="D38" s="405">
        <v>44617</v>
      </c>
      <c r="E38" s="410">
        <v>38249.040000000001</v>
      </c>
      <c r="F38" s="392">
        <f t="shared" si="0"/>
        <v>0</v>
      </c>
      <c r="I38" s="394"/>
      <c r="J38" s="391"/>
      <c r="K38" s="392"/>
      <c r="L38" s="475"/>
      <c r="M38" s="143"/>
      <c r="N38" s="137">
        <f t="shared" si="1"/>
        <v>0</v>
      </c>
    </row>
    <row r="39" spans="1:14" ht="15.75" x14ac:dyDescent="0.25">
      <c r="A39" s="429">
        <v>44610</v>
      </c>
      <c r="B39" s="246" t="s">
        <v>508</v>
      </c>
      <c r="C39" s="111">
        <v>74963.399999999994</v>
      </c>
      <c r="D39" s="405">
        <v>44617</v>
      </c>
      <c r="E39" s="111">
        <v>74963.399999999994</v>
      </c>
      <c r="F39" s="392">
        <f t="shared" si="0"/>
        <v>0</v>
      </c>
      <c r="I39" s="288"/>
      <c r="J39" s="57"/>
      <c r="K39" s="111"/>
      <c r="L39" s="476"/>
      <c r="M39" s="69"/>
      <c r="N39" s="137">
        <f t="shared" si="1"/>
        <v>0</v>
      </c>
    </row>
    <row r="40" spans="1:14" ht="15.75" x14ac:dyDescent="0.25">
      <c r="A40" s="429">
        <v>44610</v>
      </c>
      <c r="B40" s="246" t="s">
        <v>509</v>
      </c>
      <c r="C40" s="111">
        <v>9270</v>
      </c>
      <c r="D40" s="405">
        <v>44617</v>
      </c>
      <c r="E40" s="111">
        <v>9270</v>
      </c>
      <c r="F40" s="392">
        <f t="shared" si="0"/>
        <v>0</v>
      </c>
      <c r="I40" s="288"/>
      <c r="J40" s="57"/>
      <c r="K40" s="111"/>
      <c r="L40" s="476"/>
      <c r="M40" s="69"/>
      <c r="N40" s="137">
        <f t="shared" si="1"/>
        <v>0</v>
      </c>
    </row>
    <row r="41" spans="1:14" ht="15.75" x14ac:dyDescent="0.25">
      <c r="A41" s="429">
        <v>44611</v>
      </c>
      <c r="B41" s="246" t="s">
        <v>510</v>
      </c>
      <c r="C41" s="111">
        <v>85719.4</v>
      </c>
      <c r="D41" s="405">
        <v>44617</v>
      </c>
      <c r="E41" s="111">
        <v>85719.4</v>
      </c>
      <c r="F41" s="392">
        <f t="shared" si="0"/>
        <v>0</v>
      </c>
      <c r="I41" s="288"/>
      <c r="J41" s="57"/>
      <c r="K41" s="111"/>
      <c r="L41" s="476"/>
      <c r="M41" s="69"/>
      <c r="N41" s="137">
        <f t="shared" si="1"/>
        <v>0</v>
      </c>
    </row>
    <row r="42" spans="1:14" ht="15.75" x14ac:dyDescent="0.25">
      <c r="A42" s="430">
        <v>44611</v>
      </c>
      <c r="B42" s="246" t="s">
        <v>511</v>
      </c>
      <c r="C42" s="111">
        <v>21012.48</v>
      </c>
      <c r="D42" s="405">
        <v>44617</v>
      </c>
      <c r="E42" s="111">
        <v>21012.48</v>
      </c>
      <c r="F42" s="392">
        <f t="shared" si="0"/>
        <v>0</v>
      </c>
      <c r="I42" s="288"/>
      <c r="J42" s="57"/>
      <c r="K42" s="111"/>
      <c r="L42" s="476"/>
      <c r="M42" s="69"/>
      <c r="N42" s="137">
        <f t="shared" si="1"/>
        <v>0</v>
      </c>
    </row>
    <row r="43" spans="1:14" ht="15.75" x14ac:dyDescent="0.25">
      <c r="A43" s="430">
        <v>44613</v>
      </c>
      <c r="B43" s="439" t="s">
        <v>512</v>
      </c>
      <c r="C43" s="111">
        <v>16586.599999999999</v>
      </c>
      <c r="D43" s="405">
        <v>44617</v>
      </c>
      <c r="E43" s="111">
        <v>16586.599999999999</v>
      </c>
      <c r="F43" s="392">
        <f t="shared" si="0"/>
        <v>0</v>
      </c>
      <c r="I43" s="288"/>
      <c r="J43" s="57"/>
      <c r="K43" s="111"/>
      <c r="L43" s="476"/>
      <c r="M43" s="69"/>
      <c r="N43" s="137">
        <f t="shared" si="1"/>
        <v>0</v>
      </c>
    </row>
    <row r="44" spans="1:14" ht="15" customHeight="1" x14ac:dyDescent="0.25">
      <c r="A44" s="430">
        <v>44613</v>
      </c>
      <c r="B44" s="439" t="s">
        <v>513</v>
      </c>
      <c r="C44" s="111">
        <v>16100</v>
      </c>
      <c r="D44" s="405">
        <v>44617</v>
      </c>
      <c r="E44" s="111">
        <v>16100</v>
      </c>
      <c r="F44" s="392">
        <f t="shared" si="0"/>
        <v>0</v>
      </c>
      <c r="I44" s="288"/>
      <c r="J44" s="57"/>
      <c r="K44" s="111"/>
      <c r="L44" s="476"/>
      <c r="M44" s="69"/>
      <c r="N44" s="137">
        <f t="shared" si="1"/>
        <v>0</v>
      </c>
    </row>
    <row r="45" spans="1:14" ht="15.75" x14ac:dyDescent="0.25">
      <c r="A45" s="430">
        <v>44614</v>
      </c>
      <c r="B45" s="439" t="s">
        <v>514</v>
      </c>
      <c r="C45" s="111">
        <v>86111.8</v>
      </c>
      <c r="D45" s="405">
        <v>44617</v>
      </c>
      <c r="E45" s="111">
        <v>86111.8</v>
      </c>
      <c r="F45" s="392">
        <f t="shared" si="0"/>
        <v>0</v>
      </c>
      <c r="I45" s="288"/>
      <c r="J45" s="57"/>
      <c r="K45" s="111"/>
      <c r="L45" s="476"/>
      <c r="M45" s="69"/>
      <c r="N45" s="137">
        <f t="shared" si="1"/>
        <v>0</v>
      </c>
    </row>
    <row r="46" spans="1:14" ht="15.75" x14ac:dyDescent="0.25">
      <c r="A46" s="430">
        <v>44615</v>
      </c>
      <c r="B46" s="246" t="s">
        <v>515</v>
      </c>
      <c r="C46" s="111">
        <v>49782.6</v>
      </c>
      <c r="D46" s="405">
        <v>44617</v>
      </c>
      <c r="E46" s="111">
        <v>49782.6</v>
      </c>
      <c r="F46" s="392">
        <f>C46-E46</f>
        <v>0</v>
      </c>
      <c r="I46" s="288"/>
      <c r="J46" s="57"/>
      <c r="K46" s="111"/>
      <c r="L46" s="476"/>
      <c r="M46" s="69"/>
      <c r="N46" s="137">
        <f t="shared" si="1"/>
        <v>0</v>
      </c>
    </row>
    <row r="47" spans="1:14" ht="15.75" x14ac:dyDescent="0.25">
      <c r="A47" s="431">
        <v>44616</v>
      </c>
      <c r="B47" s="246" t="s">
        <v>516</v>
      </c>
      <c r="C47" s="111">
        <v>61856.639999999999</v>
      </c>
      <c r="D47" s="488">
        <v>44643</v>
      </c>
      <c r="E47" s="489">
        <v>61856.639999999999</v>
      </c>
      <c r="F47" s="392">
        <f t="shared" si="0"/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31">
        <v>44617</v>
      </c>
      <c r="B48" s="246" t="s">
        <v>517</v>
      </c>
      <c r="C48" s="111">
        <v>145889.51999999999</v>
      </c>
      <c r="D48" s="488">
        <v>44643</v>
      </c>
      <c r="E48" s="489">
        <v>145889.51999999999</v>
      </c>
      <c r="F48" s="392">
        <f t="shared" si="0"/>
        <v>0</v>
      </c>
      <c r="I48" s="348"/>
      <c r="J48" s="414"/>
      <c r="K48" s="414"/>
      <c r="L48" s="477"/>
      <c r="M48" s="206"/>
      <c r="N48" s="137">
        <f>N47+K48-M48</f>
        <v>0</v>
      </c>
    </row>
    <row r="49" spans="1:14" ht="15.75" x14ac:dyDescent="0.25">
      <c r="A49" s="432">
        <v>44617</v>
      </c>
      <c r="B49" s="445" t="s">
        <v>518</v>
      </c>
      <c r="C49" s="111">
        <v>200</v>
      </c>
      <c r="D49" s="488">
        <v>44643</v>
      </c>
      <c r="E49" s="489">
        <v>200</v>
      </c>
      <c r="F49" s="392">
        <f t="shared" si="0"/>
        <v>0</v>
      </c>
      <c r="I49" s="348"/>
      <c r="J49" s="414"/>
      <c r="K49" s="414"/>
      <c r="L49" s="477"/>
      <c r="M49" s="206"/>
      <c r="N49" s="137">
        <f t="shared" si="1"/>
        <v>0</v>
      </c>
    </row>
    <row r="50" spans="1:14" ht="15.75" x14ac:dyDescent="0.25">
      <c r="A50" s="446">
        <v>44617</v>
      </c>
      <c r="B50" s="447" t="s">
        <v>519</v>
      </c>
      <c r="C50" s="111">
        <v>2373.8000000000002</v>
      </c>
      <c r="D50" s="488">
        <v>44643</v>
      </c>
      <c r="E50" s="489">
        <v>2373.8000000000002</v>
      </c>
      <c r="F50" s="392">
        <f t="shared" si="0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446"/>
      <c r="B51" s="447"/>
      <c r="C51" s="111"/>
      <c r="D51" s="488">
        <v>44643</v>
      </c>
      <c r="E51" s="489"/>
      <c r="F51" s="392">
        <f t="shared" si="0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446"/>
      <c r="B52" s="447"/>
      <c r="C52" s="111"/>
      <c r="D52" s="488">
        <v>44643</v>
      </c>
      <c r="E52" s="489"/>
      <c r="F52" s="392">
        <f t="shared" si="0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446"/>
      <c r="B53" s="447"/>
      <c r="C53" s="111"/>
      <c r="D53" s="488">
        <v>44643</v>
      </c>
      <c r="E53" s="489"/>
      <c r="F53" s="392">
        <f t="shared" si="0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446"/>
      <c r="B54" s="447"/>
      <c r="C54" s="111"/>
      <c r="D54" s="488">
        <v>44643</v>
      </c>
      <c r="E54" s="489"/>
      <c r="F54" s="392">
        <f t="shared" si="0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446"/>
      <c r="B55" s="447"/>
      <c r="C55" s="111"/>
      <c r="D55" s="488">
        <v>44643</v>
      </c>
      <c r="E55" s="489"/>
      <c r="F55" s="392">
        <f t="shared" si="0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446"/>
      <c r="B56" s="447"/>
      <c r="C56" s="111"/>
      <c r="D56" s="488">
        <v>44643</v>
      </c>
      <c r="E56" s="489"/>
      <c r="F56" s="392">
        <f t="shared" si="0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446"/>
      <c r="B57" s="447"/>
      <c r="C57" s="111"/>
      <c r="D57" s="488">
        <v>44643</v>
      </c>
      <c r="E57" s="489"/>
      <c r="F57" s="392">
        <f t="shared" si="0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446"/>
      <c r="B58" s="447"/>
      <c r="C58" s="111"/>
      <c r="D58" s="488">
        <v>44643</v>
      </c>
      <c r="E58" s="489"/>
      <c r="F58" s="392">
        <f t="shared" si="0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446"/>
      <c r="B59" s="447"/>
      <c r="C59" s="111"/>
      <c r="D59" s="488">
        <v>44643</v>
      </c>
      <c r="E59" s="489"/>
      <c r="F59" s="392">
        <f t="shared" si="0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446"/>
      <c r="B60" s="447"/>
      <c r="C60" s="111"/>
      <c r="D60" s="488">
        <v>44643</v>
      </c>
      <c r="E60" s="489"/>
      <c r="F60" s="392">
        <f t="shared" si="0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446"/>
      <c r="B61" s="447"/>
      <c r="C61" s="111"/>
      <c r="D61" s="488">
        <v>44643</v>
      </c>
      <c r="E61" s="489"/>
      <c r="F61" s="392">
        <f t="shared" si="0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446"/>
      <c r="B62" s="447"/>
      <c r="C62" s="111"/>
      <c r="D62" s="488">
        <v>44643</v>
      </c>
      <c r="E62" s="489"/>
      <c r="F62" s="392">
        <f t="shared" si="0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446"/>
      <c r="B63" s="447"/>
      <c r="C63" s="111"/>
      <c r="D63" s="488">
        <v>44643</v>
      </c>
      <c r="E63" s="489"/>
      <c r="F63" s="392">
        <f t="shared" si="0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446"/>
      <c r="B64" s="447"/>
      <c r="C64" s="111"/>
      <c r="D64" s="488">
        <v>44643</v>
      </c>
      <c r="E64" s="489"/>
      <c r="F64" s="392">
        <f t="shared" si="0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446"/>
      <c r="B65" s="447"/>
      <c r="C65" s="111"/>
      <c r="D65" s="488">
        <v>44643</v>
      </c>
      <c r="E65" s="489"/>
      <c r="F65" s="392">
        <f t="shared" si="0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446"/>
      <c r="B66" s="447"/>
      <c r="C66" s="111"/>
      <c r="D66" s="488">
        <v>44643</v>
      </c>
      <c r="E66" s="489"/>
      <c r="F66" s="392">
        <f t="shared" si="0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448"/>
      <c r="B67" s="449"/>
      <c r="C67" s="233"/>
      <c r="D67" s="488">
        <v>44643</v>
      </c>
      <c r="E67" s="490"/>
      <c r="F67" s="392">
        <f t="shared" si="0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446"/>
      <c r="B68" s="447"/>
      <c r="C68" s="111"/>
      <c r="D68" s="488">
        <v>44643</v>
      </c>
      <c r="E68" s="489"/>
      <c r="F68" s="392">
        <f t="shared" ref="F68:F77" si="2">C68-E68</f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446"/>
      <c r="B69" s="447"/>
      <c r="C69" s="111"/>
      <c r="D69" s="488">
        <v>44643</v>
      </c>
      <c r="E69" s="489"/>
      <c r="F69" s="392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446"/>
      <c r="B70" s="447"/>
      <c r="C70" s="111"/>
      <c r="D70" s="488">
        <v>44643</v>
      </c>
      <c r="E70" s="489"/>
      <c r="F70" s="392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446"/>
      <c r="B71" s="447"/>
      <c r="C71" s="111"/>
      <c r="D71" s="488">
        <v>44643</v>
      </c>
      <c r="E71" s="489"/>
      <c r="F71" s="392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446"/>
      <c r="B72" s="447"/>
      <c r="C72" s="111"/>
      <c r="D72" s="488">
        <v>44643</v>
      </c>
      <c r="E72" s="489"/>
      <c r="F72" s="392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446"/>
      <c r="B73" s="447"/>
      <c r="C73" s="111"/>
      <c r="D73" s="488">
        <v>44643</v>
      </c>
      <c r="E73" s="489"/>
      <c r="F73" s="392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446"/>
      <c r="B74" s="447"/>
      <c r="C74" s="111"/>
      <c r="D74" s="488">
        <v>44643</v>
      </c>
      <c r="E74" s="489"/>
      <c r="F74" s="392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x14ac:dyDescent="0.25">
      <c r="A75" s="446">
        <v>44618</v>
      </c>
      <c r="B75" s="447" t="s">
        <v>520</v>
      </c>
      <c r="C75" s="111">
        <v>40377.15</v>
      </c>
      <c r="D75" s="488">
        <v>44643</v>
      </c>
      <c r="E75" s="489">
        <v>40377.15</v>
      </c>
      <c r="F75" s="392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x14ac:dyDescent="0.25">
      <c r="A76" s="446"/>
      <c r="B76" s="447"/>
      <c r="C76" s="111"/>
      <c r="D76" s="254"/>
      <c r="E76" s="69"/>
      <c r="F76" s="392">
        <f t="shared" si="2"/>
        <v>0</v>
      </c>
      <c r="I76" s="693" t="s">
        <v>597</v>
      </c>
      <c r="J76" s="694"/>
      <c r="K76" s="69"/>
      <c r="L76" s="148"/>
      <c r="M76" s="69"/>
      <c r="N76" s="137">
        <f t="shared" si="3"/>
        <v>0</v>
      </c>
    </row>
    <row r="77" spans="1:14" ht="15.75" x14ac:dyDescent="0.25">
      <c r="A77" s="446"/>
      <c r="B77" s="447"/>
      <c r="C77" s="111"/>
      <c r="D77" s="254"/>
      <c r="E77" s="69"/>
      <c r="F77" s="392">
        <f t="shared" si="2"/>
        <v>0</v>
      </c>
      <c r="I77" s="695"/>
      <c r="J77" s="696"/>
      <c r="K77" s="69"/>
      <c r="L77" s="148"/>
      <c r="M77" s="69"/>
      <c r="N77" s="137">
        <f t="shared" si="3"/>
        <v>0</v>
      </c>
    </row>
    <row r="78" spans="1:14" ht="16.5" thickBot="1" x14ac:dyDescent="0.3">
      <c r="A78" s="433"/>
      <c r="B78" s="210"/>
      <c r="C78" s="34">
        <v>0</v>
      </c>
      <c r="D78" s="255"/>
      <c r="E78" s="151"/>
      <c r="F78" s="392">
        <f t="shared" ref="F78" si="4">F77+C78</f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1702928.1400000001</v>
      </c>
      <c r="D79" s="407"/>
      <c r="E79" s="395">
        <f>SUM(E3:E78)</f>
        <v>1702928.1400000001</v>
      </c>
      <c r="F79" s="265">
        <f>C79-E79</f>
        <v>0</v>
      </c>
      <c r="K79" s="209">
        <f>SUM(K3:K78)</f>
        <v>553174.08000000007</v>
      </c>
      <c r="L79" s="478"/>
      <c r="M79" s="209">
        <f>SUM(M3:M78)</f>
        <v>553174.08000000007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659" t="s">
        <v>207</v>
      </c>
      <c r="K80" s="1"/>
      <c r="L80" s="97"/>
      <c r="M80" s="3"/>
      <c r="N80" s="1"/>
    </row>
    <row r="81" spans="1:14" x14ac:dyDescent="0.25">
      <c r="B81" s="462" t="s">
        <v>547</v>
      </c>
      <c r="C81" s="463"/>
      <c r="D81" s="464"/>
      <c r="E81" s="3"/>
      <c r="F81" s="660"/>
      <c r="K81" s="1"/>
      <c r="L81" s="97"/>
      <c r="M81" s="3"/>
      <c r="N81" s="1"/>
    </row>
    <row r="82" spans="1:14" ht="18.75" x14ac:dyDescent="0.3">
      <c r="A82" s="435"/>
      <c r="B82" s="692" t="s">
        <v>595</v>
      </c>
      <c r="C82" s="692"/>
      <c r="I82"/>
      <c r="J82" s="194"/>
    </row>
    <row r="83" spans="1:14" x14ac:dyDescent="0.25">
      <c r="A83" s="435"/>
      <c r="B83" s="442"/>
      <c r="I83"/>
      <c r="J83" s="194"/>
    </row>
    <row r="84" spans="1:14" x14ac:dyDescent="0.25">
      <c r="A84" s="435"/>
      <c r="B84" s="491" t="s">
        <v>598</v>
      </c>
      <c r="C84" s="481"/>
      <c r="D84" s="492"/>
      <c r="I84"/>
      <c r="J84" s="194"/>
    </row>
    <row r="85" spans="1:14" x14ac:dyDescent="0.25">
      <c r="A85" s="435"/>
      <c r="B85" s="442"/>
      <c r="F85"/>
      <c r="I85"/>
      <c r="J85" s="194"/>
      <c r="N85"/>
    </row>
    <row r="86" spans="1:14" x14ac:dyDescent="0.25">
      <c r="A86" s="435"/>
      <c r="B86" s="442"/>
      <c r="F86"/>
      <c r="I86"/>
      <c r="J86" s="194"/>
      <c r="N86"/>
    </row>
    <row r="87" spans="1:14" x14ac:dyDescent="0.25">
      <c r="A87" s="435"/>
      <c r="B87" s="442"/>
      <c r="F87"/>
      <c r="I87"/>
      <c r="J87" s="194"/>
      <c r="N87"/>
    </row>
    <row r="88" spans="1:14" x14ac:dyDescent="0.25">
      <c r="A88" s="435"/>
      <c r="B88" s="442"/>
      <c r="F88"/>
      <c r="I88"/>
      <c r="J88" s="194"/>
      <c r="N88"/>
    </row>
    <row r="89" spans="1:14" x14ac:dyDescent="0.25">
      <c r="A89" s="435"/>
      <c r="B89" s="442"/>
      <c r="F89"/>
      <c r="I89"/>
      <c r="J89" s="194"/>
      <c r="N89"/>
    </row>
    <row r="90" spans="1:14" x14ac:dyDescent="0.25">
      <c r="A90" s="435"/>
      <c r="B90" s="442"/>
      <c r="F90"/>
      <c r="I90"/>
      <c r="J90" s="194"/>
      <c r="N90"/>
    </row>
    <row r="91" spans="1:14" x14ac:dyDescent="0.25">
      <c r="A91" s="435"/>
      <c r="B91" s="442"/>
      <c r="F91"/>
      <c r="I91"/>
      <c r="J91" s="194"/>
      <c r="N91"/>
    </row>
    <row r="92" spans="1:14" x14ac:dyDescent="0.25">
      <c r="A92" s="435"/>
      <c r="B92" s="442"/>
      <c r="F92"/>
      <c r="I92"/>
      <c r="J92" s="194"/>
      <c r="N92"/>
    </row>
    <row r="93" spans="1:14" x14ac:dyDescent="0.25">
      <c r="A93" s="435"/>
      <c r="B93" s="442"/>
      <c r="F93"/>
      <c r="I93"/>
      <c r="J93" s="194"/>
      <c r="N93"/>
    </row>
    <row r="94" spans="1:14" x14ac:dyDescent="0.25">
      <c r="A94" s="435"/>
      <c r="B94" s="442"/>
      <c r="E94"/>
      <c r="F94"/>
      <c r="I94"/>
      <c r="J94" s="194"/>
      <c r="M94"/>
      <c r="N94"/>
    </row>
    <row r="95" spans="1:14" x14ac:dyDescent="0.25">
      <c r="A95" s="435"/>
      <c r="B95" s="442"/>
      <c r="E95"/>
      <c r="F95"/>
      <c r="I95"/>
      <c r="J95" s="194"/>
      <c r="M95"/>
      <c r="N95"/>
    </row>
    <row r="96" spans="1:14" x14ac:dyDescent="0.25">
      <c r="A96" s="435"/>
      <c r="B96" s="442"/>
      <c r="E96"/>
      <c r="F96"/>
      <c r="I96"/>
      <c r="J96" s="194"/>
      <c r="M96"/>
      <c r="N96"/>
    </row>
    <row r="97" spans="1:14" x14ac:dyDescent="0.25">
      <c r="A97" s="435"/>
      <c r="B97" s="442"/>
      <c r="E97"/>
      <c r="F97"/>
      <c r="I97"/>
      <c r="J97" s="194"/>
      <c r="M97"/>
      <c r="N97"/>
    </row>
    <row r="98" spans="1:14" x14ac:dyDescent="0.25">
      <c r="A98" s="435"/>
      <c r="B98" s="442"/>
      <c r="E98"/>
      <c r="F98"/>
      <c r="I98"/>
      <c r="J98" s="194"/>
      <c r="M98"/>
      <c r="N98"/>
    </row>
    <row r="99" spans="1:14" x14ac:dyDescent="0.25">
      <c r="A99" s="435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B82:C82"/>
    <mergeCell ref="I76:J77"/>
  </mergeCells>
  <pageMargins left="0.31" right="0.25" top="0.34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Z80"/>
  <sheetViews>
    <sheetView topLeftCell="C37" workbookViewId="0">
      <selection activeCell="G44" sqref="G44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597"/>
      <c r="C1" s="663" t="s">
        <v>451</v>
      </c>
      <c r="D1" s="664"/>
      <c r="E1" s="664"/>
      <c r="F1" s="664"/>
      <c r="G1" s="664"/>
      <c r="H1" s="664"/>
      <c r="I1" s="664"/>
      <c r="J1" s="664"/>
      <c r="K1" s="664"/>
      <c r="L1" s="664"/>
      <c r="M1" s="664"/>
    </row>
    <row r="2" spans="1:25" ht="16.5" thickBot="1" x14ac:dyDescent="0.3">
      <c r="B2" s="598"/>
      <c r="C2" s="3"/>
      <c r="H2" s="5"/>
      <c r="I2" s="6"/>
      <c r="J2" s="7"/>
      <c r="L2" s="8"/>
      <c r="M2" s="6"/>
      <c r="N2" s="9"/>
    </row>
    <row r="3" spans="1:25" ht="21.75" thickBot="1" x14ac:dyDescent="0.35">
      <c r="B3" s="601" t="s">
        <v>0</v>
      </c>
      <c r="C3" s="602"/>
      <c r="D3" s="10"/>
      <c r="E3" s="11"/>
      <c r="F3" s="11"/>
      <c r="H3" s="603" t="s">
        <v>26</v>
      </c>
      <c r="I3" s="603"/>
      <c r="K3" s="165"/>
      <c r="L3" s="13"/>
      <c r="M3" s="14"/>
      <c r="P3" s="640" t="s">
        <v>6</v>
      </c>
      <c r="R3" s="661" t="s">
        <v>216</v>
      </c>
    </row>
    <row r="4" spans="1:25" ht="32.25" thickTop="1" thickBot="1" x14ac:dyDescent="0.35">
      <c r="A4" s="15" t="s">
        <v>1</v>
      </c>
      <c r="B4" s="16"/>
      <c r="C4" s="17">
        <v>1266568.45</v>
      </c>
      <c r="D4" s="18">
        <v>44619</v>
      </c>
      <c r="E4" s="604" t="s">
        <v>2</v>
      </c>
      <c r="F4" s="605"/>
      <c r="H4" s="606" t="s">
        <v>3</v>
      </c>
      <c r="I4" s="607"/>
      <c r="J4" s="19"/>
      <c r="K4" s="166"/>
      <c r="L4" s="20"/>
      <c r="M4" s="21" t="s">
        <v>4</v>
      </c>
      <c r="N4" s="22" t="s">
        <v>5</v>
      </c>
      <c r="P4" s="641"/>
      <c r="Q4" s="322" t="s">
        <v>217</v>
      </c>
      <c r="R4" s="662"/>
      <c r="W4" s="650" t="s">
        <v>124</v>
      </c>
      <c r="X4" s="650"/>
      <c r="Y4" s="227"/>
    </row>
    <row r="5" spans="1:25" ht="18" thickBot="1" x14ac:dyDescent="0.35">
      <c r="A5" s="23" t="s">
        <v>7</v>
      </c>
      <c r="B5" s="24">
        <v>44620</v>
      </c>
      <c r="C5" s="25">
        <v>17066</v>
      </c>
      <c r="D5" s="26" t="s">
        <v>452</v>
      </c>
      <c r="E5" s="27">
        <v>44620</v>
      </c>
      <c r="F5" s="28">
        <v>93289</v>
      </c>
      <c r="G5" s="2"/>
      <c r="H5" s="29">
        <v>44620</v>
      </c>
      <c r="I5" s="30">
        <v>1122</v>
      </c>
      <c r="J5" s="37"/>
      <c r="K5" s="31"/>
      <c r="L5" s="9"/>
      <c r="M5" s="32">
        <v>52267</v>
      </c>
      <c r="N5" s="33">
        <v>22834</v>
      </c>
      <c r="O5" s="318"/>
      <c r="P5" s="34">
        <f>N5+M5+L5+I5+C5</f>
        <v>93289</v>
      </c>
      <c r="Q5" s="325">
        <f>P5-F5</f>
        <v>0</v>
      </c>
      <c r="R5" s="379">
        <v>0</v>
      </c>
      <c r="S5" s="324"/>
      <c r="W5" s="650"/>
      <c r="X5" s="650"/>
      <c r="Y5" s="233"/>
    </row>
    <row r="6" spans="1:25" ht="18" thickBot="1" x14ac:dyDescent="0.35">
      <c r="A6" s="23"/>
      <c r="B6" s="24">
        <v>44621</v>
      </c>
      <c r="C6" s="25">
        <v>18706.5</v>
      </c>
      <c r="D6" s="35" t="s">
        <v>453</v>
      </c>
      <c r="E6" s="27">
        <v>44621</v>
      </c>
      <c r="F6" s="28">
        <v>86642</v>
      </c>
      <c r="G6" s="2"/>
      <c r="H6" s="36">
        <v>44621</v>
      </c>
      <c r="I6" s="30">
        <v>1492</v>
      </c>
      <c r="J6" s="37"/>
      <c r="K6" s="38"/>
      <c r="L6" s="39"/>
      <c r="M6" s="32">
        <v>33586.5</v>
      </c>
      <c r="N6" s="33">
        <v>32857</v>
      </c>
      <c r="O6" s="2"/>
      <c r="P6" s="39">
        <f>N6+M6+L6+I6+C6</f>
        <v>86642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44622</v>
      </c>
      <c r="C7" s="25">
        <v>8793</v>
      </c>
      <c r="D7" s="40" t="s">
        <v>454</v>
      </c>
      <c r="E7" s="27">
        <v>44622</v>
      </c>
      <c r="F7" s="28">
        <v>74195</v>
      </c>
      <c r="G7" s="2"/>
      <c r="H7" s="36">
        <v>44622</v>
      </c>
      <c r="I7" s="30">
        <v>2466</v>
      </c>
      <c r="J7" s="37"/>
      <c r="K7" s="38"/>
      <c r="L7" s="39"/>
      <c r="M7" s="32">
        <v>38157</v>
      </c>
      <c r="N7" s="33">
        <v>26092</v>
      </c>
      <c r="O7" s="224"/>
      <c r="P7" s="39">
        <f t="shared" ref="P7:P32" si="0">N7+M7+L7+I7+C7</f>
        <v>75508</v>
      </c>
      <c r="Q7" s="325">
        <v>0</v>
      </c>
      <c r="R7" s="388">
        <v>1313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44623</v>
      </c>
      <c r="C8" s="25">
        <v>27799</v>
      </c>
      <c r="D8" s="42" t="s">
        <v>455</v>
      </c>
      <c r="E8" s="27">
        <v>44623</v>
      </c>
      <c r="F8" s="28">
        <v>78344</v>
      </c>
      <c r="G8" s="2"/>
      <c r="H8" s="36">
        <v>44623</v>
      </c>
      <c r="I8" s="30">
        <v>2278</v>
      </c>
      <c r="J8" s="43"/>
      <c r="K8" s="38"/>
      <c r="L8" s="39"/>
      <c r="M8" s="32">
        <f>31611+1120</f>
        <v>32731</v>
      </c>
      <c r="N8" s="33">
        <v>15536</v>
      </c>
      <c r="O8" s="2"/>
      <c r="P8" s="39">
        <f t="shared" si="0"/>
        <v>78344</v>
      </c>
      <c r="Q8" s="325">
        <f t="shared" ref="Q8:Q32" si="1">P8-F8</f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44624</v>
      </c>
      <c r="C9" s="25">
        <v>21631</v>
      </c>
      <c r="D9" s="42" t="s">
        <v>456</v>
      </c>
      <c r="E9" s="27">
        <v>44624</v>
      </c>
      <c r="F9" s="28">
        <v>84746</v>
      </c>
      <c r="G9" s="2"/>
      <c r="H9" s="36">
        <v>44624</v>
      </c>
      <c r="I9" s="30">
        <v>17409</v>
      </c>
      <c r="J9" s="37"/>
      <c r="K9" s="223"/>
      <c r="L9" s="39"/>
      <c r="M9" s="32">
        <v>57014</v>
      </c>
      <c r="N9" s="33">
        <v>29548</v>
      </c>
      <c r="O9" s="2"/>
      <c r="P9" s="39">
        <f t="shared" si="0"/>
        <v>125602</v>
      </c>
      <c r="Q9" s="325">
        <v>0</v>
      </c>
      <c r="R9" s="388">
        <v>40856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44625</v>
      </c>
      <c r="C10" s="25">
        <v>9359</v>
      </c>
      <c r="D10" s="40" t="s">
        <v>458</v>
      </c>
      <c r="E10" s="27">
        <v>44625</v>
      </c>
      <c r="F10" s="28">
        <v>114185</v>
      </c>
      <c r="G10" s="2"/>
      <c r="H10" s="36">
        <v>44625</v>
      </c>
      <c r="I10" s="30">
        <v>4867</v>
      </c>
      <c r="J10" s="37">
        <v>44625</v>
      </c>
      <c r="K10" s="167" t="s">
        <v>457</v>
      </c>
      <c r="L10" s="45">
        <v>12109.41</v>
      </c>
      <c r="M10" s="32">
        <v>38720</v>
      </c>
      <c r="N10" s="33">
        <v>49131</v>
      </c>
      <c r="O10" s="2"/>
      <c r="P10" s="39">
        <f>N10+M10+L10+I10+C10</f>
        <v>114186.41</v>
      </c>
      <c r="Q10" s="325">
        <f t="shared" si="1"/>
        <v>1.4100000000034925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44626</v>
      </c>
      <c r="C11" s="25">
        <v>11735</v>
      </c>
      <c r="D11" s="35" t="s">
        <v>459</v>
      </c>
      <c r="E11" s="27">
        <v>44626</v>
      </c>
      <c r="F11" s="28">
        <v>99338</v>
      </c>
      <c r="G11" s="2"/>
      <c r="H11" s="36">
        <v>44626</v>
      </c>
      <c r="I11" s="30">
        <v>1687</v>
      </c>
      <c r="J11" s="43"/>
      <c r="K11" s="168"/>
      <c r="L11" s="39"/>
      <c r="M11" s="32">
        <v>62058</v>
      </c>
      <c r="N11" s="33">
        <v>23858</v>
      </c>
      <c r="O11" s="2"/>
      <c r="P11" s="39">
        <f t="shared" si="0"/>
        <v>99338</v>
      </c>
      <c r="Q11" s="325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44627</v>
      </c>
      <c r="C12" s="25">
        <v>29696.5</v>
      </c>
      <c r="D12" s="35" t="s">
        <v>460</v>
      </c>
      <c r="E12" s="27">
        <v>44627</v>
      </c>
      <c r="F12" s="28">
        <v>78839</v>
      </c>
      <c r="G12" s="2"/>
      <c r="H12" s="36">
        <v>44627</v>
      </c>
      <c r="I12" s="30">
        <v>1945</v>
      </c>
      <c r="J12" s="37"/>
      <c r="K12" s="169"/>
      <c r="L12" s="39"/>
      <c r="M12" s="32">
        <v>20493.5</v>
      </c>
      <c r="N12" s="33">
        <v>26704</v>
      </c>
      <c r="O12" s="328"/>
      <c r="P12" s="39">
        <f t="shared" si="0"/>
        <v>78839</v>
      </c>
      <c r="Q12" s="325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44628</v>
      </c>
      <c r="C13" s="25">
        <v>12586.5</v>
      </c>
      <c r="D13" s="42" t="s">
        <v>464</v>
      </c>
      <c r="E13" s="27">
        <v>44628</v>
      </c>
      <c r="F13" s="28">
        <v>76318</v>
      </c>
      <c r="G13" s="2"/>
      <c r="H13" s="36">
        <v>44628</v>
      </c>
      <c r="I13" s="30">
        <v>2124</v>
      </c>
      <c r="J13" s="37"/>
      <c r="K13" s="38"/>
      <c r="L13" s="39"/>
      <c r="M13" s="32">
        <v>41442.5</v>
      </c>
      <c r="N13" s="33">
        <v>20165</v>
      </c>
      <c r="O13" s="2"/>
      <c r="P13" s="39">
        <f t="shared" si="0"/>
        <v>76318</v>
      </c>
      <c r="Q13" s="325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44629</v>
      </c>
      <c r="C14" s="25">
        <v>8233.5</v>
      </c>
      <c r="D14" s="40" t="s">
        <v>465</v>
      </c>
      <c r="E14" s="27">
        <v>44629</v>
      </c>
      <c r="F14" s="28">
        <v>116045</v>
      </c>
      <c r="G14" s="2"/>
      <c r="H14" s="36">
        <v>44629</v>
      </c>
      <c r="I14" s="30">
        <v>2261</v>
      </c>
      <c r="J14" s="37"/>
      <c r="K14" s="38"/>
      <c r="L14" s="39"/>
      <c r="M14" s="32">
        <f>70135.5+580.16+6869</f>
        <v>77584.66</v>
      </c>
      <c r="N14" s="33">
        <v>27966</v>
      </c>
      <c r="O14" s="2"/>
      <c r="P14" s="39">
        <f t="shared" si="0"/>
        <v>116045.16</v>
      </c>
      <c r="Q14" s="325">
        <f t="shared" si="1"/>
        <v>0.16000000000349246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44630</v>
      </c>
      <c r="C15" s="25">
        <v>6182</v>
      </c>
      <c r="D15" s="40" t="s">
        <v>466</v>
      </c>
      <c r="E15" s="27">
        <v>44630</v>
      </c>
      <c r="F15" s="28">
        <v>72383</v>
      </c>
      <c r="G15" s="2"/>
      <c r="H15" s="36">
        <v>44630</v>
      </c>
      <c r="I15" s="30">
        <v>2289</v>
      </c>
      <c r="J15" s="37"/>
      <c r="K15" s="38"/>
      <c r="L15" s="39"/>
      <c r="M15" s="32">
        <v>47170</v>
      </c>
      <c r="N15" s="33">
        <v>16742</v>
      </c>
      <c r="P15" s="39">
        <f t="shared" si="0"/>
        <v>72383</v>
      </c>
      <c r="Q15" s="325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44631</v>
      </c>
      <c r="C16" s="25">
        <v>12113</v>
      </c>
      <c r="D16" s="35" t="s">
        <v>467</v>
      </c>
      <c r="E16" s="27">
        <v>44631</v>
      </c>
      <c r="F16" s="28">
        <v>100070</v>
      </c>
      <c r="G16" s="2"/>
      <c r="H16" s="36">
        <v>44631</v>
      </c>
      <c r="I16" s="30">
        <v>1511.5</v>
      </c>
      <c r="J16" s="37"/>
      <c r="K16" s="169"/>
      <c r="L16" s="9"/>
      <c r="M16" s="32">
        <v>60292.5</v>
      </c>
      <c r="N16" s="33">
        <v>26153</v>
      </c>
      <c r="O16" s="330"/>
      <c r="P16" s="39">
        <f t="shared" si="0"/>
        <v>100070</v>
      </c>
      <c r="Q16" s="325">
        <f t="shared" si="1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44632</v>
      </c>
      <c r="C17" s="25">
        <v>10580</v>
      </c>
      <c r="D17" s="42" t="s">
        <v>468</v>
      </c>
      <c r="E17" s="27">
        <v>44632</v>
      </c>
      <c r="F17" s="28">
        <v>131625</v>
      </c>
      <c r="G17" s="2"/>
      <c r="H17" s="36">
        <v>44632</v>
      </c>
      <c r="I17" s="30">
        <v>9503</v>
      </c>
      <c r="J17" s="37">
        <v>44632</v>
      </c>
      <c r="K17" s="38" t="s">
        <v>469</v>
      </c>
      <c r="L17" s="45">
        <v>18054.02</v>
      </c>
      <c r="M17" s="32">
        <v>55203</v>
      </c>
      <c r="N17" s="33">
        <v>38285</v>
      </c>
      <c r="P17" s="39">
        <f t="shared" si="0"/>
        <v>131625.02000000002</v>
      </c>
      <c r="Q17" s="325">
        <f t="shared" si="1"/>
        <v>2.0000000018626451E-2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44633</v>
      </c>
      <c r="C18" s="25">
        <v>8190</v>
      </c>
      <c r="D18" s="35" t="s">
        <v>471</v>
      </c>
      <c r="E18" s="27">
        <v>44633</v>
      </c>
      <c r="F18" s="28">
        <v>79539</v>
      </c>
      <c r="G18" s="2"/>
      <c r="H18" s="36">
        <v>44633</v>
      </c>
      <c r="I18" s="30">
        <v>1711</v>
      </c>
      <c r="J18" s="37"/>
      <c r="K18" s="170"/>
      <c r="L18" s="39"/>
      <c r="M18" s="32">
        <v>47814</v>
      </c>
      <c r="N18" s="33">
        <v>21824</v>
      </c>
      <c r="P18" s="39">
        <f t="shared" si="0"/>
        <v>79539</v>
      </c>
      <c r="Q18" s="325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44634</v>
      </c>
      <c r="C19" s="25">
        <v>29641</v>
      </c>
      <c r="D19" s="35" t="s">
        <v>535</v>
      </c>
      <c r="E19" s="27">
        <v>44634</v>
      </c>
      <c r="F19" s="28">
        <v>101000</v>
      </c>
      <c r="G19" s="2"/>
      <c r="H19" s="36">
        <v>44634</v>
      </c>
      <c r="I19" s="30">
        <v>3079</v>
      </c>
      <c r="J19" s="37"/>
      <c r="K19" s="46"/>
      <c r="L19" s="47"/>
      <c r="M19" s="32">
        <f>30013+8142</f>
        <v>38155</v>
      </c>
      <c r="N19" s="33">
        <v>30125</v>
      </c>
      <c r="P19" s="39">
        <f t="shared" si="0"/>
        <v>101000</v>
      </c>
      <c r="Q19" s="325">
        <f t="shared" si="1"/>
        <v>0</v>
      </c>
      <c r="R19" s="319">
        <v>0</v>
      </c>
      <c r="S19" s="147"/>
      <c r="W19" s="654">
        <f>SUM(W6:W18)</f>
        <v>0</v>
      </c>
      <c r="X19" s="240"/>
      <c r="Y19" s="233"/>
    </row>
    <row r="20" spans="1:26" ht="18" thickBot="1" x14ac:dyDescent="0.35">
      <c r="A20" s="23"/>
      <c r="B20" s="24">
        <v>44635</v>
      </c>
      <c r="C20" s="25">
        <v>14601</v>
      </c>
      <c r="D20" s="35" t="s">
        <v>536</v>
      </c>
      <c r="E20" s="27">
        <v>44635</v>
      </c>
      <c r="F20" s="28">
        <v>86083</v>
      </c>
      <c r="G20" s="2"/>
      <c r="H20" s="36">
        <v>44635</v>
      </c>
      <c r="I20" s="30">
        <v>2368</v>
      </c>
      <c r="J20" s="37"/>
      <c r="K20" s="171"/>
      <c r="L20" s="45"/>
      <c r="M20" s="32">
        <v>33949</v>
      </c>
      <c r="N20" s="33">
        <v>35165</v>
      </c>
      <c r="P20" s="39">
        <f t="shared" si="0"/>
        <v>86083</v>
      </c>
      <c r="Q20" s="325">
        <f t="shared" si="1"/>
        <v>0</v>
      </c>
      <c r="R20" s="319">
        <v>0</v>
      </c>
      <c r="S20" s="147"/>
      <c r="W20" s="655"/>
      <c r="X20" s="268"/>
      <c r="Y20" s="233"/>
    </row>
    <row r="21" spans="1:26" ht="18" thickBot="1" x14ac:dyDescent="0.35">
      <c r="A21" s="23"/>
      <c r="B21" s="24">
        <v>44636</v>
      </c>
      <c r="C21" s="25">
        <v>18610</v>
      </c>
      <c r="D21" s="35" t="s">
        <v>578</v>
      </c>
      <c r="E21" s="27">
        <v>44636</v>
      </c>
      <c r="F21" s="28">
        <v>116930</v>
      </c>
      <c r="G21" s="2"/>
      <c r="H21" s="36">
        <v>44636</v>
      </c>
      <c r="I21" s="30">
        <v>1391</v>
      </c>
      <c r="J21" s="37"/>
      <c r="K21" s="48"/>
      <c r="L21" s="45"/>
      <c r="M21" s="32">
        <v>65434</v>
      </c>
      <c r="N21" s="33">
        <v>31495</v>
      </c>
      <c r="P21" s="39">
        <f t="shared" si="0"/>
        <v>116930</v>
      </c>
      <c r="Q21" s="325">
        <f t="shared" si="1"/>
        <v>0</v>
      </c>
      <c r="R21" s="319">
        <v>0</v>
      </c>
      <c r="S21" s="147"/>
      <c r="W21" s="656"/>
      <c r="X21" s="656"/>
      <c r="Y21" s="233"/>
      <c r="Z21" s="128"/>
    </row>
    <row r="22" spans="1:26" ht="18" thickBot="1" x14ac:dyDescent="0.35">
      <c r="A22" s="23"/>
      <c r="B22" s="24">
        <v>44637</v>
      </c>
      <c r="C22" s="25">
        <v>22003</v>
      </c>
      <c r="D22" s="35" t="s">
        <v>579</v>
      </c>
      <c r="E22" s="27">
        <v>44637</v>
      </c>
      <c r="F22" s="28">
        <v>111279</v>
      </c>
      <c r="G22" s="2"/>
      <c r="H22" s="36">
        <v>44637</v>
      </c>
      <c r="I22" s="30">
        <v>2399</v>
      </c>
      <c r="J22" s="37"/>
      <c r="K22" s="31"/>
      <c r="L22" s="49"/>
      <c r="M22" s="32">
        <f>642+62879</f>
        <v>63521</v>
      </c>
      <c r="N22" s="33">
        <v>23356</v>
      </c>
      <c r="P22" s="39">
        <f t="shared" si="0"/>
        <v>111279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44638</v>
      </c>
      <c r="C23" s="25">
        <v>9219</v>
      </c>
      <c r="D23" s="35" t="s">
        <v>580</v>
      </c>
      <c r="E23" s="27">
        <v>44638</v>
      </c>
      <c r="F23" s="28">
        <v>95289</v>
      </c>
      <c r="G23" s="2"/>
      <c r="H23" s="36">
        <v>44638</v>
      </c>
      <c r="I23" s="30">
        <v>6115</v>
      </c>
      <c r="J23" s="50"/>
      <c r="K23" s="172"/>
      <c r="L23" s="45"/>
      <c r="M23" s="32">
        <v>53950</v>
      </c>
      <c r="N23" s="33">
        <v>26005</v>
      </c>
      <c r="P23" s="39">
        <f t="shared" si="0"/>
        <v>95289</v>
      </c>
      <c r="Q23" s="325">
        <f t="shared" si="1"/>
        <v>0</v>
      </c>
      <c r="R23" s="319">
        <v>0</v>
      </c>
      <c r="S23" s="147"/>
      <c r="W23" s="657"/>
      <c r="X23" s="657"/>
      <c r="Y23" s="233"/>
      <c r="Z23" s="128"/>
    </row>
    <row r="24" spans="1:26" ht="18" thickBot="1" x14ac:dyDescent="0.35">
      <c r="A24" s="23"/>
      <c r="B24" s="24">
        <v>44639</v>
      </c>
      <c r="C24" s="25">
        <v>10938</v>
      </c>
      <c r="D24" s="42" t="s">
        <v>581</v>
      </c>
      <c r="E24" s="27">
        <v>44639</v>
      </c>
      <c r="F24" s="28">
        <v>117091</v>
      </c>
      <c r="G24" s="2"/>
      <c r="H24" s="36">
        <v>44639</v>
      </c>
      <c r="I24" s="30">
        <v>2386</v>
      </c>
      <c r="J24" s="51">
        <v>44639</v>
      </c>
      <c r="K24" s="173" t="s">
        <v>582</v>
      </c>
      <c r="L24" s="52">
        <v>20799.990000000002</v>
      </c>
      <c r="M24" s="32">
        <v>28076</v>
      </c>
      <c r="N24" s="33">
        <v>54891</v>
      </c>
      <c r="P24" s="39">
        <f>N24+M24+L24+I24+C24</f>
        <v>117090.99</v>
      </c>
      <c r="Q24" s="325">
        <f t="shared" si="1"/>
        <v>-9.9999999947613105E-3</v>
      </c>
      <c r="R24" s="319">
        <v>0</v>
      </c>
      <c r="S24" s="147"/>
      <c r="W24" s="657"/>
      <c r="X24" s="657"/>
      <c r="Y24" s="233"/>
      <c r="Z24" s="128"/>
    </row>
    <row r="25" spans="1:26" ht="19.5" thickBot="1" x14ac:dyDescent="0.35">
      <c r="A25" s="23"/>
      <c r="B25" s="24">
        <v>44640</v>
      </c>
      <c r="C25" s="25">
        <v>8565</v>
      </c>
      <c r="D25" s="35" t="s">
        <v>583</v>
      </c>
      <c r="E25" s="27">
        <v>44640</v>
      </c>
      <c r="F25" s="28">
        <v>78608</v>
      </c>
      <c r="G25" s="2"/>
      <c r="H25" s="36">
        <v>44640</v>
      </c>
      <c r="I25" s="30">
        <v>1272.5</v>
      </c>
      <c r="J25" s="50"/>
      <c r="K25" s="38"/>
      <c r="L25" s="54"/>
      <c r="M25" s="32">
        <v>47560.5</v>
      </c>
      <c r="N25" s="33">
        <v>21210</v>
      </c>
      <c r="P25" s="283">
        <f t="shared" si="0"/>
        <v>78608</v>
      </c>
      <c r="Q25" s="325">
        <f t="shared" si="1"/>
        <v>0</v>
      </c>
      <c r="R25" s="319">
        <v>0</v>
      </c>
      <c r="W25" s="658"/>
      <c r="X25" s="658"/>
      <c r="Y25" s="233"/>
      <c r="Z25" s="128"/>
    </row>
    <row r="26" spans="1:26" ht="19.5" thickBot="1" x14ac:dyDescent="0.35">
      <c r="A26" s="23"/>
      <c r="B26" s="24">
        <v>44641</v>
      </c>
      <c r="C26" s="25">
        <v>16233</v>
      </c>
      <c r="D26" s="35" t="s">
        <v>584</v>
      </c>
      <c r="E26" s="27">
        <v>44641</v>
      </c>
      <c r="F26" s="28">
        <v>95964</v>
      </c>
      <c r="G26" s="2"/>
      <c r="H26" s="36">
        <v>44641</v>
      </c>
      <c r="I26" s="30">
        <v>843</v>
      </c>
      <c r="J26" s="37"/>
      <c r="K26" s="173"/>
      <c r="L26" s="45"/>
      <c r="M26" s="32">
        <v>36536</v>
      </c>
      <c r="N26" s="33">
        <v>42352</v>
      </c>
      <c r="O26" s="2"/>
      <c r="P26" s="284">
        <f t="shared" si="0"/>
        <v>95964</v>
      </c>
      <c r="Q26" s="325">
        <f t="shared" si="1"/>
        <v>0</v>
      </c>
      <c r="R26" s="319">
        <v>0</v>
      </c>
      <c r="W26" s="658"/>
      <c r="X26" s="658"/>
      <c r="Y26" s="233"/>
      <c r="Z26" s="128"/>
    </row>
    <row r="27" spans="1:26" ht="18" thickBot="1" x14ac:dyDescent="0.35">
      <c r="A27" s="23"/>
      <c r="B27" s="24">
        <v>44642</v>
      </c>
      <c r="C27" s="25">
        <v>14717</v>
      </c>
      <c r="D27" s="42" t="s">
        <v>585</v>
      </c>
      <c r="E27" s="27">
        <v>44642</v>
      </c>
      <c r="F27" s="28">
        <v>92410</v>
      </c>
      <c r="G27" s="2"/>
      <c r="H27" s="36">
        <v>44642</v>
      </c>
      <c r="I27" s="30">
        <v>563.5</v>
      </c>
      <c r="J27" s="55"/>
      <c r="K27" s="174"/>
      <c r="L27" s="54"/>
      <c r="M27" s="32">
        <v>42310.5</v>
      </c>
      <c r="N27" s="33">
        <v>34989</v>
      </c>
      <c r="O27" s="2"/>
      <c r="P27" s="39">
        <f t="shared" si="0"/>
        <v>92580</v>
      </c>
      <c r="Q27" s="325">
        <v>0</v>
      </c>
      <c r="R27" s="388">
        <v>170</v>
      </c>
      <c r="W27" s="651"/>
      <c r="X27" s="652"/>
      <c r="Y27" s="653"/>
      <c r="Z27" s="128"/>
    </row>
    <row r="28" spans="1:26" ht="18" thickBot="1" x14ac:dyDescent="0.35">
      <c r="A28" s="23"/>
      <c r="B28" s="24">
        <v>44643</v>
      </c>
      <c r="C28" s="25">
        <v>11509</v>
      </c>
      <c r="D28" s="42" t="s">
        <v>586</v>
      </c>
      <c r="E28" s="27">
        <v>44643</v>
      </c>
      <c r="F28" s="28">
        <v>957254</v>
      </c>
      <c r="G28" s="2"/>
      <c r="H28" s="36">
        <v>44643</v>
      </c>
      <c r="I28" s="30">
        <v>1991</v>
      </c>
      <c r="J28" s="56"/>
      <c r="K28" s="57"/>
      <c r="L28" s="54"/>
      <c r="M28" s="32">
        <f>49352+673725.34+200000+33828.02</f>
        <v>956905.36</v>
      </c>
      <c r="N28" s="33">
        <v>24223</v>
      </c>
      <c r="O28" s="2"/>
      <c r="P28" s="34">
        <f t="shared" si="0"/>
        <v>994628.36</v>
      </c>
      <c r="Q28" s="325">
        <v>0</v>
      </c>
      <c r="R28" s="388">
        <v>37374.36</v>
      </c>
      <c r="W28" s="652"/>
      <c r="X28" s="652"/>
      <c r="Y28" s="653"/>
      <c r="Z28" s="128"/>
    </row>
    <row r="29" spans="1:26" ht="18" thickBot="1" x14ac:dyDescent="0.35">
      <c r="A29" s="23"/>
      <c r="B29" s="24">
        <v>44644</v>
      </c>
      <c r="C29" s="25">
        <v>15935</v>
      </c>
      <c r="D29" s="58" t="s">
        <v>587</v>
      </c>
      <c r="E29" s="27">
        <v>44644</v>
      </c>
      <c r="F29" s="28">
        <v>128995</v>
      </c>
      <c r="G29" s="2"/>
      <c r="H29" s="36">
        <v>44644</v>
      </c>
      <c r="I29" s="30">
        <v>1688</v>
      </c>
      <c r="J29" s="59"/>
      <c r="K29" s="175"/>
      <c r="L29" s="54"/>
      <c r="M29" s="32">
        <f>642+79978</f>
        <v>80620</v>
      </c>
      <c r="N29" s="33">
        <v>30752</v>
      </c>
      <c r="O29" s="425"/>
      <c r="P29" s="34">
        <f t="shared" si="0"/>
        <v>128995</v>
      </c>
      <c r="Q29" s="325">
        <f t="shared" si="1"/>
        <v>0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44645</v>
      </c>
      <c r="C30" s="25">
        <v>11160</v>
      </c>
      <c r="D30" s="58" t="s">
        <v>588</v>
      </c>
      <c r="E30" s="27">
        <v>44645</v>
      </c>
      <c r="F30" s="28">
        <v>93781</v>
      </c>
      <c r="G30" s="2"/>
      <c r="H30" s="36">
        <v>44645</v>
      </c>
      <c r="I30" s="30">
        <v>1846</v>
      </c>
      <c r="J30" s="60"/>
      <c r="K30" s="41"/>
      <c r="L30" s="61"/>
      <c r="M30" s="32">
        <v>48450</v>
      </c>
      <c r="N30" s="33">
        <v>32332</v>
      </c>
      <c r="O30" s="426"/>
      <c r="P30" s="34">
        <f t="shared" si="0"/>
        <v>93788</v>
      </c>
      <c r="Q30" s="325">
        <f t="shared" si="1"/>
        <v>7</v>
      </c>
      <c r="R30" s="320">
        <v>0</v>
      </c>
      <c r="T30" s="423">
        <v>26626</v>
      </c>
      <c r="X30" s="225"/>
      <c r="Y30" s="227"/>
    </row>
    <row r="31" spans="1:26" ht="18" thickBot="1" x14ac:dyDescent="0.35">
      <c r="A31" s="23"/>
      <c r="B31" s="24">
        <v>44646</v>
      </c>
      <c r="C31" s="25">
        <v>16631</v>
      </c>
      <c r="D31" s="65" t="s">
        <v>589</v>
      </c>
      <c r="E31" s="27">
        <v>44646</v>
      </c>
      <c r="F31" s="28">
        <v>111426</v>
      </c>
      <c r="G31" s="2"/>
      <c r="H31" s="36">
        <v>44646</v>
      </c>
      <c r="I31" s="30">
        <v>5154</v>
      </c>
      <c r="J31" s="60">
        <v>44649</v>
      </c>
      <c r="K31" s="459" t="s">
        <v>590</v>
      </c>
      <c r="L31" s="460">
        <v>19492.72</v>
      </c>
      <c r="M31" s="32">
        <v>28431</v>
      </c>
      <c r="N31" s="33">
        <v>41717</v>
      </c>
      <c r="O31" s="425"/>
      <c r="P31" s="34">
        <f t="shared" si="0"/>
        <v>111425.72</v>
      </c>
      <c r="Q31" s="325">
        <f t="shared" si="1"/>
        <v>-0.27999999999883585</v>
      </c>
      <c r="R31" s="321">
        <v>0</v>
      </c>
      <c r="T31" s="423">
        <v>10137</v>
      </c>
    </row>
    <row r="32" spans="1:26" ht="18" thickBot="1" x14ac:dyDescent="0.35">
      <c r="A32" s="23"/>
      <c r="B32" s="24">
        <v>44647</v>
      </c>
      <c r="C32" s="25">
        <v>16761</v>
      </c>
      <c r="D32" s="64" t="s">
        <v>592</v>
      </c>
      <c r="E32" s="27">
        <v>44647</v>
      </c>
      <c r="F32" s="28">
        <v>76600</v>
      </c>
      <c r="G32" s="2"/>
      <c r="H32" s="36">
        <v>44647</v>
      </c>
      <c r="I32" s="30">
        <v>101</v>
      </c>
      <c r="J32" s="60"/>
      <c r="K32" s="41"/>
      <c r="L32" s="61"/>
      <c r="M32" s="32">
        <v>32180</v>
      </c>
      <c r="N32" s="33">
        <v>27558</v>
      </c>
      <c r="O32" s="2"/>
      <c r="P32" s="34">
        <f t="shared" si="0"/>
        <v>76600</v>
      </c>
      <c r="Q32" s="325">
        <f t="shared" si="1"/>
        <v>0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O33" s="2"/>
      <c r="P33" s="34">
        <v>0</v>
      </c>
      <c r="Q33" s="111">
        <f t="shared" ref="Q33:Q35" si="2">P33-F33</f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44623</v>
      </c>
      <c r="C34" s="25">
        <v>2564.8000000000002</v>
      </c>
      <c r="D34" s="64" t="s">
        <v>619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O34" s="2"/>
      <c r="P34" s="34">
        <v>0</v>
      </c>
      <c r="Q34" s="111">
        <f t="shared" si="2"/>
        <v>0</v>
      </c>
      <c r="R34" s="228"/>
    </row>
    <row r="35" spans="1:20" ht="18" thickBot="1" x14ac:dyDescent="0.35">
      <c r="A35" s="23"/>
      <c r="B35" s="24">
        <v>44624</v>
      </c>
      <c r="C35" s="25">
        <v>350000</v>
      </c>
      <c r="D35" s="65" t="s">
        <v>49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/>
      <c r="Q35" s="111">
        <f t="shared" si="2"/>
        <v>0</v>
      </c>
      <c r="R35" s="228"/>
    </row>
    <row r="36" spans="1:20" ht="18" customHeight="1" thickBot="1" x14ac:dyDescent="0.3">
      <c r="A36" s="23"/>
      <c r="B36" s="24">
        <v>44629</v>
      </c>
      <c r="C36" s="25">
        <v>346259.20000000001</v>
      </c>
      <c r="D36" s="62" t="s">
        <v>49</v>
      </c>
      <c r="E36" s="27"/>
      <c r="F36" s="28"/>
      <c r="G36" s="2"/>
      <c r="H36" s="36"/>
      <c r="I36" s="30"/>
      <c r="J36" s="266"/>
      <c r="K36" s="250"/>
      <c r="L36" s="44"/>
      <c r="M36" s="642">
        <f>SUM(M5:M35)</f>
        <v>2220612.02</v>
      </c>
      <c r="N36" s="644">
        <f>SUM(N5:N35)</f>
        <v>833865</v>
      </c>
      <c r="O36" s="276"/>
      <c r="P36" s="277">
        <v>0</v>
      </c>
      <c r="Q36" s="688">
        <f>SUM(Q5:Q35)</f>
        <v>8.3000000000320142</v>
      </c>
      <c r="R36" s="228"/>
    </row>
    <row r="37" spans="1:20" ht="18" customHeight="1" thickBot="1" x14ac:dyDescent="0.3">
      <c r="A37" s="23"/>
      <c r="B37" s="24">
        <v>44645</v>
      </c>
      <c r="C37" s="25">
        <v>350000</v>
      </c>
      <c r="D37" s="65" t="s">
        <v>49</v>
      </c>
      <c r="E37" s="27"/>
      <c r="F37" s="28"/>
      <c r="G37" s="2"/>
      <c r="H37" s="36"/>
      <c r="I37" s="30"/>
      <c r="J37" s="60"/>
      <c r="K37" s="41"/>
      <c r="L37" s="61"/>
      <c r="M37" s="643"/>
      <c r="N37" s="645"/>
      <c r="O37" s="276"/>
      <c r="P37" s="277">
        <v>0</v>
      </c>
      <c r="Q37" s="689"/>
      <c r="R37" s="227" t="s">
        <v>7</v>
      </c>
    </row>
    <row r="38" spans="1:20" ht="18" thickBot="1" x14ac:dyDescent="0.35">
      <c r="A38" s="23"/>
      <c r="B38" s="24">
        <v>44651</v>
      </c>
      <c r="C38" s="25">
        <f>13429.46+396419.2</f>
        <v>409848.66000000003</v>
      </c>
      <c r="D38" s="65" t="s">
        <v>49</v>
      </c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690">
        <f>M36+N36</f>
        <v>3054477.02</v>
      </c>
      <c r="N39" s="691"/>
      <c r="P39" s="34">
        <f>SUM(P5:P38)</f>
        <v>3627989.66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20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>
        <v>44625</v>
      </c>
      <c r="K41" s="41" t="s">
        <v>457</v>
      </c>
      <c r="L41" s="61">
        <v>15195.26</v>
      </c>
      <c r="M41" s="269"/>
      <c r="N41" s="269"/>
      <c r="P41" s="34"/>
      <c r="Q41" s="13"/>
    </row>
    <row r="42" spans="1:20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>
        <v>44632</v>
      </c>
      <c r="K42" s="173" t="s">
        <v>470</v>
      </c>
      <c r="L42" s="52">
        <v>15748.5</v>
      </c>
      <c r="M42" s="269"/>
      <c r="N42" s="269"/>
      <c r="P42" s="34"/>
      <c r="Q42" s="13"/>
    </row>
    <row r="43" spans="1:20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>
        <v>44639</v>
      </c>
      <c r="K43" s="38" t="s">
        <v>582</v>
      </c>
      <c r="L43" s="54">
        <v>14398.5</v>
      </c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>
        <v>44646</v>
      </c>
      <c r="K44" s="459" t="s">
        <v>591</v>
      </c>
      <c r="L44" s="461">
        <v>17498.5</v>
      </c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1877866.6600000001</v>
      </c>
      <c r="D50" s="88"/>
      <c r="E50" s="89" t="s">
        <v>8</v>
      </c>
      <c r="F50" s="90">
        <f>SUM(F5:F49)</f>
        <v>3548268</v>
      </c>
      <c r="G50" s="88"/>
      <c r="H50" s="91" t="s">
        <v>9</v>
      </c>
      <c r="I50" s="92">
        <f>SUM(I5:I49)</f>
        <v>83862.5</v>
      </c>
      <c r="J50" s="93"/>
      <c r="K50" s="94" t="s">
        <v>10</v>
      </c>
      <c r="L50" s="95">
        <f>SUM(L5:L49)</f>
        <v>133296.9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619" t="s">
        <v>11</v>
      </c>
      <c r="I52" s="620"/>
      <c r="J52" s="100"/>
      <c r="K52" s="621">
        <f>I50+L50</f>
        <v>217159.4</v>
      </c>
      <c r="L52" s="648"/>
      <c r="M52" s="272"/>
      <c r="N52" s="272"/>
      <c r="P52" s="34"/>
      <c r="Q52" s="13"/>
    </row>
    <row r="53" spans="1:17" x14ac:dyDescent="0.25">
      <c r="D53" s="625" t="s">
        <v>12</v>
      </c>
      <c r="E53" s="625"/>
      <c r="F53" s="312">
        <f>F50-K52-C50</f>
        <v>1453241.94</v>
      </c>
      <c r="I53" s="102"/>
      <c r="J53" s="103"/>
    </row>
    <row r="54" spans="1:17" ht="18.75" x14ac:dyDescent="0.3">
      <c r="D54" s="649" t="s">
        <v>95</v>
      </c>
      <c r="E54" s="649"/>
      <c r="F54" s="111">
        <v>-1360260.32</v>
      </c>
      <c r="I54" s="626" t="s">
        <v>13</v>
      </c>
      <c r="J54" s="627"/>
      <c r="K54" s="628">
        <f>F56+F57+F58</f>
        <v>1797288.1999999997</v>
      </c>
      <c r="L54" s="628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-206286.1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-113304.48000000013</v>
      </c>
      <c r="H56" s="23"/>
      <c r="I56" s="108" t="s">
        <v>15</v>
      </c>
      <c r="J56" s="109"/>
      <c r="K56" s="630">
        <f>-C4</f>
        <v>-1266568.45</v>
      </c>
      <c r="L56" s="631"/>
    </row>
    <row r="57" spans="1:17" ht="16.5" thickBot="1" x14ac:dyDescent="0.3">
      <c r="D57" s="110" t="s">
        <v>16</v>
      </c>
      <c r="E57" s="98" t="s">
        <v>17</v>
      </c>
      <c r="F57" s="111">
        <v>117775</v>
      </c>
    </row>
    <row r="58" spans="1:17" ht="20.25" thickTop="1" thickBot="1" x14ac:dyDescent="0.35">
      <c r="C58" s="112">
        <v>44647</v>
      </c>
      <c r="D58" s="608" t="s">
        <v>18</v>
      </c>
      <c r="E58" s="609"/>
      <c r="F58" s="113">
        <v>1792817.68</v>
      </c>
      <c r="I58" s="610" t="s">
        <v>198</v>
      </c>
      <c r="J58" s="611"/>
      <c r="K58" s="612">
        <f>K54+K56</f>
        <v>530719.74999999977</v>
      </c>
      <c r="L58" s="612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36:M37"/>
    <mergeCell ref="N36:N37"/>
    <mergeCell ref="Q36:Q37"/>
    <mergeCell ref="K56:L56"/>
    <mergeCell ref="M39:N39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</mergeCells>
  <pageMargins left="0.27559055118110237" right="0.15748031496062992" top="0.39370078740157483" bottom="0.27559055118110237" header="0.31496062992125984" footer="0.31496062992125984"/>
  <pageSetup scale="80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115"/>
  <sheetViews>
    <sheetView workbookViewId="0">
      <selection activeCell="J35" sqref="J35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2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3" t="s">
        <v>22</v>
      </c>
      <c r="M2" s="299" t="s">
        <v>23</v>
      </c>
      <c r="N2" s="309" t="s">
        <v>210</v>
      </c>
    </row>
    <row r="3" spans="1:14" ht="15.75" x14ac:dyDescent="0.25">
      <c r="A3" s="452">
        <v>44620</v>
      </c>
      <c r="B3" s="437" t="s">
        <v>521</v>
      </c>
      <c r="C3" s="392">
        <v>2909.4</v>
      </c>
      <c r="D3" s="486">
        <v>44643</v>
      </c>
      <c r="E3" s="487">
        <v>2909.4</v>
      </c>
      <c r="F3" s="392">
        <f>C3-E3</f>
        <v>0</v>
      </c>
      <c r="I3" s="405">
        <v>44620</v>
      </c>
      <c r="J3" s="391">
        <v>8631</v>
      </c>
      <c r="K3" s="392">
        <v>858.6</v>
      </c>
      <c r="L3" s="479">
        <v>44643</v>
      </c>
      <c r="M3" s="480">
        <v>858.6</v>
      </c>
      <c r="N3" s="183">
        <f>K3-M3</f>
        <v>0</v>
      </c>
    </row>
    <row r="4" spans="1:14" ht="18.75" x14ac:dyDescent="0.3">
      <c r="A4" s="452">
        <v>44621</v>
      </c>
      <c r="B4" s="437" t="s">
        <v>522</v>
      </c>
      <c r="C4" s="392">
        <v>74016.2</v>
      </c>
      <c r="D4" s="486">
        <v>44643</v>
      </c>
      <c r="E4" s="487">
        <v>74016.2</v>
      </c>
      <c r="F4" s="392">
        <f t="shared" ref="F4:F46" si="0">C4-E4</f>
        <v>0</v>
      </c>
      <c r="G4" s="138"/>
      <c r="I4" s="370">
        <v>44621</v>
      </c>
      <c r="J4" s="57">
        <v>8638</v>
      </c>
      <c r="K4" s="111">
        <v>240</v>
      </c>
      <c r="L4" s="476">
        <v>44643</v>
      </c>
      <c r="M4" s="261">
        <v>240</v>
      </c>
      <c r="N4" s="137">
        <f>N3+K4-M4</f>
        <v>0</v>
      </c>
    </row>
    <row r="5" spans="1:14" ht="15.75" x14ac:dyDescent="0.25">
      <c r="A5" s="452">
        <v>44622</v>
      </c>
      <c r="B5" s="437" t="s">
        <v>523</v>
      </c>
      <c r="C5" s="392">
        <v>38036.6</v>
      </c>
      <c r="D5" s="486">
        <v>44643</v>
      </c>
      <c r="E5" s="487">
        <v>38036.6</v>
      </c>
      <c r="F5" s="392">
        <f t="shared" si="0"/>
        <v>0</v>
      </c>
      <c r="I5" s="370">
        <v>44622</v>
      </c>
      <c r="J5" s="57">
        <v>8646</v>
      </c>
      <c r="K5" s="111">
        <v>1010</v>
      </c>
      <c r="L5" s="476">
        <v>44643</v>
      </c>
      <c r="M5" s="261">
        <v>1010</v>
      </c>
      <c r="N5" s="137">
        <f t="shared" ref="N5:N68" si="1">N4+K5-M5</f>
        <v>0</v>
      </c>
    </row>
    <row r="6" spans="1:14" ht="15.75" x14ac:dyDescent="0.25">
      <c r="A6" s="452">
        <v>44623</v>
      </c>
      <c r="B6" s="437" t="s">
        <v>524</v>
      </c>
      <c r="C6" s="392">
        <v>52111.11</v>
      </c>
      <c r="D6" s="486">
        <v>44643</v>
      </c>
      <c r="E6" s="487">
        <v>52111.11</v>
      </c>
      <c r="F6" s="392">
        <f t="shared" si="0"/>
        <v>0</v>
      </c>
      <c r="I6" s="370">
        <v>44623</v>
      </c>
      <c r="J6" s="57">
        <v>8652</v>
      </c>
      <c r="K6" s="111">
        <v>2004</v>
      </c>
      <c r="L6" s="476">
        <v>44643</v>
      </c>
      <c r="M6" s="261">
        <v>2004</v>
      </c>
      <c r="N6" s="137">
        <f t="shared" si="1"/>
        <v>0</v>
      </c>
    </row>
    <row r="7" spans="1:14" ht="15.75" x14ac:dyDescent="0.25">
      <c r="A7" s="452">
        <v>44623</v>
      </c>
      <c r="B7" s="437" t="s">
        <v>525</v>
      </c>
      <c r="C7" s="392">
        <v>394.2</v>
      </c>
      <c r="D7" s="486">
        <v>44643</v>
      </c>
      <c r="E7" s="487">
        <v>394.2</v>
      </c>
      <c r="F7" s="392">
        <f t="shared" si="0"/>
        <v>0</v>
      </c>
      <c r="I7" s="370">
        <v>44624</v>
      </c>
      <c r="J7" s="57">
        <v>8662</v>
      </c>
      <c r="K7" s="111">
        <v>13002.8</v>
      </c>
      <c r="L7" s="476">
        <v>44643</v>
      </c>
      <c r="M7" s="261">
        <v>13002.8</v>
      </c>
      <c r="N7" s="137">
        <f t="shared" si="1"/>
        <v>0</v>
      </c>
    </row>
    <row r="8" spans="1:14" ht="15.75" x14ac:dyDescent="0.25">
      <c r="A8" s="452">
        <v>44624</v>
      </c>
      <c r="B8" s="437" t="s">
        <v>526</v>
      </c>
      <c r="C8" s="392">
        <v>52173.7</v>
      </c>
      <c r="D8" s="486">
        <v>44643</v>
      </c>
      <c r="E8" s="487">
        <v>52173.7</v>
      </c>
      <c r="F8" s="392">
        <f t="shared" si="0"/>
        <v>0</v>
      </c>
      <c r="I8" s="370">
        <v>44625</v>
      </c>
      <c r="J8" s="57">
        <v>8666</v>
      </c>
      <c r="K8" s="111">
        <v>3911</v>
      </c>
      <c r="L8" s="476">
        <v>44643</v>
      </c>
      <c r="M8" s="261">
        <v>3911</v>
      </c>
      <c r="N8" s="137">
        <f t="shared" si="1"/>
        <v>0</v>
      </c>
    </row>
    <row r="9" spans="1:14" ht="15.75" x14ac:dyDescent="0.25">
      <c r="A9" s="452">
        <v>44625</v>
      </c>
      <c r="B9" s="437" t="s">
        <v>527</v>
      </c>
      <c r="C9" s="392">
        <v>47563.28</v>
      </c>
      <c r="D9" s="486">
        <v>44643</v>
      </c>
      <c r="E9" s="487">
        <v>47563.28</v>
      </c>
      <c r="F9" s="392">
        <f t="shared" si="0"/>
        <v>0</v>
      </c>
      <c r="I9" s="370">
        <v>44627</v>
      </c>
      <c r="J9" s="57">
        <v>8676</v>
      </c>
      <c r="K9" s="111">
        <v>3530</v>
      </c>
      <c r="L9" s="476">
        <v>44643</v>
      </c>
      <c r="M9" s="261">
        <v>3530</v>
      </c>
      <c r="N9" s="137">
        <f t="shared" si="1"/>
        <v>0</v>
      </c>
    </row>
    <row r="10" spans="1:14" ht="18.75" x14ac:dyDescent="0.3">
      <c r="A10" s="452">
        <v>44625</v>
      </c>
      <c r="B10" s="437" t="s">
        <v>528</v>
      </c>
      <c r="C10" s="392">
        <v>1406</v>
      </c>
      <c r="D10" s="486">
        <v>44643</v>
      </c>
      <c r="E10" s="487">
        <v>1406</v>
      </c>
      <c r="F10" s="392">
        <f t="shared" si="0"/>
        <v>0</v>
      </c>
      <c r="G10" s="138"/>
      <c r="I10" s="370">
        <v>44627</v>
      </c>
      <c r="J10" s="57">
        <v>8677</v>
      </c>
      <c r="K10" s="111">
        <v>1554</v>
      </c>
      <c r="L10" s="476">
        <v>44643</v>
      </c>
      <c r="M10" s="261">
        <v>1554</v>
      </c>
      <c r="N10" s="137">
        <f t="shared" si="1"/>
        <v>0</v>
      </c>
    </row>
    <row r="11" spans="1:14" ht="15.75" x14ac:dyDescent="0.25">
      <c r="A11" s="452">
        <v>44627</v>
      </c>
      <c r="B11" s="437" t="s">
        <v>529</v>
      </c>
      <c r="C11" s="392">
        <v>44449.599999999999</v>
      </c>
      <c r="D11" s="486">
        <v>44643</v>
      </c>
      <c r="E11" s="487">
        <v>44449.599999999999</v>
      </c>
      <c r="F11" s="392">
        <f t="shared" si="0"/>
        <v>0</v>
      </c>
      <c r="I11" s="370">
        <v>44628</v>
      </c>
      <c r="J11" s="57">
        <v>8683</v>
      </c>
      <c r="K11" s="111">
        <v>2734</v>
      </c>
      <c r="L11" s="476">
        <v>44643</v>
      </c>
      <c r="M11" s="261">
        <v>2734</v>
      </c>
      <c r="N11" s="137">
        <f t="shared" si="1"/>
        <v>0</v>
      </c>
    </row>
    <row r="12" spans="1:14" ht="15.75" x14ac:dyDescent="0.25">
      <c r="A12" s="452">
        <v>44627</v>
      </c>
      <c r="B12" s="437" t="s">
        <v>530</v>
      </c>
      <c r="C12" s="392">
        <v>848.4</v>
      </c>
      <c r="D12" s="486">
        <v>44643</v>
      </c>
      <c r="E12" s="487">
        <v>848.4</v>
      </c>
      <c r="F12" s="392">
        <f t="shared" si="0"/>
        <v>0</v>
      </c>
      <c r="I12" s="370">
        <v>44630</v>
      </c>
      <c r="J12" s="57">
        <v>8702</v>
      </c>
      <c r="K12" s="111">
        <v>13641</v>
      </c>
      <c r="L12" s="476">
        <v>44643</v>
      </c>
      <c r="M12" s="261">
        <v>13641</v>
      </c>
      <c r="N12" s="137">
        <f t="shared" si="1"/>
        <v>0</v>
      </c>
    </row>
    <row r="13" spans="1:14" ht="15.75" x14ac:dyDescent="0.25">
      <c r="A13" s="452">
        <v>44628</v>
      </c>
      <c r="B13" s="437" t="s">
        <v>531</v>
      </c>
      <c r="C13" s="392">
        <v>71723.600000000006</v>
      </c>
      <c r="D13" s="486">
        <v>44643</v>
      </c>
      <c r="E13" s="487">
        <v>71723.600000000006</v>
      </c>
      <c r="F13" s="392">
        <f t="shared" si="0"/>
        <v>0</v>
      </c>
      <c r="I13" s="370">
        <v>44631</v>
      </c>
      <c r="J13" s="57">
        <v>8711</v>
      </c>
      <c r="K13" s="111">
        <v>18173</v>
      </c>
      <c r="L13" s="476">
        <v>44643</v>
      </c>
      <c r="M13" s="261">
        <v>18173</v>
      </c>
      <c r="N13" s="137">
        <f t="shared" si="1"/>
        <v>0</v>
      </c>
    </row>
    <row r="14" spans="1:14" ht="15.75" x14ac:dyDescent="0.25">
      <c r="A14" s="452">
        <v>44628</v>
      </c>
      <c r="B14" s="437" t="s">
        <v>532</v>
      </c>
      <c r="C14" s="392">
        <v>1776</v>
      </c>
      <c r="D14" s="486">
        <v>44643</v>
      </c>
      <c r="E14" s="487">
        <v>1776</v>
      </c>
      <c r="F14" s="392">
        <f t="shared" si="0"/>
        <v>0</v>
      </c>
      <c r="I14" s="370">
        <v>44631</v>
      </c>
      <c r="J14" s="57">
        <v>8714</v>
      </c>
      <c r="K14" s="111">
        <v>6720</v>
      </c>
      <c r="L14" s="476">
        <v>44643</v>
      </c>
      <c r="M14" s="261">
        <v>6720</v>
      </c>
      <c r="N14" s="137">
        <f t="shared" si="1"/>
        <v>0</v>
      </c>
    </row>
    <row r="15" spans="1:14" ht="15.75" x14ac:dyDescent="0.25">
      <c r="A15" s="452">
        <v>44629</v>
      </c>
      <c r="B15" s="437" t="s">
        <v>533</v>
      </c>
      <c r="C15" s="392">
        <v>76124.3</v>
      </c>
      <c r="D15" s="486" t="s">
        <v>727</v>
      </c>
      <c r="E15" s="487">
        <f>61979.8+14144.5</f>
        <v>76124.3</v>
      </c>
      <c r="F15" s="392">
        <f t="shared" si="0"/>
        <v>0</v>
      </c>
      <c r="I15" s="370">
        <v>44631</v>
      </c>
      <c r="J15" s="57">
        <v>8716</v>
      </c>
      <c r="K15" s="111">
        <v>360</v>
      </c>
      <c r="L15" s="476">
        <v>44643</v>
      </c>
      <c r="M15" s="261">
        <v>360</v>
      </c>
      <c r="N15" s="137">
        <f t="shared" si="1"/>
        <v>0</v>
      </c>
    </row>
    <row r="16" spans="1:14" ht="15.75" x14ac:dyDescent="0.25">
      <c r="A16" s="452">
        <v>44630</v>
      </c>
      <c r="B16" s="437" t="s">
        <v>534</v>
      </c>
      <c r="C16" s="392">
        <v>50443.9</v>
      </c>
      <c r="D16" s="405">
        <v>44670</v>
      </c>
      <c r="E16" s="392">
        <v>50443.9</v>
      </c>
      <c r="F16" s="392">
        <f t="shared" si="0"/>
        <v>0</v>
      </c>
      <c r="I16" s="370">
        <v>44632</v>
      </c>
      <c r="J16" s="57">
        <v>8720</v>
      </c>
      <c r="K16" s="111">
        <v>450</v>
      </c>
      <c r="L16" s="476">
        <v>44643</v>
      </c>
      <c r="M16" s="261">
        <v>450</v>
      </c>
      <c r="N16" s="137">
        <f t="shared" si="1"/>
        <v>0</v>
      </c>
    </row>
    <row r="17" spans="1:14" ht="15.75" x14ac:dyDescent="0.25">
      <c r="A17" s="452">
        <v>44631</v>
      </c>
      <c r="B17" s="437" t="s">
        <v>537</v>
      </c>
      <c r="C17" s="392">
        <v>94092.05</v>
      </c>
      <c r="D17" s="405">
        <v>44670</v>
      </c>
      <c r="E17" s="392">
        <v>94092.05</v>
      </c>
      <c r="F17" s="392">
        <f t="shared" si="0"/>
        <v>0</v>
      </c>
      <c r="I17" s="370">
        <v>44634</v>
      </c>
      <c r="J17" s="57">
        <v>8764</v>
      </c>
      <c r="K17" s="111">
        <v>2120</v>
      </c>
      <c r="L17" s="476">
        <v>44643</v>
      </c>
      <c r="M17" s="261">
        <v>2120</v>
      </c>
      <c r="N17" s="137">
        <f t="shared" si="1"/>
        <v>0</v>
      </c>
    </row>
    <row r="18" spans="1:14" ht="15.75" x14ac:dyDescent="0.25">
      <c r="A18" s="452">
        <v>44631</v>
      </c>
      <c r="B18" s="437" t="s">
        <v>538</v>
      </c>
      <c r="C18" s="392">
        <v>8163.9</v>
      </c>
      <c r="D18" s="405">
        <v>44670</v>
      </c>
      <c r="E18" s="392">
        <v>8163.9</v>
      </c>
      <c r="F18" s="392">
        <f t="shared" si="0"/>
        <v>0</v>
      </c>
      <c r="I18" s="370">
        <v>44635</v>
      </c>
      <c r="J18" s="57">
        <v>8773</v>
      </c>
      <c r="K18" s="111">
        <v>4670</v>
      </c>
      <c r="L18" s="476">
        <v>44643</v>
      </c>
      <c r="M18" s="261">
        <v>4670</v>
      </c>
      <c r="N18" s="137">
        <f t="shared" si="1"/>
        <v>0</v>
      </c>
    </row>
    <row r="19" spans="1:14" ht="15.75" x14ac:dyDescent="0.25">
      <c r="A19" s="452">
        <v>44632</v>
      </c>
      <c r="B19" s="437" t="s">
        <v>539</v>
      </c>
      <c r="C19" s="392">
        <v>57174.8</v>
      </c>
      <c r="D19" s="405">
        <v>44670</v>
      </c>
      <c r="E19" s="392">
        <v>57174.8</v>
      </c>
      <c r="F19" s="392">
        <f t="shared" si="0"/>
        <v>0</v>
      </c>
      <c r="I19" s="370">
        <v>44636</v>
      </c>
      <c r="J19" s="57">
        <v>8785</v>
      </c>
      <c r="K19" s="111">
        <v>3785</v>
      </c>
      <c r="L19" s="476">
        <v>44643</v>
      </c>
      <c r="M19" s="261">
        <v>3785</v>
      </c>
      <c r="N19" s="137">
        <f t="shared" si="1"/>
        <v>0</v>
      </c>
    </row>
    <row r="20" spans="1:14" ht="15.75" x14ac:dyDescent="0.25">
      <c r="A20" s="452">
        <v>44634</v>
      </c>
      <c r="B20" s="437" t="s">
        <v>540</v>
      </c>
      <c r="C20" s="392">
        <v>9004.7999999999993</v>
      </c>
      <c r="D20" s="405">
        <v>44670</v>
      </c>
      <c r="E20" s="392">
        <v>9004.7999999999993</v>
      </c>
      <c r="F20" s="392">
        <f t="shared" si="0"/>
        <v>0</v>
      </c>
      <c r="I20" s="370">
        <v>44638</v>
      </c>
      <c r="J20" s="57">
        <v>8795</v>
      </c>
      <c r="K20" s="111">
        <v>10063</v>
      </c>
      <c r="L20" s="476">
        <v>44643</v>
      </c>
      <c r="M20" s="261">
        <v>10063</v>
      </c>
      <c r="N20" s="137">
        <f t="shared" si="1"/>
        <v>0</v>
      </c>
    </row>
    <row r="21" spans="1:14" ht="15.75" x14ac:dyDescent="0.25">
      <c r="A21" s="452">
        <v>44634</v>
      </c>
      <c r="B21" s="437" t="s">
        <v>541</v>
      </c>
      <c r="C21" s="392">
        <v>80090.45</v>
      </c>
      <c r="D21" s="405">
        <v>44670</v>
      </c>
      <c r="E21" s="392">
        <v>80090.45</v>
      </c>
      <c r="F21" s="392">
        <f t="shared" si="0"/>
        <v>0</v>
      </c>
      <c r="I21" s="370">
        <v>44639</v>
      </c>
      <c r="J21" s="57">
        <v>8800</v>
      </c>
      <c r="K21" s="111">
        <v>1988</v>
      </c>
      <c r="L21" s="476">
        <v>44643</v>
      </c>
      <c r="M21" s="261">
        <v>1988</v>
      </c>
      <c r="N21" s="137">
        <f t="shared" si="1"/>
        <v>0</v>
      </c>
    </row>
    <row r="22" spans="1:14" ht="18.75" x14ac:dyDescent="0.3">
      <c r="A22" s="452">
        <v>44634</v>
      </c>
      <c r="B22" s="437" t="s">
        <v>542</v>
      </c>
      <c r="C22" s="392">
        <v>7015.6</v>
      </c>
      <c r="D22" s="405">
        <v>44670</v>
      </c>
      <c r="E22" s="392">
        <v>7015.6</v>
      </c>
      <c r="F22" s="392">
        <f t="shared" si="0"/>
        <v>0</v>
      </c>
      <c r="G22" s="138"/>
      <c r="I22" s="370">
        <v>44639</v>
      </c>
      <c r="J22" s="57">
        <v>8801</v>
      </c>
      <c r="K22" s="111">
        <v>270</v>
      </c>
      <c r="L22" s="476">
        <v>44643</v>
      </c>
      <c r="M22" s="261">
        <v>270</v>
      </c>
      <c r="N22" s="137">
        <f t="shared" si="1"/>
        <v>0</v>
      </c>
    </row>
    <row r="23" spans="1:14" ht="15.75" x14ac:dyDescent="0.25">
      <c r="A23" s="452">
        <v>44635</v>
      </c>
      <c r="B23" s="437" t="s">
        <v>543</v>
      </c>
      <c r="C23" s="392">
        <v>2559.1999999999998</v>
      </c>
      <c r="D23" s="405">
        <v>44670</v>
      </c>
      <c r="E23" s="392">
        <v>2559.1999999999998</v>
      </c>
      <c r="F23" s="392">
        <f t="shared" si="0"/>
        <v>0</v>
      </c>
      <c r="I23" s="370">
        <v>44641</v>
      </c>
      <c r="J23" s="57">
        <v>8810</v>
      </c>
      <c r="K23" s="111">
        <v>1553</v>
      </c>
      <c r="L23" s="476">
        <v>44643</v>
      </c>
      <c r="M23" s="261">
        <v>1553</v>
      </c>
      <c r="N23" s="137">
        <f t="shared" si="1"/>
        <v>0</v>
      </c>
    </row>
    <row r="24" spans="1:14" ht="15.75" x14ac:dyDescent="0.25">
      <c r="A24" s="452">
        <v>44636</v>
      </c>
      <c r="B24" s="437" t="s">
        <v>544</v>
      </c>
      <c r="C24" s="392">
        <v>11187.2</v>
      </c>
      <c r="D24" s="405">
        <v>44670</v>
      </c>
      <c r="E24" s="392">
        <v>11187.2</v>
      </c>
      <c r="F24" s="392">
        <f t="shared" si="0"/>
        <v>0</v>
      </c>
      <c r="I24" s="370">
        <v>44642</v>
      </c>
      <c r="J24" s="57">
        <v>8817</v>
      </c>
      <c r="K24" s="111">
        <v>1450</v>
      </c>
      <c r="L24" s="476">
        <v>44643</v>
      </c>
      <c r="M24" s="261">
        <v>1450</v>
      </c>
      <c r="N24" s="137">
        <f t="shared" si="1"/>
        <v>0</v>
      </c>
    </row>
    <row r="25" spans="1:14" ht="15.75" x14ac:dyDescent="0.25">
      <c r="A25" s="452">
        <v>44637</v>
      </c>
      <c r="B25" s="437" t="s">
        <v>545</v>
      </c>
      <c r="C25" s="392">
        <v>51776.46</v>
      </c>
      <c r="D25" s="405">
        <v>44670</v>
      </c>
      <c r="E25" s="392">
        <v>51776.46</v>
      </c>
      <c r="F25" s="392">
        <f t="shared" si="0"/>
        <v>0</v>
      </c>
      <c r="I25" s="498" t="s">
        <v>615</v>
      </c>
      <c r="J25" s="499">
        <v>8832</v>
      </c>
      <c r="K25" s="500">
        <v>36766.699999999997</v>
      </c>
      <c r="L25" s="476"/>
      <c r="M25" s="111"/>
      <c r="N25" s="137">
        <f t="shared" si="1"/>
        <v>36766.699999999997</v>
      </c>
    </row>
    <row r="26" spans="1:14" ht="15.75" x14ac:dyDescent="0.25">
      <c r="A26" s="452">
        <v>44638</v>
      </c>
      <c r="B26" s="437" t="s">
        <v>546</v>
      </c>
      <c r="C26" s="392">
        <v>87124.5</v>
      </c>
      <c r="D26" s="405">
        <v>44670</v>
      </c>
      <c r="E26" s="392">
        <v>87124.5</v>
      </c>
      <c r="F26" s="392">
        <f t="shared" si="0"/>
        <v>0</v>
      </c>
      <c r="I26" s="501" t="s">
        <v>615</v>
      </c>
      <c r="J26" s="502">
        <v>8834</v>
      </c>
      <c r="K26" s="503">
        <v>6425.6</v>
      </c>
      <c r="L26" s="476"/>
      <c r="M26" s="111"/>
      <c r="N26" s="137">
        <f t="shared" si="1"/>
        <v>43192.299999999996</v>
      </c>
    </row>
    <row r="27" spans="1:14" ht="15.75" x14ac:dyDescent="0.25">
      <c r="A27" s="452">
        <v>44639</v>
      </c>
      <c r="B27" s="437" t="s">
        <v>599</v>
      </c>
      <c r="C27" s="392">
        <v>67449.740000000005</v>
      </c>
      <c r="D27" s="405">
        <v>44670</v>
      </c>
      <c r="E27" s="392">
        <v>67449.740000000005</v>
      </c>
      <c r="F27" s="392">
        <f t="shared" si="0"/>
        <v>0</v>
      </c>
      <c r="I27" s="501" t="s">
        <v>616</v>
      </c>
      <c r="J27" s="502">
        <v>8837</v>
      </c>
      <c r="K27" s="503">
        <v>360</v>
      </c>
      <c r="L27" s="476"/>
      <c r="M27" s="111"/>
      <c r="N27" s="137">
        <f t="shared" si="1"/>
        <v>43552.299999999996</v>
      </c>
    </row>
    <row r="28" spans="1:14" ht="15.75" x14ac:dyDescent="0.25">
      <c r="A28" s="452">
        <v>44639</v>
      </c>
      <c r="B28" s="437" t="s">
        <v>600</v>
      </c>
      <c r="C28" s="392">
        <v>4430.8</v>
      </c>
      <c r="D28" s="405">
        <v>44670</v>
      </c>
      <c r="E28" s="392">
        <v>4430.8</v>
      </c>
      <c r="F28" s="392">
        <f t="shared" si="0"/>
        <v>0</v>
      </c>
      <c r="I28" s="498" t="s">
        <v>617</v>
      </c>
      <c r="J28" s="499">
        <v>8849</v>
      </c>
      <c r="K28" s="500">
        <v>23962.400000000001</v>
      </c>
      <c r="L28" s="476"/>
      <c r="M28" s="111"/>
      <c r="N28" s="137">
        <f t="shared" si="1"/>
        <v>67514.7</v>
      </c>
    </row>
    <row r="29" spans="1:14" ht="15.75" x14ac:dyDescent="0.25">
      <c r="A29" s="452">
        <v>44639</v>
      </c>
      <c r="B29" s="437" t="s">
        <v>601</v>
      </c>
      <c r="C29" s="392">
        <v>6400</v>
      </c>
      <c r="D29" s="405">
        <v>44670</v>
      </c>
      <c r="E29" s="392">
        <v>6400</v>
      </c>
      <c r="F29" s="392">
        <f t="shared" si="0"/>
        <v>0</v>
      </c>
      <c r="I29" s="498" t="s">
        <v>618</v>
      </c>
      <c r="J29" s="499">
        <v>8859</v>
      </c>
      <c r="K29" s="500">
        <v>180</v>
      </c>
      <c r="L29" s="476"/>
      <c r="M29" s="111"/>
      <c r="N29" s="137">
        <f t="shared" si="1"/>
        <v>67694.7</v>
      </c>
    </row>
    <row r="30" spans="1:14" ht="18.75" x14ac:dyDescent="0.3">
      <c r="A30" s="452">
        <v>44641</v>
      </c>
      <c r="B30" s="437" t="s">
        <v>602</v>
      </c>
      <c r="C30" s="392">
        <v>129051.65</v>
      </c>
      <c r="D30" s="405">
        <v>44670</v>
      </c>
      <c r="E30" s="392">
        <v>129051.65</v>
      </c>
      <c r="F30" s="392">
        <f t="shared" si="0"/>
        <v>0</v>
      </c>
      <c r="G30" s="138"/>
      <c r="I30" s="501" t="s">
        <v>618</v>
      </c>
      <c r="J30" s="502">
        <v>8863</v>
      </c>
      <c r="K30" s="503">
        <v>44504</v>
      </c>
      <c r="L30" s="476"/>
      <c r="M30" s="69"/>
      <c r="N30" s="137">
        <f t="shared" si="1"/>
        <v>112198.7</v>
      </c>
    </row>
    <row r="31" spans="1:14" ht="15.75" x14ac:dyDescent="0.25">
      <c r="A31" s="452">
        <v>44641</v>
      </c>
      <c r="B31" s="437" t="s">
        <v>603</v>
      </c>
      <c r="C31" s="392">
        <v>9483.7999999999993</v>
      </c>
      <c r="D31" s="405">
        <v>44670</v>
      </c>
      <c r="E31" s="392">
        <v>9483.7999999999993</v>
      </c>
      <c r="F31" s="392">
        <f t="shared" si="0"/>
        <v>0</v>
      </c>
      <c r="I31" s="370"/>
      <c r="J31" s="57"/>
      <c r="K31" s="111"/>
      <c r="L31" s="476"/>
      <c r="M31" s="69"/>
      <c r="N31" s="137">
        <f t="shared" si="1"/>
        <v>112198.7</v>
      </c>
    </row>
    <row r="32" spans="1:14" ht="15.75" x14ac:dyDescent="0.25">
      <c r="A32" s="452">
        <v>44642</v>
      </c>
      <c r="B32" s="437" t="s">
        <v>604</v>
      </c>
      <c r="C32" s="392">
        <v>9623.1</v>
      </c>
      <c r="D32" s="405">
        <v>44670</v>
      </c>
      <c r="E32" s="392">
        <v>9623.1</v>
      </c>
      <c r="F32" s="392">
        <f t="shared" si="0"/>
        <v>0</v>
      </c>
      <c r="I32" s="370"/>
      <c r="J32" s="57"/>
      <c r="K32" s="111"/>
      <c r="L32" s="476"/>
      <c r="M32" s="69"/>
      <c r="N32" s="137">
        <f t="shared" si="1"/>
        <v>112198.7</v>
      </c>
    </row>
    <row r="33" spans="1:14" ht="15.75" x14ac:dyDescent="0.25">
      <c r="A33" s="452">
        <v>44642</v>
      </c>
      <c r="B33" s="437" t="s">
        <v>605</v>
      </c>
      <c r="C33" s="392">
        <v>869.4</v>
      </c>
      <c r="D33" s="405">
        <v>44670</v>
      </c>
      <c r="E33" s="392">
        <v>869.4</v>
      </c>
      <c r="F33" s="392">
        <f t="shared" si="0"/>
        <v>0</v>
      </c>
      <c r="I33" s="370"/>
      <c r="J33" s="57"/>
      <c r="K33" s="111"/>
      <c r="L33" s="476"/>
      <c r="M33" s="69"/>
      <c r="N33" s="137">
        <f t="shared" si="1"/>
        <v>112198.7</v>
      </c>
    </row>
    <row r="34" spans="1:14" ht="15.75" x14ac:dyDescent="0.25">
      <c r="A34" s="452">
        <v>44643</v>
      </c>
      <c r="B34" s="437" t="s">
        <v>606</v>
      </c>
      <c r="C34" s="392">
        <v>7771.4</v>
      </c>
      <c r="D34" s="405">
        <v>44670</v>
      </c>
      <c r="E34" s="392">
        <v>7771.4</v>
      </c>
      <c r="F34" s="392">
        <f t="shared" si="0"/>
        <v>0</v>
      </c>
      <c r="I34" s="370"/>
      <c r="J34" s="57"/>
      <c r="K34" s="111"/>
      <c r="L34" s="476"/>
      <c r="M34" s="69"/>
      <c r="N34" s="137">
        <f t="shared" si="1"/>
        <v>112198.7</v>
      </c>
    </row>
    <row r="35" spans="1:14" ht="15.75" x14ac:dyDescent="0.25">
      <c r="A35" s="452">
        <v>44644</v>
      </c>
      <c r="B35" s="437" t="s">
        <v>607</v>
      </c>
      <c r="C35" s="392">
        <v>46801.67</v>
      </c>
      <c r="D35" s="405">
        <v>44670</v>
      </c>
      <c r="E35" s="392">
        <v>46801.67</v>
      </c>
      <c r="F35" s="392">
        <f t="shared" si="0"/>
        <v>0</v>
      </c>
      <c r="I35" s="370"/>
      <c r="J35" s="57"/>
      <c r="K35" s="111"/>
      <c r="L35" s="476"/>
      <c r="M35" s="69"/>
      <c r="N35" s="137">
        <f t="shared" si="1"/>
        <v>112198.7</v>
      </c>
    </row>
    <row r="36" spans="1:14" ht="15.75" x14ac:dyDescent="0.25">
      <c r="A36" s="452">
        <v>44645</v>
      </c>
      <c r="B36" s="437" t="s">
        <v>608</v>
      </c>
      <c r="C36" s="392">
        <v>106305.33</v>
      </c>
      <c r="D36" s="405">
        <v>44670</v>
      </c>
      <c r="E36" s="392">
        <v>106305.33</v>
      </c>
      <c r="F36" s="392">
        <f t="shared" si="0"/>
        <v>0</v>
      </c>
      <c r="I36" s="370"/>
      <c r="J36" s="57"/>
      <c r="K36" s="111"/>
      <c r="L36" s="476"/>
      <c r="M36" s="69"/>
      <c r="N36" s="137">
        <f t="shared" si="1"/>
        <v>112198.7</v>
      </c>
    </row>
    <row r="37" spans="1:14" ht="15.75" x14ac:dyDescent="0.25">
      <c r="A37" s="452">
        <v>44646</v>
      </c>
      <c r="B37" s="437" t="s">
        <v>609</v>
      </c>
      <c r="C37" s="392">
        <v>49908.18</v>
      </c>
      <c r="D37" s="405">
        <v>44670</v>
      </c>
      <c r="E37" s="392">
        <v>49908.18</v>
      </c>
      <c r="F37" s="392">
        <f t="shared" si="0"/>
        <v>0</v>
      </c>
      <c r="I37" s="370"/>
      <c r="J37" s="57"/>
      <c r="K37" s="111"/>
      <c r="L37" s="476"/>
      <c r="M37" s="69"/>
      <c r="N37" s="137">
        <f t="shared" si="1"/>
        <v>112198.7</v>
      </c>
    </row>
    <row r="38" spans="1:14" ht="15.75" x14ac:dyDescent="0.25">
      <c r="A38" s="452"/>
      <c r="B38" s="438"/>
      <c r="C38" s="410"/>
      <c r="D38" s="411"/>
      <c r="E38" s="410"/>
      <c r="F38" s="392">
        <f t="shared" si="0"/>
        <v>0</v>
      </c>
      <c r="I38" s="288"/>
      <c r="J38" s="57"/>
      <c r="K38" s="111"/>
      <c r="L38" s="476"/>
      <c r="M38" s="69"/>
      <c r="N38" s="137">
        <f t="shared" si="1"/>
        <v>112198.7</v>
      </c>
    </row>
    <row r="39" spans="1:14" ht="15.75" x14ac:dyDescent="0.25">
      <c r="A39" s="452"/>
      <c r="B39" s="246"/>
      <c r="C39" s="111"/>
      <c r="D39" s="412"/>
      <c r="E39" s="111"/>
      <c r="F39" s="392">
        <f t="shared" si="0"/>
        <v>0</v>
      </c>
      <c r="I39" s="288"/>
      <c r="J39" s="57"/>
      <c r="K39" s="111"/>
      <c r="L39" s="476"/>
      <c r="M39" s="69"/>
      <c r="N39" s="137">
        <f t="shared" si="1"/>
        <v>112198.7</v>
      </c>
    </row>
    <row r="40" spans="1:14" ht="15.75" x14ac:dyDescent="0.25">
      <c r="A40" s="452"/>
      <c r="B40" s="246"/>
      <c r="C40" s="111"/>
      <c r="D40" s="412"/>
      <c r="E40" s="111"/>
      <c r="F40" s="392">
        <f t="shared" si="0"/>
        <v>0</v>
      </c>
      <c r="I40" s="288"/>
      <c r="J40" s="57"/>
      <c r="K40" s="111"/>
      <c r="L40" s="476"/>
      <c r="M40" s="69"/>
      <c r="N40" s="137">
        <f t="shared" si="1"/>
        <v>112198.7</v>
      </c>
    </row>
    <row r="41" spans="1:14" ht="15.75" x14ac:dyDescent="0.25">
      <c r="A41" s="452"/>
      <c r="B41" s="246"/>
      <c r="C41" s="111"/>
      <c r="D41" s="412"/>
      <c r="E41" s="111"/>
      <c r="F41" s="392">
        <f t="shared" si="0"/>
        <v>0</v>
      </c>
      <c r="I41" s="288"/>
      <c r="J41" s="57"/>
      <c r="K41" s="111"/>
      <c r="L41" s="476"/>
      <c r="M41" s="69"/>
      <c r="N41" s="137">
        <f t="shared" si="1"/>
        <v>112198.7</v>
      </c>
    </row>
    <row r="42" spans="1:14" ht="15.75" x14ac:dyDescent="0.25">
      <c r="A42" s="453"/>
      <c r="B42" s="246"/>
      <c r="C42" s="111"/>
      <c r="D42" s="253"/>
      <c r="E42" s="69"/>
      <c r="F42" s="392">
        <f t="shared" si="0"/>
        <v>0</v>
      </c>
      <c r="I42" s="288"/>
      <c r="J42" s="57"/>
      <c r="K42" s="111"/>
      <c r="L42" s="476"/>
      <c r="M42" s="69"/>
      <c r="N42" s="137">
        <f t="shared" si="1"/>
        <v>112198.7</v>
      </c>
    </row>
    <row r="43" spans="1:14" ht="15.75" x14ac:dyDescent="0.25">
      <c r="A43" s="453"/>
      <c r="B43" s="439"/>
      <c r="C43" s="413"/>
      <c r="D43" s="413"/>
      <c r="E43" s="413"/>
      <c r="F43" s="392">
        <f t="shared" si="0"/>
        <v>0</v>
      </c>
      <c r="I43" s="288"/>
      <c r="J43" s="57"/>
      <c r="K43" s="111"/>
      <c r="L43" s="476"/>
      <c r="M43" s="69"/>
      <c r="N43" s="137">
        <f t="shared" si="1"/>
        <v>112198.7</v>
      </c>
    </row>
    <row r="44" spans="1:14" ht="15" customHeight="1" x14ac:dyDescent="0.25">
      <c r="A44" s="453"/>
      <c r="B44" s="439"/>
      <c r="C44" s="413"/>
      <c r="D44" s="413"/>
      <c r="E44" s="413"/>
      <c r="F44" s="392">
        <f t="shared" si="0"/>
        <v>0</v>
      </c>
      <c r="I44" s="288"/>
      <c r="J44" s="57"/>
      <c r="K44" s="111"/>
      <c r="L44" s="476"/>
      <c r="M44" s="69"/>
      <c r="N44" s="137">
        <f t="shared" si="1"/>
        <v>112198.7</v>
      </c>
    </row>
    <row r="45" spans="1:14" ht="15.75" x14ac:dyDescent="0.25">
      <c r="A45" s="453"/>
      <c r="B45" s="439"/>
      <c r="C45" s="413"/>
      <c r="D45" s="413"/>
      <c r="E45" s="413"/>
      <c r="F45" s="392">
        <f t="shared" si="0"/>
        <v>0</v>
      </c>
      <c r="I45" s="288"/>
      <c r="J45" s="57"/>
      <c r="K45" s="111"/>
      <c r="L45" s="476"/>
      <c r="M45" s="69"/>
      <c r="N45" s="137">
        <f t="shared" si="1"/>
        <v>112198.7</v>
      </c>
    </row>
    <row r="46" spans="1:14" ht="15.75" x14ac:dyDescent="0.25">
      <c r="A46" s="453"/>
      <c r="B46" s="246"/>
      <c r="C46" s="111"/>
      <c r="D46" s="253"/>
      <c r="E46" s="69"/>
      <c r="F46" s="392">
        <f t="shared" si="0"/>
        <v>0</v>
      </c>
      <c r="I46" s="288"/>
      <c r="J46" s="57"/>
      <c r="K46" s="111"/>
      <c r="L46" s="476"/>
      <c r="M46" s="69"/>
      <c r="N46" s="137">
        <f t="shared" si="1"/>
        <v>112198.7</v>
      </c>
    </row>
    <row r="47" spans="1:14" ht="15.75" x14ac:dyDescent="0.25">
      <c r="A47" s="454"/>
      <c r="B47" s="246"/>
      <c r="C47" s="111"/>
      <c r="D47" s="253"/>
      <c r="E47" s="69"/>
      <c r="F47" s="137">
        <f t="shared" ref="F47:F78" si="2">F46+C47-E47</f>
        <v>0</v>
      </c>
      <c r="I47" s="350"/>
      <c r="J47" s="415"/>
      <c r="K47" s="34"/>
      <c r="L47" s="416"/>
      <c r="M47" s="215"/>
      <c r="N47" s="137">
        <f t="shared" si="1"/>
        <v>112198.7</v>
      </c>
    </row>
    <row r="48" spans="1:14" ht="15.75" x14ac:dyDescent="0.25">
      <c r="A48" s="454"/>
      <c r="B48" s="246"/>
      <c r="C48" s="111"/>
      <c r="D48" s="253"/>
      <c r="E48" s="69"/>
      <c r="F48" s="137">
        <f t="shared" si="2"/>
        <v>0</v>
      </c>
      <c r="I48" s="348"/>
      <c r="J48" s="414"/>
      <c r="K48" s="414"/>
      <c r="L48" s="477"/>
      <c r="M48" s="206"/>
      <c r="N48" s="137">
        <f>N47+K48-M48</f>
        <v>112198.7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8"/>
      <c r="J49" s="414"/>
      <c r="K49" s="414"/>
      <c r="L49" s="477"/>
      <c r="M49" s="206"/>
      <c r="N49" s="137">
        <f t="shared" si="1"/>
        <v>112198.7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08"/>
      <c r="K50" s="215">
        <v>0</v>
      </c>
      <c r="L50" s="409"/>
      <c r="M50" s="69"/>
      <c r="N50" s="137">
        <f t="shared" si="1"/>
        <v>112198.7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112198.7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112198.7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112198.7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112198.7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112198.7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112198.7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112198.7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112198.7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112198.7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112198.7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112198.7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6"/>
      <c r="J62" s="357"/>
      <c r="K62" s="34"/>
      <c r="L62" s="147"/>
      <c r="M62" s="34"/>
      <c r="N62" s="137">
        <f t="shared" si="1"/>
        <v>112198.7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6"/>
      <c r="J63" s="357"/>
      <c r="K63" s="34"/>
      <c r="L63" s="147"/>
      <c r="M63" s="34"/>
      <c r="N63" s="137">
        <f t="shared" si="1"/>
        <v>112198.7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6"/>
      <c r="J64" s="357"/>
      <c r="K64" s="34"/>
      <c r="L64" s="147"/>
      <c r="M64" s="34"/>
      <c r="N64" s="137">
        <f t="shared" si="1"/>
        <v>112198.7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6"/>
      <c r="J65" s="357"/>
      <c r="K65" s="34"/>
      <c r="L65" s="147"/>
      <c r="M65" s="34"/>
      <c r="N65" s="137">
        <f t="shared" si="1"/>
        <v>112198.7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6"/>
      <c r="J66" s="357"/>
      <c r="K66" s="34"/>
      <c r="L66" s="147"/>
      <c r="M66" s="34"/>
      <c r="N66" s="137">
        <f t="shared" si="1"/>
        <v>112198.7</v>
      </c>
    </row>
    <row r="67" spans="1:14" ht="15.75" hidden="1" x14ac:dyDescent="0.25">
      <c r="A67" s="356"/>
      <c r="B67" s="357"/>
      <c r="C67" s="34"/>
      <c r="D67" s="118"/>
      <c r="E67" s="34"/>
      <c r="F67" s="137">
        <f t="shared" si="2"/>
        <v>0</v>
      </c>
      <c r="I67" s="356"/>
      <c r="J67" s="357"/>
      <c r="K67" s="34"/>
      <c r="L67" s="147"/>
      <c r="M67" s="34"/>
      <c r="N67" s="137">
        <f t="shared" si="1"/>
        <v>112198.7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112198.7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112198.7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112198.7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112198.7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112198.7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3"/>
        <v>112198.7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si="2"/>
        <v>0</v>
      </c>
      <c r="I74" s="134"/>
      <c r="J74" s="139"/>
      <c r="K74" s="69"/>
      <c r="L74" s="148"/>
      <c r="M74" s="69"/>
      <c r="N74" s="137">
        <f t="shared" si="3"/>
        <v>112198.7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2"/>
        <v>0</v>
      </c>
      <c r="I75" s="134"/>
      <c r="J75" s="139"/>
      <c r="K75" s="69"/>
      <c r="L75" s="148"/>
      <c r="M75" s="69"/>
      <c r="N75" s="137">
        <f t="shared" si="3"/>
        <v>112198.7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2"/>
        <v>0</v>
      </c>
      <c r="I76" s="134"/>
      <c r="J76" s="139"/>
      <c r="K76" s="69"/>
      <c r="L76" s="148"/>
      <c r="M76" s="69"/>
      <c r="N76" s="137">
        <f t="shared" si="3"/>
        <v>112198.7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2"/>
        <v>0</v>
      </c>
      <c r="I77" s="134"/>
      <c r="J77" s="139"/>
      <c r="K77" s="69"/>
      <c r="L77" s="148"/>
      <c r="M77" s="69"/>
      <c r="N77" s="137">
        <f t="shared" si="3"/>
        <v>112198.7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2"/>
        <v>0</v>
      </c>
      <c r="I78" s="149"/>
      <c r="J78" s="150"/>
      <c r="K78" s="151">
        <v>0</v>
      </c>
      <c r="L78" s="152"/>
      <c r="M78" s="151"/>
      <c r="N78" s="137">
        <f t="shared" si="3"/>
        <v>112198.7</v>
      </c>
    </row>
    <row r="79" spans="1:14" ht="19.5" thickTop="1" x14ac:dyDescent="0.3">
      <c r="B79" s="440"/>
      <c r="C79" s="212">
        <f>SUM(C3:C78)</f>
        <v>1360260.3199999998</v>
      </c>
      <c r="D79" s="407"/>
      <c r="E79" s="395">
        <f>SUM(E3:E78)</f>
        <v>1360260.3199999998</v>
      </c>
      <c r="F79" s="153">
        <f>SUM(F3:F78)</f>
        <v>0</v>
      </c>
      <c r="K79" s="209">
        <f>SUM(K3:K78)</f>
        <v>206286.09999999998</v>
      </c>
      <c r="L79" s="478"/>
      <c r="M79" s="209">
        <f>SUM(M3:M78)</f>
        <v>94087.4</v>
      </c>
      <c r="N79" s="153">
        <f>N78</f>
        <v>112198.7</v>
      </c>
    </row>
    <row r="80" spans="1:14" ht="15.75" thickBot="1" x14ac:dyDescent="0.3">
      <c r="B80" s="441"/>
      <c r="C80" s="214"/>
      <c r="D80" s="256"/>
      <c r="E80" s="3"/>
      <c r="F80" s="659" t="s">
        <v>207</v>
      </c>
      <c r="K80" s="1"/>
      <c r="L80" s="97"/>
      <c r="M80" s="3"/>
      <c r="N80" s="1"/>
    </row>
    <row r="81" spans="1:14" x14ac:dyDescent="0.25">
      <c r="B81" s="163"/>
      <c r="C81" s="1"/>
      <c r="D81" s="256"/>
      <c r="E81" s="3"/>
      <c r="F81" s="660"/>
      <c r="K81" s="1"/>
      <c r="L81" s="97"/>
      <c r="M81" s="3"/>
      <c r="N81" s="1"/>
    </row>
    <row r="82" spans="1:14" ht="16.5" thickBot="1" x14ac:dyDescent="0.3">
      <c r="A82" s="456"/>
      <c r="B82" s="442"/>
      <c r="I82" s="482" t="s">
        <v>596</v>
      </c>
      <c r="J82" s="483"/>
      <c r="K82" s="484"/>
      <c r="L82" s="485"/>
      <c r="M82" s="484"/>
    </row>
    <row r="83" spans="1:14" x14ac:dyDescent="0.25">
      <c r="A83" s="456"/>
      <c r="B83" s="442"/>
      <c r="I83" s="697" t="s">
        <v>594</v>
      </c>
      <c r="J83" s="698"/>
    </row>
    <row r="84" spans="1:14" ht="19.5" thickBot="1" x14ac:dyDescent="0.35">
      <c r="A84" s="517" t="s">
        <v>598</v>
      </c>
      <c r="B84" s="518"/>
      <c r="C84" s="519"/>
      <c r="D84" s="492"/>
      <c r="I84" s="699"/>
      <c r="J84" s="700"/>
    </row>
    <row r="85" spans="1:14" x14ac:dyDescent="0.25">
      <c r="A85" s="456"/>
      <c r="B85" s="442"/>
      <c r="F85"/>
      <c r="I85"/>
      <c r="J85" s="194"/>
      <c r="N85"/>
    </row>
    <row r="86" spans="1:14" x14ac:dyDescent="0.25">
      <c r="A86" s="456"/>
      <c r="B86" s="442"/>
      <c r="F86"/>
      <c r="I86"/>
      <c r="J86" s="194"/>
      <c r="N86"/>
    </row>
    <row r="87" spans="1:14" x14ac:dyDescent="0.25">
      <c r="A87" s="513"/>
      <c r="B87" s="514"/>
      <c r="C87" s="129"/>
      <c r="F87"/>
      <c r="I87"/>
      <c r="J87" s="194"/>
      <c r="N87"/>
    </row>
    <row r="88" spans="1:14" x14ac:dyDescent="0.25">
      <c r="A88" s="513"/>
      <c r="B88" s="514"/>
      <c r="C88" s="129"/>
      <c r="F88"/>
      <c r="I88"/>
      <c r="J88" s="194"/>
      <c r="N88"/>
    </row>
    <row r="89" spans="1:14" ht="15.75" x14ac:dyDescent="0.25">
      <c r="A89" s="515"/>
      <c r="B89" s="516"/>
      <c r="C89" s="233"/>
      <c r="F89"/>
      <c r="I89"/>
      <c r="J89" s="194"/>
      <c r="N89"/>
    </row>
    <row r="90" spans="1:14" ht="15.75" x14ac:dyDescent="0.25">
      <c r="A90" s="515"/>
      <c r="B90" s="516"/>
      <c r="C90" s="233"/>
      <c r="F90"/>
      <c r="I90"/>
      <c r="J90" s="194"/>
      <c r="N90"/>
    </row>
    <row r="91" spans="1:14" ht="15.75" x14ac:dyDescent="0.25">
      <c r="A91" s="515"/>
      <c r="B91" s="516"/>
      <c r="C91" s="233"/>
      <c r="F91"/>
      <c r="I91"/>
      <c r="J91" s="194"/>
      <c r="N91"/>
    </row>
    <row r="92" spans="1:14" ht="15.75" x14ac:dyDescent="0.25">
      <c r="A92" s="515"/>
      <c r="B92" s="516"/>
      <c r="C92" s="233"/>
      <c r="F92"/>
      <c r="I92"/>
      <c r="J92" s="194"/>
      <c r="N92"/>
    </row>
    <row r="93" spans="1:14" ht="15.75" x14ac:dyDescent="0.25">
      <c r="A93" s="515"/>
      <c r="B93" s="516"/>
      <c r="C93" s="233"/>
      <c r="F93"/>
      <c r="I93"/>
      <c r="J93" s="194"/>
      <c r="N93"/>
    </row>
    <row r="94" spans="1:14" x14ac:dyDescent="0.25">
      <c r="A94" s="513"/>
      <c r="B94" s="514"/>
      <c r="C94" s="129"/>
      <c r="E94"/>
      <c r="F94"/>
      <c r="I94"/>
      <c r="J94" s="194"/>
      <c r="M94"/>
      <c r="N94"/>
    </row>
    <row r="95" spans="1:14" x14ac:dyDescent="0.25">
      <c r="A95" s="513"/>
      <c r="B95" s="514"/>
      <c r="C95" s="129"/>
      <c r="E95"/>
      <c r="F95"/>
      <c r="I95"/>
      <c r="J95" s="194"/>
      <c r="M95"/>
      <c r="N95"/>
    </row>
    <row r="96" spans="1:14" x14ac:dyDescent="0.25">
      <c r="A96" s="456"/>
      <c r="B96" s="442"/>
      <c r="E96"/>
      <c r="F96"/>
      <c r="I96"/>
      <c r="J96" s="194"/>
      <c r="M96"/>
      <c r="N96"/>
    </row>
    <row r="97" spans="1:14" x14ac:dyDescent="0.25">
      <c r="A97" s="456"/>
      <c r="B97" s="442"/>
      <c r="E97"/>
      <c r="F97"/>
      <c r="I97"/>
      <c r="J97" s="194"/>
      <c r="M97"/>
      <c r="N97"/>
    </row>
    <row r="98" spans="1:14" x14ac:dyDescent="0.25">
      <c r="A98" s="456"/>
      <c r="B98" s="442"/>
      <c r="E98"/>
      <c r="F98"/>
      <c r="I98"/>
      <c r="J98" s="194"/>
      <c r="M98"/>
      <c r="N98"/>
    </row>
    <row r="99" spans="1:14" x14ac:dyDescent="0.25">
      <c r="A99" s="456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2">
    <mergeCell ref="F80:F81"/>
    <mergeCell ref="I83:J84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Z80"/>
  <sheetViews>
    <sheetView topLeftCell="G19" workbookViewId="0">
      <selection activeCell="P44" sqref="P44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11.85546875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597"/>
      <c r="C1" s="663" t="s">
        <v>620</v>
      </c>
      <c r="D1" s="664"/>
      <c r="E1" s="664"/>
      <c r="F1" s="664"/>
      <c r="G1" s="664"/>
      <c r="H1" s="664"/>
      <c r="I1" s="664"/>
      <c r="J1" s="664"/>
      <c r="K1" s="664"/>
      <c r="L1" s="664"/>
      <c r="M1" s="664"/>
    </row>
    <row r="2" spans="1:25" ht="16.5" thickBot="1" x14ac:dyDescent="0.3">
      <c r="B2" s="598"/>
      <c r="C2" s="3"/>
      <c r="H2" s="5"/>
      <c r="I2" s="6"/>
      <c r="J2" s="7"/>
      <c r="L2" s="8"/>
      <c r="M2" s="6"/>
      <c r="N2" s="9"/>
    </row>
    <row r="3" spans="1:25" ht="21.75" thickBot="1" x14ac:dyDescent="0.35">
      <c r="B3" s="601" t="s">
        <v>0</v>
      </c>
      <c r="C3" s="602"/>
      <c r="D3" s="10"/>
      <c r="E3" s="11"/>
      <c r="F3" s="11"/>
      <c r="H3" s="603" t="s">
        <v>26</v>
      </c>
      <c r="I3" s="603"/>
      <c r="K3" s="165"/>
      <c r="L3" s="13"/>
      <c r="M3" s="14"/>
      <c r="P3" s="640" t="s">
        <v>6</v>
      </c>
      <c r="R3" s="661" t="s">
        <v>216</v>
      </c>
    </row>
    <row r="4" spans="1:25" ht="32.25" thickTop="1" thickBot="1" x14ac:dyDescent="0.35">
      <c r="A4" s="15" t="s">
        <v>1</v>
      </c>
      <c r="B4" s="16"/>
      <c r="C4" s="17">
        <v>1792817.68</v>
      </c>
      <c r="D4" s="18">
        <v>44647</v>
      </c>
      <c r="E4" s="604" t="s">
        <v>2</v>
      </c>
      <c r="F4" s="605"/>
      <c r="H4" s="606" t="s">
        <v>3</v>
      </c>
      <c r="I4" s="607"/>
      <c r="J4" s="19"/>
      <c r="K4" s="166"/>
      <c r="L4" s="20"/>
      <c r="M4" s="21" t="s">
        <v>4</v>
      </c>
      <c r="N4" s="22" t="s">
        <v>5</v>
      </c>
      <c r="P4" s="641"/>
      <c r="Q4" s="322" t="s">
        <v>217</v>
      </c>
      <c r="R4" s="662"/>
      <c r="W4" s="650" t="s">
        <v>124</v>
      </c>
      <c r="X4" s="650"/>
      <c r="Y4" s="227"/>
    </row>
    <row r="5" spans="1:25" ht="18" thickBot="1" x14ac:dyDescent="0.35">
      <c r="A5" s="23" t="s">
        <v>7</v>
      </c>
      <c r="B5" s="24">
        <v>44648</v>
      </c>
      <c r="C5" s="25">
        <v>3368</v>
      </c>
      <c r="D5" s="26" t="s">
        <v>621</v>
      </c>
      <c r="E5" s="27">
        <v>44648</v>
      </c>
      <c r="F5" s="28">
        <v>121665</v>
      </c>
      <c r="G5" s="2"/>
      <c r="H5" s="29">
        <v>44648</v>
      </c>
      <c r="I5" s="30">
        <v>1321</v>
      </c>
      <c r="J5" s="37"/>
      <c r="K5" s="31"/>
      <c r="L5" s="9"/>
      <c r="M5" s="32">
        <v>66588</v>
      </c>
      <c r="N5" s="33">
        <v>50388</v>
      </c>
      <c r="O5" s="318"/>
      <c r="P5" s="34">
        <f>N5+M5+L5+I5+C5</f>
        <v>121665</v>
      </c>
      <c r="Q5" s="325">
        <f>P5-F5</f>
        <v>0</v>
      </c>
      <c r="R5" s="379">
        <v>0</v>
      </c>
      <c r="S5" s="324"/>
      <c r="W5" s="650"/>
      <c r="X5" s="650"/>
      <c r="Y5" s="233"/>
    </row>
    <row r="6" spans="1:25" ht="18" thickBot="1" x14ac:dyDescent="0.35">
      <c r="A6" s="23"/>
      <c r="B6" s="24">
        <v>44649</v>
      </c>
      <c r="C6" s="25">
        <v>20069.5</v>
      </c>
      <c r="D6" s="35" t="s">
        <v>622</v>
      </c>
      <c r="E6" s="27">
        <v>44649</v>
      </c>
      <c r="F6" s="28">
        <v>63399</v>
      </c>
      <c r="G6" s="2"/>
      <c r="H6" s="36">
        <v>44649</v>
      </c>
      <c r="I6" s="30">
        <v>1812.5</v>
      </c>
      <c r="J6" s="37"/>
      <c r="K6" s="38"/>
      <c r="L6" s="39"/>
      <c r="M6" s="32">
        <v>22578</v>
      </c>
      <c r="N6" s="33">
        <v>18939</v>
      </c>
      <c r="O6" s="2"/>
      <c r="P6" s="39">
        <f>N6+M6+L6+I6+C6</f>
        <v>63399</v>
      </c>
      <c r="Q6" s="325">
        <f t="shared" ref="Q6:Q32" si="0"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44650</v>
      </c>
      <c r="C7" s="25">
        <v>5606</v>
      </c>
      <c r="D7" s="40" t="s">
        <v>623</v>
      </c>
      <c r="E7" s="27">
        <v>44650</v>
      </c>
      <c r="F7" s="28">
        <v>87430</v>
      </c>
      <c r="G7" s="2"/>
      <c r="H7" s="36">
        <v>44650</v>
      </c>
      <c r="I7" s="30">
        <v>1580</v>
      </c>
      <c r="J7" s="37"/>
      <c r="K7" s="38"/>
      <c r="L7" s="39"/>
      <c r="M7" s="32">
        <v>45014</v>
      </c>
      <c r="N7" s="33">
        <v>36285</v>
      </c>
      <c r="O7" s="224"/>
      <c r="P7" s="39">
        <f>N7+M7+L7+I7+C7</f>
        <v>88485</v>
      </c>
      <c r="Q7" s="325">
        <v>0</v>
      </c>
      <c r="R7" s="388">
        <v>1055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44651</v>
      </c>
      <c r="C8" s="25">
        <v>13705</v>
      </c>
      <c r="D8" s="42" t="s">
        <v>624</v>
      </c>
      <c r="E8" s="27">
        <v>44651</v>
      </c>
      <c r="F8" s="28">
        <v>76401</v>
      </c>
      <c r="G8" s="2"/>
      <c r="H8" s="36">
        <v>44651</v>
      </c>
      <c r="I8" s="30">
        <v>2835</v>
      </c>
      <c r="J8" s="43"/>
      <c r="K8" s="38"/>
      <c r="L8" s="39"/>
      <c r="M8" s="32">
        <v>38613</v>
      </c>
      <c r="N8" s="33">
        <v>21248</v>
      </c>
      <c r="O8" s="2"/>
      <c r="P8" s="39">
        <f t="shared" ref="P8:P40" si="1">N8+M8+L8+I8+C8</f>
        <v>76401</v>
      </c>
      <c r="Q8" s="325">
        <f t="shared" si="0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44652</v>
      </c>
      <c r="C9" s="25">
        <v>12457</v>
      </c>
      <c r="D9" s="42" t="s">
        <v>625</v>
      </c>
      <c r="E9" s="27">
        <v>44652</v>
      </c>
      <c r="F9" s="28">
        <v>101172</v>
      </c>
      <c r="G9" s="2"/>
      <c r="H9" s="36">
        <v>44652</v>
      </c>
      <c r="I9" s="30">
        <v>7222</v>
      </c>
      <c r="J9" s="37"/>
      <c r="K9" s="223"/>
      <c r="L9" s="39"/>
      <c r="M9" s="32">
        <v>50714.5</v>
      </c>
      <c r="N9" s="33">
        <v>30778</v>
      </c>
      <c r="O9" s="2"/>
      <c r="P9" s="39">
        <f t="shared" si="1"/>
        <v>101171.5</v>
      </c>
      <c r="Q9" s="317">
        <f t="shared" si="0"/>
        <v>-0.5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44653</v>
      </c>
      <c r="C10" s="25">
        <v>7464</v>
      </c>
      <c r="D10" s="40" t="s">
        <v>626</v>
      </c>
      <c r="E10" s="27">
        <v>44653</v>
      </c>
      <c r="F10" s="28">
        <v>125353</v>
      </c>
      <c r="G10" s="2"/>
      <c r="H10" s="36">
        <v>44653</v>
      </c>
      <c r="I10" s="30">
        <v>5404</v>
      </c>
      <c r="J10" s="37">
        <v>44653</v>
      </c>
      <c r="K10" s="167" t="s">
        <v>627</v>
      </c>
      <c r="L10" s="45">
        <v>18725.98</v>
      </c>
      <c r="M10" s="32">
        <v>45200</v>
      </c>
      <c r="N10" s="33">
        <v>48562</v>
      </c>
      <c r="O10" s="2"/>
      <c r="P10" s="39">
        <f>N10+M10+L10+I10+C10</f>
        <v>125355.98</v>
      </c>
      <c r="Q10" s="325">
        <f t="shared" si="0"/>
        <v>2.9799999999959255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44654</v>
      </c>
      <c r="C11" s="25">
        <v>15824</v>
      </c>
      <c r="D11" s="35" t="s">
        <v>628</v>
      </c>
      <c r="E11" s="27">
        <v>44654</v>
      </c>
      <c r="F11" s="28">
        <v>87054</v>
      </c>
      <c r="G11" s="2"/>
      <c r="H11" s="36">
        <v>44654</v>
      </c>
      <c r="I11" s="30">
        <v>1419.5</v>
      </c>
      <c r="J11" s="43"/>
      <c r="K11" s="168"/>
      <c r="L11" s="39"/>
      <c r="M11" s="32">
        <v>75362.5</v>
      </c>
      <c r="N11" s="33">
        <v>23086</v>
      </c>
      <c r="O11" s="2"/>
      <c r="P11" s="39">
        <f t="shared" si="1"/>
        <v>115692</v>
      </c>
      <c r="Q11" s="325">
        <v>0</v>
      </c>
      <c r="R11" s="388">
        <v>28638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44655</v>
      </c>
      <c r="C12" s="25">
        <v>20396</v>
      </c>
      <c r="D12" s="35" t="s">
        <v>629</v>
      </c>
      <c r="E12" s="27">
        <v>44655</v>
      </c>
      <c r="F12" s="28">
        <v>110632</v>
      </c>
      <c r="G12" s="2"/>
      <c r="H12" s="36">
        <v>44655</v>
      </c>
      <c r="I12" s="30">
        <v>1651</v>
      </c>
      <c r="J12" s="37"/>
      <c r="K12" s="169"/>
      <c r="L12" s="39"/>
      <c r="M12" s="32">
        <v>48559</v>
      </c>
      <c r="N12" s="33">
        <v>40026</v>
      </c>
      <c r="O12" s="328"/>
      <c r="P12" s="39">
        <f t="shared" si="1"/>
        <v>110632</v>
      </c>
      <c r="Q12" s="325">
        <f t="shared" si="0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44656</v>
      </c>
      <c r="C13" s="25">
        <v>14935.5</v>
      </c>
      <c r="D13" s="42" t="s">
        <v>630</v>
      </c>
      <c r="E13" s="27">
        <v>44656</v>
      </c>
      <c r="F13" s="28">
        <v>91313</v>
      </c>
      <c r="G13" s="2"/>
      <c r="H13" s="36">
        <v>44656</v>
      </c>
      <c r="I13" s="30">
        <v>2222.5</v>
      </c>
      <c r="J13" s="37"/>
      <c r="K13" s="38"/>
      <c r="L13" s="39"/>
      <c r="M13" s="32">
        <v>52480</v>
      </c>
      <c r="N13" s="33">
        <v>21675</v>
      </c>
      <c r="O13" s="2"/>
      <c r="P13" s="39">
        <f t="shared" si="1"/>
        <v>91313</v>
      </c>
      <c r="Q13" s="325">
        <f t="shared" si="0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44657</v>
      </c>
      <c r="C14" s="25">
        <v>11860</v>
      </c>
      <c r="D14" s="40" t="s">
        <v>631</v>
      </c>
      <c r="E14" s="27">
        <v>44657</v>
      </c>
      <c r="F14" s="28">
        <v>92801</v>
      </c>
      <c r="G14" s="2"/>
      <c r="H14" s="36">
        <v>44657</v>
      </c>
      <c r="I14" s="30">
        <v>4649</v>
      </c>
      <c r="J14" s="37"/>
      <c r="K14" s="38"/>
      <c r="L14" s="39"/>
      <c r="M14" s="32">
        <v>53976</v>
      </c>
      <c r="N14" s="33">
        <v>32114</v>
      </c>
      <c r="O14" s="2"/>
      <c r="P14" s="39">
        <f t="shared" si="1"/>
        <v>102599</v>
      </c>
      <c r="Q14" s="325">
        <v>0</v>
      </c>
      <c r="R14" s="388">
        <v>9798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44658</v>
      </c>
      <c r="C15" s="25">
        <v>8090</v>
      </c>
      <c r="D15" s="40" t="s">
        <v>237</v>
      </c>
      <c r="E15" s="27">
        <v>44658</v>
      </c>
      <c r="F15" s="28">
        <v>75862</v>
      </c>
      <c r="G15" s="2"/>
      <c r="H15" s="36">
        <v>44658</v>
      </c>
      <c r="I15" s="30">
        <v>1192</v>
      </c>
      <c r="J15" s="37"/>
      <c r="K15" s="38"/>
      <c r="L15" s="39"/>
      <c r="M15" s="32">
        <v>44706</v>
      </c>
      <c r="N15" s="33">
        <v>21874</v>
      </c>
      <c r="P15" s="39">
        <f t="shared" si="1"/>
        <v>75862</v>
      </c>
      <c r="Q15" s="325">
        <f t="shared" si="0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44659</v>
      </c>
      <c r="C16" s="25">
        <v>17672</v>
      </c>
      <c r="D16" s="35" t="s">
        <v>632</v>
      </c>
      <c r="E16" s="27">
        <v>44659</v>
      </c>
      <c r="F16" s="28">
        <v>106532</v>
      </c>
      <c r="G16" s="2"/>
      <c r="H16" s="36">
        <v>44659</v>
      </c>
      <c r="I16" s="30">
        <v>10802.5</v>
      </c>
      <c r="J16" s="37"/>
      <c r="K16" s="169"/>
      <c r="L16" s="9"/>
      <c r="M16" s="32">
        <v>46655.5</v>
      </c>
      <c r="N16" s="33">
        <v>31402</v>
      </c>
      <c r="O16" s="330"/>
      <c r="P16" s="39">
        <f t="shared" si="1"/>
        <v>106532</v>
      </c>
      <c r="Q16" s="325">
        <f t="shared" si="0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44660</v>
      </c>
      <c r="C17" s="25">
        <v>20121</v>
      </c>
      <c r="D17" s="42" t="s">
        <v>633</v>
      </c>
      <c r="E17" s="27">
        <v>44660</v>
      </c>
      <c r="F17" s="28">
        <v>123571</v>
      </c>
      <c r="G17" s="2"/>
      <c r="H17" s="36">
        <v>44660</v>
      </c>
      <c r="I17" s="30">
        <v>7186.5</v>
      </c>
      <c r="J17" s="37">
        <v>44660</v>
      </c>
      <c r="K17" s="38" t="s">
        <v>634</v>
      </c>
      <c r="L17" s="45">
        <v>20363</v>
      </c>
      <c r="M17" s="32">
        <v>31634.5</v>
      </c>
      <c r="N17" s="33">
        <v>44266</v>
      </c>
      <c r="P17" s="39">
        <f t="shared" si="1"/>
        <v>123571</v>
      </c>
      <c r="Q17" s="325">
        <f t="shared" si="0"/>
        <v>0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44661</v>
      </c>
      <c r="C18" s="25">
        <v>19394</v>
      </c>
      <c r="D18" s="35" t="s">
        <v>635</v>
      </c>
      <c r="E18" s="27">
        <v>44661</v>
      </c>
      <c r="F18" s="28">
        <v>78602</v>
      </c>
      <c r="G18" s="2"/>
      <c r="H18" s="36">
        <v>44661</v>
      </c>
      <c r="I18" s="30">
        <v>2156.5</v>
      </c>
      <c r="J18" s="37"/>
      <c r="K18" s="170"/>
      <c r="L18" s="39"/>
      <c r="M18" s="32">
        <v>32400</v>
      </c>
      <c r="N18" s="33">
        <v>24653</v>
      </c>
      <c r="P18" s="39">
        <f t="shared" si="1"/>
        <v>78603.5</v>
      </c>
      <c r="Q18" s="325">
        <f t="shared" si="0"/>
        <v>1.5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44662</v>
      </c>
      <c r="C19" s="25">
        <v>37019.5</v>
      </c>
      <c r="D19" s="35" t="s">
        <v>636</v>
      </c>
      <c r="E19" s="27">
        <v>44662</v>
      </c>
      <c r="F19" s="28">
        <v>99617</v>
      </c>
      <c r="G19" s="2"/>
      <c r="H19" s="36">
        <v>44662</v>
      </c>
      <c r="I19" s="30">
        <v>899.5</v>
      </c>
      <c r="J19" s="37"/>
      <c r="K19" s="46"/>
      <c r="L19" s="47"/>
      <c r="M19" s="32">
        <v>19790</v>
      </c>
      <c r="N19" s="33">
        <v>41908</v>
      </c>
      <c r="P19" s="39">
        <f t="shared" si="1"/>
        <v>99617</v>
      </c>
      <c r="Q19" s="325">
        <f t="shared" si="0"/>
        <v>0</v>
      </c>
      <c r="R19" s="319">
        <v>0</v>
      </c>
      <c r="S19" s="147"/>
      <c r="W19" s="654">
        <f>SUM(W6:W18)</f>
        <v>0</v>
      </c>
      <c r="X19" s="240"/>
      <c r="Y19" s="233"/>
    </row>
    <row r="20" spans="1:26" ht="18" thickBot="1" x14ac:dyDescent="0.35">
      <c r="A20" s="23"/>
      <c r="B20" s="24">
        <v>44663</v>
      </c>
      <c r="C20" s="25">
        <v>13442</v>
      </c>
      <c r="D20" s="35" t="s">
        <v>637</v>
      </c>
      <c r="E20" s="27">
        <v>44663</v>
      </c>
      <c r="F20" s="28">
        <v>90870</v>
      </c>
      <c r="G20" s="2"/>
      <c r="H20" s="36">
        <v>44663</v>
      </c>
      <c r="I20" s="30">
        <v>1715</v>
      </c>
      <c r="J20" s="37"/>
      <c r="K20" s="171"/>
      <c r="L20" s="45"/>
      <c r="M20" s="32">
        <v>36429</v>
      </c>
      <c r="N20" s="33">
        <v>39283</v>
      </c>
      <c r="P20" s="39">
        <f t="shared" si="1"/>
        <v>90869</v>
      </c>
      <c r="Q20" s="317">
        <f t="shared" si="0"/>
        <v>-1</v>
      </c>
      <c r="R20" s="319">
        <v>0</v>
      </c>
      <c r="S20" s="147"/>
      <c r="W20" s="655"/>
      <c r="X20" s="268"/>
      <c r="Y20" s="233"/>
    </row>
    <row r="21" spans="1:26" ht="18" thickBot="1" x14ac:dyDescent="0.35">
      <c r="A21" s="23"/>
      <c r="B21" s="24">
        <v>44664</v>
      </c>
      <c r="C21" s="25">
        <v>8539</v>
      </c>
      <c r="D21" s="35" t="s">
        <v>638</v>
      </c>
      <c r="E21" s="27">
        <v>44664</v>
      </c>
      <c r="F21" s="28">
        <v>95475</v>
      </c>
      <c r="G21" s="2"/>
      <c r="H21" s="36">
        <v>44664</v>
      </c>
      <c r="I21" s="30">
        <v>2376.5</v>
      </c>
      <c r="J21" s="37"/>
      <c r="K21" s="48"/>
      <c r="L21" s="45"/>
      <c r="M21" s="32">
        <v>55154.5</v>
      </c>
      <c r="N21" s="33">
        <v>29405</v>
      </c>
      <c r="P21" s="39">
        <f t="shared" si="1"/>
        <v>95475</v>
      </c>
      <c r="Q21" s="325">
        <f t="shared" si="0"/>
        <v>0</v>
      </c>
      <c r="R21" s="319">
        <v>0</v>
      </c>
      <c r="S21" s="147"/>
      <c r="W21" s="656"/>
      <c r="X21" s="656"/>
      <c r="Y21" s="233"/>
      <c r="Z21" s="128"/>
    </row>
    <row r="22" spans="1:26" ht="18" thickBot="1" x14ac:dyDescent="0.35">
      <c r="A22" s="23"/>
      <c r="B22" s="24">
        <v>44665</v>
      </c>
      <c r="C22" s="25">
        <v>17441</v>
      </c>
      <c r="D22" s="35" t="s">
        <v>639</v>
      </c>
      <c r="E22" s="27">
        <v>44665</v>
      </c>
      <c r="F22" s="28">
        <v>136630</v>
      </c>
      <c r="G22" s="2"/>
      <c r="H22" s="36">
        <v>44665</v>
      </c>
      <c r="I22" s="30">
        <v>2063</v>
      </c>
      <c r="J22" s="37"/>
      <c r="K22" s="31"/>
      <c r="L22" s="49"/>
      <c r="M22" s="32">
        <v>84420</v>
      </c>
      <c r="N22" s="33">
        <v>32706</v>
      </c>
      <c r="P22" s="39">
        <f t="shared" si="1"/>
        <v>136630</v>
      </c>
      <c r="Q22" s="325">
        <f t="shared" si="0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44666</v>
      </c>
      <c r="C23" s="25">
        <v>0</v>
      </c>
      <c r="D23" s="35"/>
      <c r="E23" s="27">
        <v>44666</v>
      </c>
      <c r="F23" s="28">
        <v>87396</v>
      </c>
      <c r="G23" s="2"/>
      <c r="H23" s="36">
        <v>44666</v>
      </c>
      <c r="I23" s="30">
        <v>1960</v>
      </c>
      <c r="J23" s="50"/>
      <c r="K23" s="172"/>
      <c r="L23" s="45"/>
      <c r="M23" s="32">
        <v>53912</v>
      </c>
      <c r="N23" s="33">
        <v>31524</v>
      </c>
      <c r="P23" s="39">
        <f t="shared" si="1"/>
        <v>87396</v>
      </c>
      <c r="Q23" s="325">
        <f t="shared" si="0"/>
        <v>0</v>
      </c>
      <c r="R23" s="319">
        <v>0</v>
      </c>
      <c r="S23" s="147"/>
      <c r="W23" s="657"/>
      <c r="X23" s="657"/>
      <c r="Y23" s="233"/>
      <c r="Z23" s="128"/>
    </row>
    <row r="24" spans="1:26" ht="18" thickBot="1" x14ac:dyDescent="0.35">
      <c r="A24" s="23"/>
      <c r="B24" s="24">
        <v>44667</v>
      </c>
      <c r="C24" s="25">
        <v>13715</v>
      </c>
      <c r="D24" s="42" t="s">
        <v>640</v>
      </c>
      <c r="E24" s="27">
        <v>44667</v>
      </c>
      <c r="F24" s="28">
        <v>149665</v>
      </c>
      <c r="G24" s="2"/>
      <c r="H24" s="36">
        <v>44667</v>
      </c>
      <c r="I24" s="30">
        <v>3412</v>
      </c>
      <c r="J24" s="51">
        <v>44667</v>
      </c>
      <c r="K24" s="173" t="s">
        <v>641</v>
      </c>
      <c r="L24" s="52">
        <v>18095</v>
      </c>
      <c r="M24" s="32">
        <v>65743</v>
      </c>
      <c r="N24" s="33">
        <v>48700</v>
      </c>
      <c r="P24" s="39">
        <f>N24+M24+L24+I24+C24</f>
        <v>149665</v>
      </c>
      <c r="Q24" s="325">
        <f t="shared" si="0"/>
        <v>0</v>
      </c>
      <c r="R24" s="319" t="s">
        <v>642</v>
      </c>
      <c r="S24" s="147"/>
      <c r="W24" s="657"/>
      <c r="X24" s="657"/>
      <c r="Y24" s="233"/>
      <c r="Z24" s="128"/>
    </row>
    <row r="25" spans="1:26" ht="19.5" thickBot="1" x14ac:dyDescent="0.35">
      <c r="A25" s="23"/>
      <c r="B25" s="24">
        <v>44668</v>
      </c>
      <c r="C25" s="25">
        <v>0</v>
      </c>
      <c r="D25" s="35"/>
      <c r="E25" s="27">
        <v>44668</v>
      </c>
      <c r="F25" s="28">
        <v>72012</v>
      </c>
      <c r="G25" s="2"/>
      <c r="H25" s="36">
        <v>44668</v>
      </c>
      <c r="I25" s="30">
        <v>925</v>
      </c>
      <c r="J25" s="50"/>
      <c r="K25" s="38"/>
      <c r="L25" s="54"/>
      <c r="M25" s="32">
        <v>43037</v>
      </c>
      <c r="N25" s="33">
        <v>28050</v>
      </c>
      <c r="P25" s="283">
        <f t="shared" si="1"/>
        <v>72012</v>
      </c>
      <c r="Q25" s="325">
        <f t="shared" si="0"/>
        <v>0</v>
      </c>
      <c r="R25" s="319">
        <v>0</v>
      </c>
      <c r="W25" s="658"/>
      <c r="X25" s="658"/>
      <c r="Y25" s="233"/>
      <c r="Z25" s="128"/>
    </row>
    <row r="26" spans="1:26" ht="19.5" thickBot="1" x14ac:dyDescent="0.35">
      <c r="A26" s="23"/>
      <c r="B26" s="24">
        <v>44669</v>
      </c>
      <c r="C26" s="25">
        <v>29211.5</v>
      </c>
      <c r="D26" s="35" t="s">
        <v>643</v>
      </c>
      <c r="E26" s="27">
        <v>44669</v>
      </c>
      <c r="F26" s="28">
        <v>646290</v>
      </c>
      <c r="G26" s="2"/>
      <c r="H26" s="36">
        <v>44669</v>
      </c>
      <c r="I26" s="30">
        <v>806.5</v>
      </c>
      <c r="J26" s="37"/>
      <c r="K26" s="173"/>
      <c r="L26" s="45"/>
      <c r="M26" s="539">
        <f>51054.31+554929.3</f>
        <v>605983.6100000001</v>
      </c>
      <c r="N26" s="33">
        <v>57122</v>
      </c>
      <c r="O26" s="540" t="s">
        <v>758</v>
      </c>
      <c r="P26" s="284">
        <f t="shared" si="1"/>
        <v>693123.6100000001</v>
      </c>
      <c r="Q26" s="386">
        <v>-26691</v>
      </c>
      <c r="R26" s="388">
        <v>73524.61</v>
      </c>
      <c r="W26" s="658"/>
      <c r="X26" s="658"/>
      <c r="Y26" s="233"/>
      <c r="Z26" s="128"/>
    </row>
    <row r="27" spans="1:26" ht="18" thickBot="1" x14ac:dyDescent="0.35">
      <c r="A27" s="23"/>
      <c r="B27" s="24">
        <v>44670</v>
      </c>
      <c r="C27" s="25">
        <v>20144</v>
      </c>
      <c r="D27" s="42" t="s">
        <v>644</v>
      </c>
      <c r="E27" s="27">
        <v>44670</v>
      </c>
      <c r="F27" s="28">
        <v>87344</v>
      </c>
      <c r="G27" s="2"/>
      <c r="H27" s="36">
        <v>44670</v>
      </c>
      <c r="I27" s="30">
        <v>2012</v>
      </c>
      <c r="J27" s="55"/>
      <c r="K27" s="174"/>
      <c r="L27" s="54"/>
      <c r="M27" s="539">
        <v>0</v>
      </c>
      <c r="N27" s="33">
        <v>24965</v>
      </c>
      <c r="O27" s="540" t="s">
        <v>758</v>
      </c>
      <c r="P27" s="39">
        <f t="shared" si="1"/>
        <v>47121</v>
      </c>
      <c r="Q27" s="386">
        <f t="shared" si="0"/>
        <v>-40223</v>
      </c>
      <c r="R27" s="319">
        <v>0</v>
      </c>
      <c r="W27" s="651"/>
      <c r="X27" s="652"/>
      <c r="Y27" s="653"/>
      <c r="Z27" s="128"/>
    </row>
    <row r="28" spans="1:26" ht="18" thickBot="1" x14ac:dyDescent="0.35">
      <c r="A28" s="23"/>
      <c r="B28" s="24">
        <v>44671</v>
      </c>
      <c r="C28" s="25">
        <v>6094</v>
      </c>
      <c r="D28" s="42" t="s">
        <v>112</v>
      </c>
      <c r="E28" s="27">
        <v>44671</v>
      </c>
      <c r="F28" s="28">
        <v>83354</v>
      </c>
      <c r="G28" s="2"/>
      <c r="H28" s="36">
        <v>44671</v>
      </c>
      <c r="I28" s="30">
        <v>2846.5</v>
      </c>
      <c r="J28" s="56"/>
      <c r="K28" s="57"/>
      <c r="L28" s="54"/>
      <c r="M28" s="539">
        <v>0</v>
      </c>
      <c r="N28" s="33">
        <v>27562</v>
      </c>
      <c r="O28" s="540" t="s">
        <v>758</v>
      </c>
      <c r="P28" s="34">
        <f t="shared" si="1"/>
        <v>36502.5</v>
      </c>
      <c r="Q28" s="386">
        <f t="shared" si="0"/>
        <v>-46851.5</v>
      </c>
      <c r="R28" s="319">
        <v>0</v>
      </c>
      <c r="W28" s="652"/>
      <c r="X28" s="652"/>
      <c r="Y28" s="653"/>
      <c r="Z28" s="128"/>
    </row>
    <row r="29" spans="1:26" ht="18" thickBot="1" x14ac:dyDescent="0.35">
      <c r="A29" s="23"/>
      <c r="B29" s="24">
        <v>44672</v>
      </c>
      <c r="C29" s="25">
        <v>7741</v>
      </c>
      <c r="D29" s="58" t="s">
        <v>645</v>
      </c>
      <c r="E29" s="27">
        <v>44672</v>
      </c>
      <c r="F29" s="28">
        <v>88318</v>
      </c>
      <c r="G29" s="2"/>
      <c r="H29" s="36">
        <v>44672</v>
      </c>
      <c r="I29" s="30">
        <v>2742</v>
      </c>
      <c r="J29" s="59"/>
      <c r="K29" s="175"/>
      <c r="L29" s="54"/>
      <c r="M29" s="539">
        <v>0</v>
      </c>
      <c r="N29" s="33">
        <v>22200</v>
      </c>
      <c r="O29" s="541" t="s">
        <v>758</v>
      </c>
      <c r="P29" s="34">
        <f t="shared" si="1"/>
        <v>32683</v>
      </c>
      <c r="Q29" s="386">
        <f t="shared" si="0"/>
        <v>-55635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44673</v>
      </c>
      <c r="C30" s="25">
        <v>7157</v>
      </c>
      <c r="D30" s="58" t="s">
        <v>647</v>
      </c>
      <c r="E30" s="27">
        <v>44673</v>
      </c>
      <c r="F30" s="28">
        <v>146405</v>
      </c>
      <c r="G30" s="2"/>
      <c r="H30" s="36">
        <v>44673</v>
      </c>
      <c r="I30" s="30">
        <v>3389.5</v>
      </c>
      <c r="J30" s="60"/>
      <c r="K30" s="41"/>
      <c r="L30" s="61"/>
      <c r="M30" s="539">
        <f>166000+20000+59220+70000+19117</f>
        <v>334337</v>
      </c>
      <c r="N30" s="33">
        <v>40800</v>
      </c>
      <c r="O30" s="426"/>
      <c r="P30" s="34">
        <f t="shared" si="1"/>
        <v>385683.5</v>
      </c>
      <c r="Q30" s="325">
        <f t="shared" si="0"/>
        <v>239278.5</v>
      </c>
      <c r="R30" s="319">
        <v>0</v>
      </c>
      <c r="T30" s="423">
        <v>26626</v>
      </c>
      <c r="X30" s="225"/>
      <c r="Y30" s="227"/>
    </row>
    <row r="31" spans="1:26" ht="26.25" thickBot="1" x14ac:dyDescent="0.35">
      <c r="A31" s="23"/>
      <c r="B31" s="24">
        <v>44674</v>
      </c>
      <c r="C31" s="25">
        <v>12849.5</v>
      </c>
      <c r="D31" s="67" t="s">
        <v>648</v>
      </c>
      <c r="E31" s="27">
        <v>44674</v>
      </c>
      <c r="F31" s="28">
        <v>128304</v>
      </c>
      <c r="G31" s="2"/>
      <c r="H31" s="36">
        <v>44674</v>
      </c>
      <c r="I31" s="30">
        <v>4268.5</v>
      </c>
      <c r="J31" s="60">
        <v>44674</v>
      </c>
      <c r="K31" s="508" t="s">
        <v>649</v>
      </c>
      <c r="L31" s="63">
        <f>19296.22+4821.43</f>
        <v>24117.65</v>
      </c>
      <c r="M31" s="32">
        <v>31075</v>
      </c>
      <c r="N31" s="33">
        <v>55991</v>
      </c>
      <c r="O31" s="425"/>
      <c r="P31" s="34">
        <f t="shared" si="1"/>
        <v>128301.65</v>
      </c>
      <c r="Q31" s="325">
        <f t="shared" si="0"/>
        <v>-2.3500000000058208</v>
      </c>
      <c r="R31" s="319">
        <v>0</v>
      </c>
      <c r="T31" s="423">
        <v>10137</v>
      </c>
    </row>
    <row r="32" spans="1:26" ht="18" thickBot="1" x14ac:dyDescent="0.35">
      <c r="A32" s="23"/>
      <c r="B32" s="24">
        <v>44675</v>
      </c>
      <c r="C32" s="25">
        <v>30785</v>
      </c>
      <c r="D32" s="64" t="s">
        <v>651</v>
      </c>
      <c r="E32" s="27">
        <v>44675</v>
      </c>
      <c r="F32" s="28">
        <v>83944</v>
      </c>
      <c r="G32" s="2"/>
      <c r="H32" s="36">
        <v>44675</v>
      </c>
      <c r="I32" s="30">
        <v>812</v>
      </c>
      <c r="J32" s="60"/>
      <c r="K32" s="41"/>
      <c r="L32" s="61"/>
      <c r="M32" s="32">
        <v>32579</v>
      </c>
      <c r="N32" s="33">
        <v>19768</v>
      </c>
      <c r="O32" s="2"/>
      <c r="P32" s="34">
        <f t="shared" si="1"/>
        <v>83944</v>
      </c>
      <c r="Q32" s="325">
        <f t="shared" si="0"/>
        <v>0</v>
      </c>
      <c r="R32" s="319">
        <v>0</v>
      </c>
      <c r="T32" s="423">
        <v>0</v>
      </c>
    </row>
    <row r="33" spans="1:20" ht="18" thickBot="1" x14ac:dyDescent="0.35">
      <c r="A33" s="23"/>
      <c r="B33" s="24">
        <v>44676</v>
      </c>
      <c r="C33" s="25">
        <v>6587</v>
      </c>
      <c r="D33" s="65" t="s">
        <v>652</v>
      </c>
      <c r="E33" s="27">
        <v>44676</v>
      </c>
      <c r="F33" s="28">
        <v>122505</v>
      </c>
      <c r="G33" s="2"/>
      <c r="H33" s="36">
        <v>44676</v>
      </c>
      <c r="I33" s="30">
        <v>2206</v>
      </c>
      <c r="J33" s="60"/>
      <c r="K33" s="247"/>
      <c r="L33" s="66"/>
      <c r="M33" s="32">
        <f>69877+15079</f>
        <v>84956</v>
      </c>
      <c r="N33" s="33">
        <v>28756</v>
      </c>
      <c r="O33" s="2"/>
      <c r="P33" s="34">
        <f t="shared" si="1"/>
        <v>122505</v>
      </c>
      <c r="Q33" s="111">
        <f t="shared" ref="Q33:Q40" si="2">P33-F33</f>
        <v>0</v>
      </c>
      <c r="R33" s="319">
        <v>0</v>
      </c>
      <c r="T33" s="424">
        <f>SUM(T29:T32)</f>
        <v>44254</v>
      </c>
    </row>
    <row r="34" spans="1:20" ht="18" thickBot="1" x14ac:dyDescent="0.35">
      <c r="A34" s="23"/>
      <c r="B34" s="24">
        <v>44677</v>
      </c>
      <c r="C34" s="25">
        <v>13489</v>
      </c>
      <c r="D34" s="64" t="s">
        <v>654</v>
      </c>
      <c r="E34" s="27">
        <v>44677</v>
      </c>
      <c r="F34" s="28">
        <v>77669</v>
      </c>
      <c r="G34" s="2"/>
      <c r="H34" s="36">
        <v>44677</v>
      </c>
      <c r="I34" s="30">
        <v>879.5</v>
      </c>
      <c r="J34" s="266"/>
      <c r="K34" s="248"/>
      <c r="L34" s="44"/>
      <c r="M34" s="32">
        <f>40390+4760</f>
        <v>45150</v>
      </c>
      <c r="N34" s="33">
        <v>22911</v>
      </c>
      <c r="O34" s="2"/>
      <c r="P34" s="34">
        <f t="shared" si="1"/>
        <v>82429.5</v>
      </c>
      <c r="Q34" s="111">
        <v>0</v>
      </c>
      <c r="R34" s="388">
        <v>4760</v>
      </c>
    </row>
    <row r="35" spans="1:20" ht="18" thickBot="1" x14ac:dyDescent="0.35">
      <c r="A35" s="23"/>
      <c r="B35" s="24">
        <v>44678</v>
      </c>
      <c r="C35" s="25">
        <v>16685</v>
      </c>
      <c r="D35" s="65" t="s">
        <v>653</v>
      </c>
      <c r="E35" s="27">
        <v>44678</v>
      </c>
      <c r="F35" s="28">
        <v>88630</v>
      </c>
      <c r="G35" s="2"/>
      <c r="H35" s="36">
        <v>44678</v>
      </c>
      <c r="I35" s="30">
        <v>3261.5</v>
      </c>
      <c r="J35" s="266"/>
      <c r="K35" s="249"/>
      <c r="L35" s="66"/>
      <c r="M35" s="267">
        <v>46181.5</v>
      </c>
      <c r="N35" s="268">
        <v>22500</v>
      </c>
      <c r="P35" s="34">
        <f t="shared" si="1"/>
        <v>88628</v>
      </c>
      <c r="Q35" s="287">
        <f t="shared" si="2"/>
        <v>-2</v>
      </c>
      <c r="R35" s="319">
        <v>0</v>
      </c>
    </row>
    <row r="36" spans="1:20" ht="18" customHeight="1" thickBot="1" x14ac:dyDescent="0.4">
      <c r="A36" s="23"/>
      <c r="B36" s="24">
        <v>44679</v>
      </c>
      <c r="C36" s="25">
        <v>16710</v>
      </c>
      <c r="D36" s="67" t="s">
        <v>655</v>
      </c>
      <c r="E36" s="27">
        <v>44679</v>
      </c>
      <c r="F36" s="28">
        <v>149331</v>
      </c>
      <c r="G36" s="2"/>
      <c r="H36" s="36">
        <v>44679</v>
      </c>
      <c r="I36" s="30">
        <v>3361</v>
      </c>
      <c r="J36" s="266"/>
      <c r="K36" s="250"/>
      <c r="L36" s="44"/>
      <c r="M36" s="267">
        <f>99132+137</f>
        <v>99269</v>
      </c>
      <c r="N36" s="268">
        <v>29993</v>
      </c>
      <c r="O36" s="276"/>
      <c r="P36" s="34">
        <f t="shared" si="1"/>
        <v>149333</v>
      </c>
      <c r="Q36" s="111">
        <f t="shared" si="2"/>
        <v>2</v>
      </c>
      <c r="R36" s="319">
        <v>0</v>
      </c>
      <c r="S36" s="546"/>
    </row>
    <row r="37" spans="1:20" ht="18" customHeight="1" thickBot="1" x14ac:dyDescent="0.35">
      <c r="A37" s="23"/>
      <c r="B37" s="24">
        <v>44680</v>
      </c>
      <c r="C37" s="25">
        <v>10619</v>
      </c>
      <c r="D37" s="64" t="s">
        <v>656</v>
      </c>
      <c r="E37" s="27">
        <v>44680</v>
      </c>
      <c r="F37" s="28">
        <v>134928</v>
      </c>
      <c r="G37" s="2"/>
      <c r="H37" s="36">
        <v>44680</v>
      </c>
      <c r="I37" s="30">
        <v>3150</v>
      </c>
      <c r="J37" s="60"/>
      <c r="K37" s="41"/>
      <c r="L37" s="61"/>
      <c r="M37" s="267">
        <v>73283</v>
      </c>
      <c r="N37" s="268">
        <v>47876</v>
      </c>
      <c r="O37" s="276"/>
      <c r="P37" s="34">
        <f t="shared" si="1"/>
        <v>134928</v>
      </c>
      <c r="Q37" s="111">
        <f t="shared" si="2"/>
        <v>0</v>
      </c>
      <c r="R37" s="319">
        <v>0</v>
      </c>
    </row>
    <row r="38" spans="1:20" ht="18" thickBot="1" x14ac:dyDescent="0.35">
      <c r="A38" s="23"/>
      <c r="B38" s="24">
        <v>44681</v>
      </c>
      <c r="C38" s="25">
        <v>9895</v>
      </c>
      <c r="D38" s="510" t="s">
        <v>657</v>
      </c>
      <c r="E38" s="27">
        <v>44681</v>
      </c>
      <c r="F38" s="28">
        <v>148944</v>
      </c>
      <c r="G38" s="2"/>
      <c r="H38" s="36">
        <v>44681</v>
      </c>
      <c r="I38" s="30">
        <v>4895</v>
      </c>
      <c r="J38" s="60">
        <v>44681</v>
      </c>
      <c r="K38" s="177" t="s">
        <v>658</v>
      </c>
      <c r="L38" s="61">
        <v>20352</v>
      </c>
      <c r="M38" s="267">
        <v>51036</v>
      </c>
      <c r="N38" s="268">
        <v>62766</v>
      </c>
      <c r="P38" s="34">
        <f>N38+M38+L38+I38+C38</f>
        <v>148944</v>
      </c>
      <c r="Q38" s="111">
        <f t="shared" si="2"/>
        <v>0</v>
      </c>
      <c r="R38" s="319">
        <v>0</v>
      </c>
    </row>
    <row r="39" spans="1:20" ht="18" thickBot="1" x14ac:dyDescent="0.35">
      <c r="A39" s="23"/>
      <c r="B39" s="24">
        <v>44682</v>
      </c>
      <c r="C39" s="69">
        <v>6570</v>
      </c>
      <c r="D39" s="510" t="s">
        <v>659</v>
      </c>
      <c r="E39" s="27">
        <v>44682</v>
      </c>
      <c r="F39" s="512">
        <v>108254</v>
      </c>
      <c r="G39" s="2"/>
      <c r="H39" s="36">
        <v>44682</v>
      </c>
      <c r="I39" s="71">
        <v>3548</v>
      </c>
      <c r="J39" s="60"/>
      <c r="K39" s="177"/>
      <c r="L39" s="61"/>
      <c r="M39" s="267">
        <v>62551</v>
      </c>
      <c r="N39" s="268">
        <v>35585</v>
      </c>
      <c r="P39" s="34">
        <f t="shared" si="1"/>
        <v>108254</v>
      </c>
      <c r="Q39" s="111">
        <f t="shared" si="2"/>
        <v>0</v>
      </c>
      <c r="R39" s="319" t="s">
        <v>7</v>
      </c>
    </row>
    <row r="40" spans="1:20" ht="18" thickBot="1" x14ac:dyDescent="0.35">
      <c r="A40" s="23"/>
      <c r="B40" s="24"/>
      <c r="C40" s="69"/>
      <c r="D40" s="510"/>
      <c r="E40" s="27"/>
      <c r="F40" s="70"/>
      <c r="G40" s="2"/>
      <c r="H40" s="36"/>
      <c r="I40" s="71"/>
      <c r="J40" s="60"/>
      <c r="K40" s="41"/>
      <c r="L40" s="61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20" ht="18" thickBot="1" x14ac:dyDescent="0.35">
      <c r="A41" s="23"/>
      <c r="B41" s="24"/>
      <c r="C41" s="72"/>
      <c r="D41" s="511"/>
      <c r="E41" s="74"/>
      <c r="F41" s="75"/>
      <c r="G41" s="2"/>
      <c r="H41" s="76"/>
      <c r="I41" s="77"/>
      <c r="J41" s="60">
        <v>44653</v>
      </c>
      <c r="K41" s="41" t="s">
        <v>627</v>
      </c>
      <c r="L41" s="61">
        <v>15798.5</v>
      </c>
      <c r="M41" s="642">
        <f>SUM(M5:M40)</f>
        <v>2479367.6100000003</v>
      </c>
      <c r="N41" s="642">
        <f>SUM(N5:N40)</f>
        <v>1195667</v>
      </c>
      <c r="P41" s="509">
        <f>SUM(P5:P40)</f>
        <v>4355326.74</v>
      </c>
      <c r="Q41" s="701">
        <f>SUM(Q5:Q40)</f>
        <v>69878.629999999976</v>
      </c>
    </row>
    <row r="42" spans="1:20" ht="18" thickBot="1" x14ac:dyDescent="0.35">
      <c r="A42" s="23"/>
      <c r="B42" s="24"/>
      <c r="C42" s="72"/>
      <c r="D42" s="511"/>
      <c r="E42" s="74"/>
      <c r="F42" s="75"/>
      <c r="G42" s="2"/>
      <c r="H42" s="76"/>
      <c r="I42" s="77"/>
      <c r="J42" s="51">
        <v>44660</v>
      </c>
      <c r="K42" s="173" t="s">
        <v>634</v>
      </c>
      <c r="L42" s="52">
        <v>15298.5</v>
      </c>
      <c r="M42" s="643"/>
      <c r="N42" s="643"/>
      <c r="P42" s="34"/>
      <c r="Q42" s="702"/>
    </row>
    <row r="43" spans="1:20" ht="18" thickBot="1" x14ac:dyDescent="0.35">
      <c r="A43" s="23"/>
      <c r="B43" s="24"/>
      <c r="C43" s="72"/>
      <c r="D43" s="511"/>
      <c r="E43" s="74"/>
      <c r="F43" s="75"/>
      <c r="G43" s="2"/>
      <c r="H43" s="76"/>
      <c r="I43" s="77"/>
      <c r="J43" s="50">
        <v>44667</v>
      </c>
      <c r="K43" s="38" t="s">
        <v>641</v>
      </c>
      <c r="L43" s="54">
        <v>14698.79</v>
      </c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511"/>
      <c r="E44" s="74"/>
      <c r="F44" s="75"/>
      <c r="G44" s="2"/>
      <c r="H44" s="76"/>
      <c r="I44" s="77"/>
      <c r="J44" s="60">
        <v>44674</v>
      </c>
      <c r="K44" s="507" t="s">
        <v>650</v>
      </c>
      <c r="L44" s="61">
        <f>15598.49+4821.43</f>
        <v>20419.919999999998</v>
      </c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511"/>
      <c r="E45" s="74"/>
      <c r="F45" s="75"/>
      <c r="G45" s="2"/>
      <c r="H45" s="76"/>
      <c r="I45" s="77"/>
      <c r="J45" s="60">
        <v>44681</v>
      </c>
      <c r="K45" s="41" t="s">
        <v>658</v>
      </c>
      <c r="L45" s="61">
        <v>18269.490000000002</v>
      </c>
      <c r="M45" s="703">
        <f>M41+N41</f>
        <v>3675034.6100000003</v>
      </c>
      <c r="N45" s="704"/>
      <c r="P45" s="34"/>
      <c r="Q45" s="13"/>
    </row>
    <row r="46" spans="1:20" ht="18" thickBot="1" x14ac:dyDescent="0.35">
      <c r="A46" s="23"/>
      <c r="B46" s="24"/>
      <c r="C46" s="72"/>
      <c r="D46" s="511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511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475655.5</v>
      </c>
      <c r="D50" s="88"/>
      <c r="E50" s="89" t="s">
        <v>8</v>
      </c>
      <c r="F50" s="90">
        <f>SUM(F5:F49)</f>
        <v>4167672</v>
      </c>
      <c r="G50" s="88"/>
      <c r="H50" s="91" t="s">
        <v>9</v>
      </c>
      <c r="I50" s="92">
        <f>SUM(I5:I49)</f>
        <v>102983</v>
      </c>
      <c r="J50" s="93"/>
      <c r="K50" s="94" t="s">
        <v>10</v>
      </c>
      <c r="L50" s="95">
        <f>SUM(L5:L49)</f>
        <v>186138.83000000002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619" t="s">
        <v>11</v>
      </c>
      <c r="I52" s="620"/>
      <c r="J52" s="100"/>
      <c r="K52" s="621">
        <f>I50+L50</f>
        <v>289121.83</v>
      </c>
      <c r="L52" s="648"/>
      <c r="M52" s="272"/>
      <c r="N52" s="272"/>
      <c r="P52" s="34"/>
      <c r="Q52" s="13"/>
    </row>
    <row r="53" spans="1:17" x14ac:dyDescent="0.25">
      <c r="D53" s="625" t="s">
        <v>12</v>
      </c>
      <c r="E53" s="625"/>
      <c r="F53" s="312">
        <f>F50-K52-C50</f>
        <v>3402894.67</v>
      </c>
      <c r="I53" s="102"/>
      <c r="J53" s="103"/>
    </row>
    <row r="54" spans="1:17" ht="18.75" x14ac:dyDescent="0.3">
      <c r="D54" s="649" t="s">
        <v>95</v>
      </c>
      <c r="E54" s="649"/>
      <c r="F54" s="111">
        <v>-1884975.46</v>
      </c>
      <c r="I54" s="626" t="s">
        <v>13</v>
      </c>
      <c r="J54" s="627"/>
      <c r="K54" s="628">
        <f>F56+F57+F58</f>
        <v>3549636.8899999997</v>
      </c>
      <c r="L54" s="628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-363428.24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1154490.97</v>
      </c>
      <c r="H56" s="23"/>
      <c r="I56" s="108" t="s">
        <v>15</v>
      </c>
      <c r="J56" s="109"/>
      <c r="K56" s="630">
        <f>-C4</f>
        <v>-1792817.68</v>
      </c>
      <c r="L56" s="631"/>
    </row>
    <row r="57" spans="1:17" ht="16.5" thickBot="1" x14ac:dyDescent="0.3">
      <c r="D57" s="110" t="s">
        <v>16</v>
      </c>
      <c r="E57" s="98" t="s">
        <v>17</v>
      </c>
      <c r="F57" s="111">
        <v>283074</v>
      </c>
    </row>
    <row r="58" spans="1:17" ht="20.25" thickTop="1" thickBot="1" x14ac:dyDescent="0.35">
      <c r="C58" s="112">
        <v>44682</v>
      </c>
      <c r="D58" s="608" t="s">
        <v>18</v>
      </c>
      <c r="E58" s="609"/>
      <c r="F58" s="113">
        <v>2112071.92</v>
      </c>
      <c r="I58" s="610" t="s">
        <v>198</v>
      </c>
      <c r="J58" s="611"/>
      <c r="K58" s="612">
        <f>K54+K56</f>
        <v>1756819.2099999997</v>
      </c>
      <c r="L58" s="612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41:M42"/>
    <mergeCell ref="N41:N42"/>
    <mergeCell ref="Q41:Q42"/>
    <mergeCell ref="K56:L56"/>
    <mergeCell ref="M45:N45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</mergeCells>
  <pageMargins left="0.23622047244094491" right="0.23622047244094491" top="0.39370078740157483" bottom="0.35433070866141736" header="0.31496062992125984" footer="0.31496062992125984"/>
  <pageSetup scale="85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130"/>
  <sheetViews>
    <sheetView topLeftCell="F1" workbookViewId="0">
      <pane ySplit="2" topLeftCell="A48" activePane="bottomLeft" state="frozen"/>
      <selection pane="bottomLeft" activeCell="I44" sqref="I44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3.8554687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7.42578125" style="4" bestFit="1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2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3" t="s">
        <v>22</v>
      </c>
      <c r="M2" s="299" t="s">
        <v>23</v>
      </c>
      <c r="N2" s="309" t="s">
        <v>210</v>
      </c>
    </row>
    <row r="3" spans="1:14" ht="15.75" x14ac:dyDescent="0.25">
      <c r="A3" s="493">
        <v>44648</v>
      </c>
      <c r="B3" s="494" t="s">
        <v>610</v>
      </c>
      <c r="C3" s="495">
        <v>10026.200000000001</v>
      </c>
      <c r="D3" s="411">
        <v>44670</v>
      </c>
      <c r="E3" s="410">
        <v>10026.200000000001</v>
      </c>
      <c r="F3" s="410">
        <f>C3-E3</f>
        <v>0</v>
      </c>
      <c r="I3" s="498" t="s">
        <v>729</v>
      </c>
      <c r="J3" s="524">
        <v>8871</v>
      </c>
      <c r="K3" s="500">
        <v>0</v>
      </c>
      <c r="L3" s="525" t="s">
        <v>729</v>
      </c>
      <c r="M3" s="500">
        <v>0</v>
      </c>
      <c r="N3" s="183">
        <f>K3-M3</f>
        <v>0</v>
      </c>
    </row>
    <row r="4" spans="1:14" ht="18.75" x14ac:dyDescent="0.3">
      <c r="A4" s="493">
        <v>44649</v>
      </c>
      <c r="B4" s="496" t="s">
        <v>611</v>
      </c>
      <c r="C4" s="489">
        <v>94987.44</v>
      </c>
      <c r="D4" s="411">
        <v>44670</v>
      </c>
      <c r="E4" s="111">
        <v>94987.44</v>
      </c>
      <c r="F4" s="111">
        <f t="shared" ref="F4:F67" si="0">C4-E4</f>
        <v>0</v>
      </c>
      <c r="G4" s="138"/>
      <c r="I4" s="501" t="s">
        <v>730</v>
      </c>
      <c r="J4" s="526">
        <v>8877</v>
      </c>
      <c r="K4" s="503">
        <v>16921.599999999999</v>
      </c>
      <c r="L4" s="527" t="s">
        <v>730</v>
      </c>
      <c r="M4" s="503">
        <v>16921.599999999999</v>
      </c>
      <c r="N4" s="137">
        <f>N3+K4-M4</f>
        <v>0</v>
      </c>
    </row>
    <row r="5" spans="1:14" ht="15.75" x14ac:dyDescent="0.25">
      <c r="A5" s="493">
        <v>44650</v>
      </c>
      <c r="B5" s="496" t="s">
        <v>612</v>
      </c>
      <c r="C5" s="489">
        <v>8900.25</v>
      </c>
      <c r="D5" s="411">
        <v>44670</v>
      </c>
      <c r="E5" s="111">
        <v>8900.25</v>
      </c>
      <c r="F5" s="111">
        <f t="shared" si="0"/>
        <v>0</v>
      </c>
      <c r="I5" s="498" t="s">
        <v>731</v>
      </c>
      <c r="J5" s="524">
        <v>8883</v>
      </c>
      <c r="K5" s="500">
        <v>24058.799999999999</v>
      </c>
      <c r="L5" s="525" t="s">
        <v>731</v>
      </c>
      <c r="M5" s="500">
        <v>24058.799999999999</v>
      </c>
      <c r="N5" s="137">
        <f t="shared" ref="N5:N78" si="1">N4+K5-M5</f>
        <v>0</v>
      </c>
    </row>
    <row r="6" spans="1:14" ht="15.75" x14ac:dyDescent="0.25">
      <c r="A6" s="493">
        <v>44650</v>
      </c>
      <c r="B6" s="496" t="s">
        <v>613</v>
      </c>
      <c r="C6" s="489">
        <v>8045.4</v>
      </c>
      <c r="D6" s="411">
        <v>44670</v>
      </c>
      <c r="E6" s="111">
        <v>8045.4</v>
      </c>
      <c r="F6" s="111">
        <f t="shared" si="0"/>
        <v>0</v>
      </c>
      <c r="I6" s="498" t="s">
        <v>732</v>
      </c>
      <c r="J6" s="524">
        <v>8891</v>
      </c>
      <c r="K6" s="500">
        <v>11335.2</v>
      </c>
      <c r="L6" s="525" t="s">
        <v>732</v>
      </c>
      <c r="M6" s="500">
        <v>11335.2</v>
      </c>
      <c r="N6" s="137">
        <f t="shared" si="1"/>
        <v>0</v>
      </c>
    </row>
    <row r="7" spans="1:14" ht="15.75" x14ac:dyDescent="0.25">
      <c r="A7" s="497">
        <v>44651</v>
      </c>
      <c r="B7" s="496" t="s">
        <v>614</v>
      </c>
      <c r="C7" s="489">
        <v>41855.9</v>
      </c>
      <c r="D7" s="411">
        <v>44670</v>
      </c>
      <c r="E7" s="111">
        <v>41855.9</v>
      </c>
      <c r="F7" s="111">
        <f t="shared" si="0"/>
        <v>0</v>
      </c>
      <c r="I7" s="501" t="s">
        <v>733</v>
      </c>
      <c r="J7" s="502">
        <v>8902</v>
      </c>
      <c r="K7" s="503">
        <v>529</v>
      </c>
      <c r="L7" s="527" t="s">
        <v>733</v>
      </c>
      <c r="M7" s="503">
        <v>529</v>
      </c>
      <c r="N7" s="137">
        <f t="shared" si="1"/>
        <v>0</v>
      </c>
    </row>
    <row r="8" spans="1:14" ht="15.75" x14ac:dyDescent="0.25">
      <c r="A8" s="354" t="s">
        <v>660</v>
      </c>
      <c r="B8" s="355" t="s">
        <v>661</v>
      </c>
      <c r="C8" s="96">
        <v>40594.699999999997</v>
      </c>
      <c r="D8" s="411">
        <v>44670</v>
      </c>
      <c r="E8" s="96">
        <v>40594.699999999997</v>
      </c>
      <c r="F8" s="111">
        <f t="shared" si="0"/>
        <v>0</v>
      </c>
      <c r="I8" s="498" t="s">
        <v>734</v>
      </c>
      <c r="J8" s="499">
        <v>8912</v>
      </c>
      <c r="K8" s="500">
        <v>4369.8</v>
      </c>
      <c r="L8" s="525" t="s">
        <v>734</v>
      </c>
      <c r="M8" s="500">
        <v>4369.8</v>
      </c>
      <c r="N8" s="137">
        <f t="shared" si="1"/>
        <v>0</v>
      </c>
    </row>
    <row r="9" spans="1:14" ht="15.75" x14ac:dyDescent="0.25">
      <c r="A9" s="354" t="s">
        <v>660</v>
      </c>
      <c r="B9" s="355" t="s">
        <v>662</v>
      </c>
      <c r="C9" s="96">
        <v>33750.6</v>
      </c>
      <c r="D9" s="411">
        <v>44670</v>
      </c>
      <c r="E9" s="96">
        <v>33750.6</v>
      </c>
      <c r="F9" s="111">
        <f t="shared" si="0"/>
        <v>0</v>
      </c>
      <c r="I9" s="501" t="s">
        <v>734</v>
      </c>
      <c r="J9" s="502">
        <v>8914</v>
      </c>
      <c r="K9" s="503">
        <v>1236.5999999999999</v>
      </c>
      <c r="L9" s="527" t="s">
        <v>734</v>
      </c>
      <c r="M9" s="503">
        <v>1236.5999999999999</v>
      </c>
      <c r="N9" s="137">
        <f t="shared" si="1"/>
        <v>0</v>
      </c>
    </row>
    <row r="10" spans="1:14" ht="18.75" x14ac:dyDescent="0.3">
      <c r="A10" s="354" t="s">
        <v>663</v>
      </c>
      <c r="B10" s="355" t="s">
        <v>664</v>
      </c>
      <c r="C10" s="96">
        <v>56947.7</v>
      </c>
      <c r="D10" s="411">
        <v>44670</v>
      </c>
      <c r="E10" s="96">
        <v>56947.7</v>
      </c>
      <c r="F10" s="111">
        <f t="shared" si="0"/>
        <v>0</v>
      </c>
      <c r="G10" s="138"/>
      <c r="I10" s="501" t="s">
        <v>735</v>
      </c>
      <c r="J10" s="502">
        <v>8918</v>
      </c>
      <c r="K10" s="503">
        <v>450</v>
      </c>
      <c r="L10" s="527" t="s">
        <v>735</v>
      </c>
      <c r="M10" s="503">
        <v>450</v>
      </c>
      <c r="N10" s="137">
        <f t="shared" si="1"/>
        <v>0</v>
      </c>
    </row>
    <row r="11" spans="1:14" ht="15.75" x14ac:dyDescent="0.25">
      <c r="A11" s="354" t="s">
        <v>663</v>
      </c>
      <c r="B11" s="355" t="s">
        <v>665</v>
      </c>
      <c r="C11" s="96">
        <v>41220.6</v>
      </c>
      <c r="D11" s="411">
        <v>44670</v>
      </c>
      <c r="E11" s="96">
        <v>41220.6</v>
      </c>
      <c r="F11" s="111">
        <f t="shared" si="0"/>
        <v>0</v>
      </c>
      <c r="I11" s="498" t="s">
        <v>736</v>
      </c>
      <c r="J11" s="499">
        <v>8920</v>
      </c>
      <c r="K11" s="500">
        <v>1472</v>
      </c>
      <c r="L11" s="525" t="s">
        <v>736</v>
      </c>
      <c r="M11" s="500">
        <v>1472</v>
      </c>
      <c r="N11" s="137">
        <f t="shared" si="1"/>
        <v>0</v>
      </c>
    </row>
    <row r="12" spans="1:14" ht="15.75" x14ac:dyDescent="0.25">
      <c r="A12" s="354" t="s">
        <v>666</v>
      </c>
      <c r="B12" s="355" t="s">
        <v>667</v>
      </c>
      <c r="C12" s="96">
        <v>45972.7</v>
      </c>
      <c r="D12" s="411">
        <v>44670</v>
      </c>
      <c r="E12" s="96">
        <v>45972.7</v>
      </c>
      <c r="F12" s="111">
        <f t="shared" si="0"/>
        <v>0</v>
      </c>
      <c r="I12" s="501" t="s">
        <v>736</v>
      </c>
      <c r="J12" s="502">
        <v>8922</v>
      </c>
      <c r="K12" s="503">
        <v>1584</v>
      </c>
      <c r="L12" s="527" t="s">
        <v>736</v>
      </c>
      <c r="M12" s="503">
        <v>1584</v>
      </c>
      <c r="N12" s="137">
        <f t="shared" si="1"/>
        <v>0</v>
      </c>
    </row>
    <row r="13" spans="1:14" ht="15.75" x14ac:dyDescent="0.25">
      <c r="A13" s="354" t="s">
        <v>668</v>
      </c>
      <c r="B13" s="355" t="s">
        <v>669</v>
      </c>
      <c r="C13" s="96">
        <v>0</v>
      </c>
      <c r="D13" s="411">
        <v>44670</v>
      </c>
      <c r="E13" s="96">
        <v>0</v>
      </c>
      <c r="F13" s="111">
        <f t="shared" si="0"/>
        <v>0</v>
      </c>
      <c r="I13" s="498" t="s">
        <v>737</v>
      </c>
      <c r="J13" s="499">
        <v>8937</v>
      </c>
      <c r="K13" s="500">
        <v>930</v>
      </c>
      <c r="L13" s="525" t="s">
        <v>737</v>
      </c>
      <c r="M13" s="500">
        <v>930</v>
      </c>
      <c r="N13" s="137">
        <f t="shared" si="1"/>
        <v>0</v>
      </c>
    </row>
    <row r="14" spans="1:14" ht="15.75" x14ac:dyDescent="0.25">
      <c r="A14" s="354" t="s">
        <v>668</v>
      </c>
      <c r="B14" s="355" t="s">
        <v>670</v>
      </c>
      <c r="C14" s="96">
        <v>98237.45</v>
      </c>
      <c r="D14" s="411">
        <v>44670</v>
      </c>
      <c r="E14" s="96">
        <v>98237.45</v>
      </c>
      <c r="F14" s="111">
        <f t="shared" si="0"/>
        <v>0</v>
      </c>
      <c r="I14" s="501" t="s">
        <v>738</v>
      </c>
      <c r="J14" s="502">
        <v>8942</v>
      </c>
      <c r="K14" s="503">
        <v>450</v>
      </c>
      <c r="L14" s="527" t="s">
        <v>738</v>
      </c>
      <c r="M14" s="503">
        <v>450</v>
      </c>
      <c r="N14" s="137">
        <f t="shared" si="1"/>
        <v>0</v>
      </c>
    </row>
    <row r="15" spans="1:14" ht="15.75" x14ac:dyDescent="0.25">
      <c r="A15" s="354" t="s">
        <v>671</v>
      </c>
      <c r="B15" s="355" t="s">
        <v>672</v>
      </c>
      <c r="C15" s="96">
        <v>113177.8</v>
      </c>
      <c r="D15" s="411">
        <v>44670</v>
      </c>
      <c r="E15" s="96">
        <v>113177.8</v>
      </c>
      <c r="F15" s="111">
        <f t="shared" si="0"/>
        <v>0</v>
      </c>
      <c r="I15" s="498" t="s">
        <v>738</v>
      </c>
      <c r="J15" s="499">
        <v>8945</v>
      </c>
      <c r="K15" s="500">
        <v>1080</v>
      </c>
      <c r="L15" s="525" t="s">
        <v>738</v>
      </c>
      <c r="M15" s="500">
        <v>1080</v>
      </c>
      <c r="N15" s="137">
        <f t="shared" si="1"/>
        <v>0</v>
      </c>
    </row>
    <row r="16" spans="1:14" ht="15.75" x14ac:dyDescent="0.25">
      <c r="A16" s="354" t="s">
        <v>671</v>
      </c>
      <c r="B16" s="355" t="s">
        <v>673</v>
      </c>
      <c r="C16" s="96">
        <v>56460</v>
      </c>
      <c r="D16" s="411">
        <v>44670</v>
      </c>
      <c r="E16" s="96">
        <v>56460</v>
      </c>
      <c r="F16" s="111">
        <f t="shared" si="0"/>
        <v>0</v>
      </c>
      <c r="I16" s="498" t="s">
        <v>739</v>
      </c>
      <c r="J16" s="499">
        <v>8957</v>
      </c>
      <c r="K16" s="500">
        <v>21899.8</v>
      </c>
      <c r="L16" s="525" t="s">
        <v>739</v>
      </c>
      <c r="M16" s="500">
        <v>21899.8</v>
      </c>
      <c r="N16" s="137">
        <f t="shared" si="1"/>
        <v>0</v>
      </c>
    </row>
    <row r="17" spans="1:14" ht="15.75" x14ac:dyDescent="0.25">
      <c r="A17" s="354" t="s">
        <v>671</v>
      </c>
      <c r="B17" s="355" t="s">
        <v>674</v>
      </c>
      <c r="C17" s="96">
        <v>704</v>
      </c>
      <c r="D17" s="411">
        <v>44670</v>
      </c>
      <c r="E17" s="96">
        <v>704</v>
      </c>
      <c r="F17" s="111">
        <f t="shared" si="0"/>
        <v>0</v>
      </c>
      <c r="I17" s="498" t="s">
        <v>740</v>
      </c>
      <c r="J17" s="499">
        <v>8964</v>
      </c>
      <c r="K17" s="500">
        <v>1180</v>
      </c>
      <c r="L17" s="525" t="s">
        <v>740</v>
      </c>
      <c r="M17" s="500">
        <v>1180</v>
      </c>
      <c r="N17" s="137">
        <f t="shared" si="1"/>
        <v>0</v>
      </c>
    </row>
    <row r="18" spans="1:14" ht="15.75" x14ac:dyDescent="0.25">
      <c r="A18" s="354" t="s">
        <v>675</v>
      </c>
      <c r="B18" s="355" t="s">
        <v>676</v>
      </c>
      <c r="C18" s="96">
        <v>59508.4</v>
      </c>
      <c r="D18" s="411">
        <v>44670</v>
      </c>
      <c r="E18" s="96">
        <v>59508.4</v>
      </c>
      <c r="F18" s="111">
        <f t="shared" si="0"/>
        <v>0</v>
      </c>
      <c r="I18" s="498" t="s">
        <v>741</v>
      </c>
      <c r="J18" s="499">
        <v>8977</v>
      </c>
      <c r="K18" s="500">
        <v>1200</v>
      </c>
      <c r="L18" s="525" t="s">
        <v>741</v>
      </c>
      <c r="M18" s="500">
        <v>1200</v>
      </c>
      <c r="N18" s="137">
        <f t="shared" si="1"/>
        <v>0</v>
      </c>
    </row>
    <row r="19" spans="1:14" ht="15.75" x14ac:dyDescent="0.25">
      <c r="A19" s="354" t="s">
        <v>677</v>
      </c>
      <c r="B19" s="355" t="s">
        <v>678</v>
      </c>
      <c r="C19" s="96">
        <v>69583.75</v>
      </c>
      <c r="D19" s="411">
        <v>44670</v>
      </c>
      <c r="E19" s="96">
        <v>69583.75</v>
      </c>
      <c r="F19" s="111">
        <f t="shared" si="0"/>
        <v>0</v>
      </c>
      <c r="I19" s="498" t="s">
        <v>741</v>
      </c>
      <c r="J19" s="499">
        <v>8978</v>
      </c>
      <c r="K19" s="500">
        <v>1081</v>
      </c>
      <c r="L19" s="525" t="s">
        <v>741</v>
      </c>
      <c r="M19" s="500">
        <v>1081</v>
      </c>
      <c r="N19" s="137">
        <f t="shared" si="1"/>
        <v>0</v>
      </c>
    </row>
    <row r="20" spans="1:14" ht="15.75" x14ac:dyDescent="0.25">
      <c r="A20" s="354" t="s">
        <v>677</v>
      </c>
      <c r="B20" s="355" t="s">
        <v>679</v>
      </c>
      <c r="C20" s="96">
        <v>49806</v>
      </c>
      <c r="D20" s="411">
        <v>44670</v>
      </c>
      <c r="E20" s="96">
        <v>49806</v>
      </c>
      <c r="F20" s="111">
        <f t="shared" si="0"/>
        <v>0</v>
      </c>
      <c r="I20" s="501" t="s">
        <v>742</v>
      </c>
      <c r="J20" s="502">
        <v>8987</v>
      </c>
      <c r="K20" s="503">
        <v>270</v>
      </c>
      <c r="L20" s="527" t="s">
        <v>742</v>
      </c>
      <c r="M20" s="503">
        <v>270</v>
      </c>
      <c r="N20" s="137">
        <f t="shared" si="1"/>
        <v>0</v>
      </c>
    </row>
    <row r="21" spans="1:14" ht="15.75" x14ac:dyDescent="0.25">
      <c r="A21" s="354" t="s">
        <v>680</v>
      </c>
      <c r="B21" s="355" t="s">
        <v>681</v>
      </c>
      <c r="C21" s="96">
        <v>67001.67</v>
      </c>
      <c r="D21" s="595">
        <v>44706</v>
      </c>
      <c r="E21" s="96">
        <v>67001.67</v>
      </c>
      <c r="F21" s="111">
        <f t="shared" si="0"/>
        <v>0</v>
      </c>
      <c r="I21" s="501" t="s">
        <v>743</v>
      </c>
      <c r="J21" s="502">
        <v>8994</v>
      </c>
      <c r="K21" s="503">
        <v>1894.8</v>
      </c>
      <c r="L21" s="527" t="s">
        <v>743</v>
      </c>
      <c r="M21" s="503">
        <v>1894.8</v>
      </c>
      <c r="N21" s="137">
        <f t="shared" si="1"/>
        <v>0</v>
      </c>
    </row>
    <row r="22" spans="1:14" ht="18.75" x14ac:dyDescent="0.3">
      <c r="A22" s="354" t="s">
        <v>680</v>
      </c>
      <c r="B22" s="355" t="s">
        <v>682</v>
      </c>
      <c r="C22" s="96">
        <v>5256</v>
      </c>
      <c r="D22" s="595">
        <v>44706</v>
      </c>
      <c r="E22" s="96">
        <v>5256</v>
      </c>
      <c r="F22" s="111">
        <f t="shared" si="0"/>
        <v>0</v>
      </c>
      <c r="G22" s="138"/>
      <c r="I22" s="498" t="s">
        <v>743</v>
      </c>
      <c r="J22" s="499">
        <v>8997</v>
      </c>
      <c r="K22" s="500">
        <v>2360</v>
      </c>
      <c r="L22" s="525" t="s">
        <v>743</v>
      </c>
      <c r="M22" s="500">
        <v>2360</v>
      </c>
      <c r="N22" s="137">
        <f t="shared" si="1"/>
        <v>0</v>
      </c>
    </row>
    <row r="23" spans="1:14" ht="15.75" x14ac:dyDescent="0.25">
      <c r="A23" s="354" t="s">
        <v>683</v>
      </c>
      <c r="B23" s="355" t="s">
        <v>684</v>
      </c>
      <c r="C23" s="96">
        <v>40472.6</v>
      </c>
      <c r="D23" s="595">
        <v>44706</v>
      </c>
      <c r="E23" s="96">
        <v>40472.6</v>
      </c>
      <c r="F23" s="111">
        <f t="shared" si="0"/>
        <v>0</v>
      </c>
      <c r="I23" s="498" t="s">
        <v>744</v>
      </c>
      <c r="J23" s="499">
        <v>9005</v>
      </c>
      <c r="K23" s="500">
        <v>19679.400000000001</v>
      </c>
      <c r="L23" s="525" t="s">
        <v>744</v>
      </c>
      <c r="M23" s="500">
        <v>19679.400000000001</v>
      </c>
      <c r="N23" s="137">
        <f t="shared" si="1"/>
        <v>0</v>
      </c>
    </row>
    <row r="24" spans="1:14" ht="15.75" x14ac:dyDescent="0.25">
      <c r="A24" s="354" t="s">
        <v>683</v>
      </c>
      <c r="B24" s="355" t="s">
        <v>685</v>
      </c>
      <c r="C24" s="96">
        <v>3906</v>
      </c>
      <c r="D24" s="595">
        <v>44706</v>
      </c>
      <c r="E24" s="96">
        <v>3906</v>
      </c>
      <c r="F24" s="111">
        <f t="shared" si="0"/>
        <v>0</v>
      </c>
      <c r="I24" s="498" t="s">
        <v>744</v>
      </c>
      <c r="J24" s="499">
        <v>9007</v>
      </c>
      <c r="K24" s="500">
        <v>36567.599999999999</v>
      </c>
      <c r="L24" s="525" t="s">
        <v>744</v>
      </c>
      <c r="M24" s="500">
        <v>36567.599999999999</v>
      </c>
      <c r="N24" s="137">
        <f t="shared" si="1"/>
        <v>0</v>
      </c>
    </row>
    <row r="25" spans="1:14" ht="15.75" x14ac:dyDescent="0.25">
      <c r="A25" s="354" t="s">
        <v>686</v>
      </c>
      <c r="B25" s="355" t="s">
        <v>687</v>
      </c>
      <c r="C25" s="96">
        <v>33820.800000000003</v>
      </c>
      <c r="D25" s="595">
        <v>44706</v>
      </c>
      <c r="E25" s="96">
        <v>33820.800000000003</v>
      </c>
      <c r="F25" s="111">
        <f t="shared" si="0"/>
        <v>0</v>
      </c>
      <c r="I25" s="498" t="s">
        <v>745</v>
      </c>
      <c r="J25" s="499">
        <v>9011</v>
      </c>
      <c r="K25" s="500">
        <v>2588.64</v>
      </c>
      <c r="L25" s="525" t="s">
        <v>745</v>
      </c>
      <c r="M25" s="500">
        <v>2588.64</v>
      </c>
      <c r="N25" s="137">
        <f t="shared" si="1"/>
        <v>0</v>
      </c>
    </row>
    <row r="26" spans="1:14" ht="15.75" x14ac:dyDescent="0.25">
      <c r="A26" s="354" t="s">
        <v>688</v>
      </c>
      <c r="B26" s="355" t="s">
        <v>689</v>
      </c>
      <c r="C26" s="96">
        <v>36277.25</v>
      </c>
      <c r="D26" s="595">
        <v>44706</v>
      </c>
      <c r="E26" s="96">
        <v>36277.25</v>
      </c>
      <c r="F26" s="111">
        <f t="shared" si="0"/>
        <v>0</v>
      </c>
      <c r="I26" s="501" t="s">
        <v>745</v>
      </c>
      <c r="J26" s="502">
        <v>9014</v>
      </c>
      <c r="K26" s="503">
        <v>1080</v>
      </c>
      <c r="L26" s="527" t="s">
        <v>745</v>
      </c>
      <c r="M26" s="503">
        <v>1080</v>
      </c>
      <c r="N26" s="137">
        <f t="shared" si="1"/>
        <v>0</v>
      </c>
    </row>
    <row r="27" spans="1:14" ht="15.75" x14ac:dyDescent="0.25">
      <c r="A27" s="354" t="s">
        <v>690</v>
      </c>
      <c r="B27" s="355" t="s">
        <v>691</v>
      </c>
      <c r="C27" s="96">
        <v>61531.34</v>
      </c>
      <c r="D27" s="595">
        <v>44706</v>
      </c>
      <c r="E27" s="96">
        <v>61531.34</v>
      </c>
      <c r="F27" s="111">
        <f t="shared" si="0"/>
        <v>0</v>
      </c>
      <c r="I27" s="501" t="s">
        <v>745</v>
      </c>
      <c r="J27" s="502">
        <v>9017</v>
      </c>
      <c r="K27" s="503">
        <v>28960.799999999999</v>
      </c>
      <c r="L27" s="527" t="s">
        <v>745</v>
      </c>
      <c r="M27" s="503">
        <v>28960.799999999999</v>
      </c>
      <c r="N27" s="137">
        <f t="shared" si="1"/>
        <v>0</v>
      </c>
    </row>
    <row r="28" spans="1:14" ht="15.75" x14ac:dyDescent="0.25">
      <c r="A28" s="354" t="s">
        <v>690</v>
      </c>
      <c r="B28" s="355" t="s">
        <v>692</v>
      </c>
      <c r="C28" s="96">
        <v>12189.9</v>
      </c>
      <c r="D28" s="595">
        <v>44706</v>
      </c>
      <c r="E28" s="96">
        <v>12189.9</v>
      </c>
      <c r="F28" s="111">
        <f t="shared" si="0"/>
        <v>0</v>
      </c>
      <c r="I28" s="501" t="s">
        <v>746</v>
      </c>
      <c r="J28" s="502">
        <v>9033</v>
      </c>
      <c r="K28" s="503">
        <v>2238.5</v>
      </c>
      <c r="L28" s="527" t="s">
        <v>746</v>
      </c>
      <c r="M28" s="503">
        <v>2238.5</v>
      </c>
      <c r="N28" s="137">
        <f t="shared" si="1"/>
        <v>0</v>
      </c>
    </row>
    <row r="29" spans="1:14" ht="15.75" x14ac:dyDescent="0.25">
      <c r="A29" s="354" t="s">
        <v>693</v>
      </c>
      <c r="B29" s="355" t="s">
        <v>694</v>
      </c>
      <c r="C29" s="96">
        <v>64256.75</v>
      </c>
      <c r="D29" s="595">
        <v>44706</v>
      </c>
      <c r="E29" s="96">
        <v>64256.75</v>
      </c>
      <c r="F29" s="111">
        <f t="shared" si="0"/>
        <v>0</v>
      </c>
      <c r="I29" s="498" t="s">
        <v>746</v>
      </c>
      <c r="J29" s="499">
        <v>9041</v>
      </c>
      <c r="K29" s="500">
        <v>1771.6</v>
      </c>
      <c r="L29" s="525" t="s">
        <v>746</v>
      </c>
      <c r="M29" s="500">
        <v>1771.6</v>
      </c>
      <c r="N29" s="137">
        <f t="shared" si="1"/>
        <v>0</v>
      </c>
    </row>
    <row r="30" spans="1:14" ht="18.75" x14ac:dyDescent="0.3">
      <c r="A30" s="354" t="s">
        <v>695</v>
      </c>
      <c r="B30" s="355" t="s">
        <v>696</v>
      </c>
      <c r="C30" s="96">
        <v>53375.8</v>
      </c>
      <c r="D30" s="595">
        <v>44706</v>
      </c>
      <c r="E30" s="96">
        <v>53375.8</v>
      </c>
      <c r="F30" s="111">
        <f t="shared" si="0"/>
        <v>0</v>
      </c>
      <c r="G30" s="138"/>
      <c r="I30" s="501" t="s">
        <v>747</v>
      </c>
      <c r="J30" s="502">
        <v>9044</v>
      </c>
      <c r="K30" s="503">
        <v>36114.800000000003</v>
      </c>
      <c r="L30" s="527" t="s">
        <v>747</v>
      </c>
      <c r="M30" s="503">
        <v>36114.800000000003</v>
      </c>
      <c r="N30" s="137">
        <f t="shared" si="1"/>
        <v>0</v>
      </c>
    </row>
    <row r="31" spans="1:14" ht="15.75" x14ac:dyDescent="0.25">
      <c r="A31" s="354" t="s">
        <v>697</v>
      </c>
      <c r="B31" s="355" t="s">
        <v>698</v>
      </c>
      <c r="C31" s="96">
        <v>126366.49</v>
      </c>
      <c r="D31" s="595">
        <v>44706</v>
      </c>
      <c r="E31" s="96">
        <v>126366.49</v>
      </c>
      <c r="F31" s="111">
        <f t="shared" si="0"/>
        <v>0</v>
      </c>
      <c r="I31" s="498" t="s">
        <v>748</v>
      </c>
      <c r="J31" s="499">
        <v>9049</v>
      </c>
      <c r="K31" s="500">
        <v>744</v>
      </c>
      <c r="L31" s="525" t="s">
        <v>748</v>
      </c>
      <c r="M31" s="500">
        <v>744</v>
      </c>
      <c r="N31" s="137">
        <f t="shared" si="1"/>
        <v>0</v>
      </c>
    </row>
    <row r="32" spans="1:14" ht="15.75" x14ac:dyDescent="0.25">
      <c r="A32" s="354" t="s">
        <v>697</v>
      </c>
      <c r="B32" s="355" t="s">
        <v>699</v>
      </c>
      <c r="C32" s="96">
        <v>6102</v>
      </c>
      <c r="D32" s="595">
        <v>44706</v>
      </c>
      <c r="E32" s="96">
        <v>6102</v>
      </c>
      <c r="F32" s="111">
        <f t="shared" si="0"/>
        <v>0</v>
      </c>
      <c r="I32" s="501" t="s">
        <v>748</v>
      </c>
      <c r="J32" s="502">
        <v>9050</v>
      </c>
      <c r="K32" s="503">
        <v>25869.8</v>
      </c>
      <c r="L32" s="527" t="s">
        <v>748</v>
      </c>
      <c r="M32" s="503">
        <v>25869.8</v>
      </c>
      <c r="N32" s="137">
        <f t="shared" si="1"/>
        <v>0</v>
      </c>
    </row>
    <row r="33" spans="1:14" ht="15.75" x14ac:dyDescent="0.25">
      <c r="A33" s="354" t="s">
        <v>697</v>
      </c>
      <c r="B33" s="355" t="s">
        <v>700</v>
      </c>
      <c r="C33" s="96">
        <v>4812</v>
      </c>
      <c r="D33" s="595">
        <v>44706</v>
      </c>
      <c r="E33" s="96">
        <v>4812</v>
      </c>
      <c r="F33" s="111">
        <f t="shared" si="0"/>
        <v>0</v>
      </c>
      <c r="I33" s="498" t="s">
        <v>749</v>
      </c>
      <c r="J33" s="499">
        <v>9059</v>
      </c>
      <c r="K33" s="500">
        <v>5027</v>
      </c>
      <c r="L33" s="525" t="s">
        <v>749</v>
      </c>
      <c r="M33" s="500">
        <v>5027</v>
      </c>
      <c r="N33" s="137">
        <f t="shared" si="1"/>
        <v>0</v>
      </c>
    </row>
    <row r="34" spans="1:14" ht="15.75" x14ac:dyDescent="0.25">
      <c r="A34" s="354" t="s">
        <v>701</v>
      </c>
      <c r="B34" s="355" t="s">
        <v>702</v>
      </c>
      <c r="C34" s="96">
        <v>10160.6</v>
      </c>
      <c r="D34" s="595">
        <v>44706</v>
      </c>
      <c r="E34" s="96">
        <v>10160.6</v>
      </c>
      <c r="F34" s="111">
        <f t="shared" si="0"/>
        <v>0</v>
      </c>
      <c r="I34" s="501" t="s">
        <v>750</v>
      </c>
      <c r="J34" s="502">
        <v>9065</v>
      </c>
      <c r="K34" s="503">
        <v>1820.8</v>
      </c>
      <c r="L34" s="527" t="s">
        <v>750</v>
      </c>
      <c r="M34" s="503">
        <v>1820.8</v>
      </c>
      <c r="N34" s="137">
        <f t="shared" si="1"/>
        <v>0</v>
      </c>
    </row>
    <row r="35" spans="1:14" ht="15.75" x14ac:dyDescent="0.25">
      <c r="A35" s="354" t="s">
        <v>701</v>
      </c>
      <c r="B35" s="355" t="s">
        <v>703</v>
      </c>
      <c r="C35" s="96">
        <v>75337.5</v>
      </c>
      <c r="D35" s="595">
        <v>44706</v>
      </c>
      <c r="E35" s="96">
        <v>75337.5</v>
      </c>
      <c r="F35" s="111">
        <f t="shared" si="0"/>
        <v>0</v>
      </c>
      <c r="I35" s="498" t="s">
        <v>751</v>
      </c>
      <c r="J35" s="499">
        <v>9078</v>
      </c>
      <c r="K35" s="500">
        <v>43759.6</v>
      </c>
      <c r="L35" s="525" t="s">
        <v>751</v>
      </c>
      <c r="M35" s="500">
        <v>43759.6</v>
      </c>
      <c r="N35" s="137">
        <f t="shared" si="1"/>
        <v>0</v>
      </c>
    </row>
    <row r="36" spans="1:14" ht="15.75" x14ac:dyDescent="0.25">
      <c r="A36" s="354" t="s">
        <v>704</v>
      </c>
      <c r="B36" s="355" t="s">
        <v>705</v>
      </c>
      <c r="C36" s="96">
        <v>29920.44</v>
      </c>
      <c r="D36" s="595">
        <v>44706</v>
      </c>
      <c r="E36" s="96">
        <v>29920.44</v>
      </c>
      <c r="F36" s="111">
        <f t="shared" si="0"/>
        <v>0</v>
      </c>
      <c r="I36" s="501" t="s">
        <v>752</v>
      </c>
      <c r="J36" s="502">
        <v>9090</v>
      </c>
      <c r="K36" s="503">
        <v>1331</v>
      </c>
      <c r="L36" s="527" t="s">
        <v>752</v>
      </c>
      <c r="M36" s="503">
        <v>1331</v>
      </c>
      <c r="N36" s="137">
        <f t="shared" si="1"/>
        <v>0</v>
      </c>
    </row>
    <row r="37" spans="1:14" ht="15.75" x14ac:dyDescent="0.25">
      <c r="A37" s="354" t="s">
        <v>706</v>
      </c>
      <c r="B37" s="355" t="s">
        <v>707</v>
      </c>
      <c r="C37" s="96">
        <v>72246.7</v>
      </c>
      <c r="D37" s="595">
        <v>44706</v>
      </c>
      <c r="E37" s="96">
        <v>72246.7</v>
      </c>
      <c r="F37" s="111">
        <f t="shared" si="0"/>
        <v>0</v>
      </c>
      <c r="I37" s="498" t="s">
        <v>753</v>
      </c>
      <c r="J37" s="499">
        <v>9104</v>
      </c>
      <c r="K37" s="500">
        <v>32504.400000000001</v>
      </c>
      <c r="L37" s="525" t="s">
        <v>753</v>
      </c>
      <c r="M37" s="500">
        <v>32504.400000000001</v>
      </c>
      <c r="N37" s="137">
        <f t="shared" si="1"/>
        <v>0</v>
      </c>
    </row>
    <row r="38" spans="1:14" ht="15.75" x14ac:dyDescent="0.25">
      <c r="A38" s="354" t="s">
        <v>706</v>
      </c>
      <c r="B38" s="355" t="s">
        <v>708</v>
      </c>
      <c r="C38" s="96">
        <v>3036</v>
      </c>
      <c r="D38" s="595">
        <v>44706</v>
      </c>
      <c r="E38" s="96">
        <v>3036</v>
      </c>
      <c r="F38" s="111">
        <f t="shared" si="0"/>
        <v>0</v>
      </c>
      <c r="I38" s="498" t="s">
        <v>754</v>
      </c>
      <c r="J38" s="499">
        <v>9107</v>
      </c>
      <c r="K38" s="500">
        <v>15257</v>
      </c>
      <c r="L38" s="525" t="s">
        <v>754</v>
      </c>
      <c r="M38" s="500">
        <v>15257</v>
      </c>
      <c r="N38" s="137">
        <f t="shared" si="1"/>
        <v>0</v>
      </c>
    </row>
    <row r="39" spans="1:14" ht="15.75" x14ac:dyDescent="0.25">
      <c r="A39" s="354" t="s">
        <v>709</v>
      </c>
      <c r="B39" s="355" t="s">
        <v>710</v>
      </c>
      <c r="C39" s="96">
        <v>1627.2</v>
      </c>
      <c r="D39" s="595">
        <v>44706</v>
      </c>
      <c r="E39" s="96">
        <v>1627.2</v>
      </c>
      <c r="F39" s="111">
        <f t="shared" si="0"/>
        <v>0</v>
      </c>
      <c r="I39" s="498" t="s">
        <v>755</v>
      </c>
      <c r="J39" s="499">
        <v>9123</v>
      </c>
      <c r="K39" s="500">
        <v>5516</v>
      </c>
      <c r="L39" s="525" t="s">
        <v>755</v>
      </c>
      <c r="M39" s="500">
        <v>5516</v>
      </c>
      <c r="N39" s="137">
        <f t="shared" si="1"/>
        <v>0</v>
      </c>
    </row>
    <row r="40" spans="1:14" ht="15.75" x14ac:dyDescent="0.25">
      <c r="A40" s="354" t="s">
        <v>709</v>
      </c>
      <c r="B40" s="355" t="s">
        <v>711</v>
      </c>
      <c r="C40" s="96">
        <v>1238.8</v>
      </c>
      <c r="D40" s="595">
        <v>44706</v>
      </c>
      <c r="E40" s="96">
        <v>1238.8</v>
      </c>
      <c r="F40" s="111">
        <f t="shared" si="0"/>
        <v>0</v>
      </c>
      <c r="I40" s="501" t="s">
        <v>756</v>
      </c>
      <c r="J40" s="502">
        <v>9132</v>
      </c>
      <c r="K40" s="503">
        <v>600</v>
      </c>
      <c r="L40" s="527" t="s">
        <v>756</v>
      </c>
      <c r="M40" s="503">
        <v>600</v>
      </c>
      <c r="N40" s="137">
        <f t="shared" si="1"/>
        <v>0</v>
      </c>
    </row>
    <row r="41" spans="1:14" ht="15.75" x14ac:dyDescent="0.25">
      <c r="A41" s="354" t="s">
        <v>709</v>
      </c>
      <c r="B41" s="355" t="s">
        <v>712</v>
      </c>
      <c r="C41" s="96">
        <v>62762.55</v>
      </c>
      <c r="D41" s="595">
        <v>44706</v>
      </c>
      <c r="E41" s="596">
        <v>50646.16</v>
      </c>
      <c r="F41" s="111">
        <f t="shared" si="0"/>
        <v>12116.39</v>
      </c>
      <c r="I41" s="501" t="s">
        <v>757</v>
      </c>
      <c r="J41" s="502">
        <v>9138</v>
      </c>
      <c r="K41" s="503">
        <v>6614.7</v>
      </c>
      <c r="L41" s="527" t="s">
        <v>757</v>
      </c>
      <c r="M41" s="503">
        <v>6614.7</v>
      </c>
      <c r="N41" s="137">
        <f t="shared" si="1"/>
        <v>0</v>
      </c>
    </row>
    <row r="42" spans="1:14" ht="15.75" x14ac:dyDescent="0.25">
      <c r="A42" s="354" t="s">
        <v>713</v>
      </c>
      <c r="B42" s="355" t="s">
        <v>714</v>
      </c>
      <c r="C42" s="96">
        <v>46744.6</v>
      </c>
      <c r="D42" s="253"/>
      <c r="E42" s="69"/>
      <c r="F42" s="111">
        <f t="shared" si="0"/>
        <v>46744.6</v>
      </c>
      <c r="I42" s="501" t="s">
        <v>757</v>
      </c>
      <c r="J42" s="502">
        <v>9140</v>
      </c>
      <c r="K42" s="503">
        <v>1080</v>
      </c>
      <c r="L42" s="527" t="s">
        <v>757</v>
      </c>
      <c r="M42" s="503">
        <v>1080</v>
      </c>
      <c r="N42" s="137">
        <f t="shared" si="1"/>
        <v>0</v>
      </c>
    </row>
    <row r="43" spans="1:14" ht="15.75" x14ac:dyDescent="0.25">
      <c r="A43" s="354" t="s">
        <v>715</v>
      </c>
      <c r="B43" s="355" t="s">
        <v>716</v>
      </c>
      <c r="C43" s="96">
        <v>14500.7</v>
      </c>
      <c r="D43" s="413"/>
      <c r="E43" s="413"/>
      <c r="F43" s="111">
        <f t="shared" si="0"/>
        <v>14500.7</v>
      </c>
      <c r="I43" s="288"/>
      <c r="J43" s="57"/>
      <c r="K43" s="111"/>
      <c r="L43" s="476"/>
      <c r="M43" s="69"/>
      <c r="N43" s="137">
        <f t="shared" si="1"/>
        <v>0</v>
      </c>
    </row>
    <row r="44" spans="1:14" ht="15.75" x14ac:dyDescent="0.25">
      <c r="A44" s="354" t="s">
        <v>715</v>
      </c>
      <c r="B44" s="355" t="s">
        <v>717</v>
      </c>
      <c r="C44" s="96">
        <v>41351.199999999997</v>
      </c>
      <c r="D44" s="413"/>
      <c r="E44" s="413"/>
      <c r="F44" s="111">
        <f t="shared" si="0"/>
        <v>41351.199999999997</v>
      </c>
      <c r="I44" s="288"/>
      <c r="J44" s="57"/>
      <c r="K44" s="111"/>
      <c r="L44" s="476"/>
      <c r="M44" s="69"/>
      <c r="N44" s="137"/>
    </row>
    <row r="45" spans="1:14" ht="15.75" x14ac:dyDescent="0.25">
      <c r="A45" s="354" t="s">
        <v>715</v>
      </c>
      <c r="B45" s="355" t="s">
        <v>718</v>
      </c>
      <c r="C45" s="96">
        <v>5624</v>
      </c>
      <c r="D45" s="413"/>
      <c r="E45" s="413"/>
      <c r="F45" s="111">
        <f t="shared" si="0"/>
        <v>5624</v>
      </c>
      <c r="I45" s="288"/>
      <c r="J45" s="57"/>
      <c r="K45" s="111"/>
      <c r="L45" s="476"/>
      <c r="M45" s="69"/>
      <c r="N45" s="137"/>
    </row>
    <row r="46" spans="1:14" ht="15.75" x14ac:dyDescent="0.25">
      <c r="A46" s="354" t="s">
        <v>719</v>
      </c>
      <c r="B46" s="355" t="s">
        <v>720</v>
      </c>
      <c r="C46" s="96">
        <v>45618</v>
      </c>
      <c r="D46" s="413"/>
      <c r="E46" s="413"/>
      <c r="F46" s="111">
        <f t="shared" si="0"/>
        <v>45618</v>
      </c>
      <c r="I46" s="288"/>
      <c r="J46" s="57"/>
      <c r="K46" s="111"/>
      <c r="L46" s="476"/>
      <c r="M46" s="69"/>
      <c r="N46" s="137"/>
    </row>
    <row r="47" spans="1:14" ht="15.75" x14ac:dyDescent="0.25">
      <c r="A47" s="354" t="s">
        <v>721</v>
      </c>
      <c r="B47" s="355" t="s">
        <v>722</v>
      </c>
      <c r="C47" s="96">
        <v>35193.4</v>
      </c>
      <c r="D47" s="413"/>
      <c r="E47" s="413"/>
      <c r="F47" s="111">
        <f t="shared" si="0"/>
        <v>35193.4</v>
      </c>
      <c r="I47" s="288"/>
      <c r="J47" s="57"/>
      <c r="K47" s="111"/>
      <c r="L47" s="476"/>
      <c r="M47" s="69"/>
      <c r="N47" s="137"/>
    </row>
    <row r="48" spans="1:14" ht="15.75" x14ac:dyDescent="0.25">
      <c r="A48" s="354" t="s">
        <v>723</v>
      </c>
      <c r="B48" s="355" t="s">
        <v>724</v>
      </c>
      <c r="C48" s="96">
        <v>69268.88</v>
      </c>
      <c r="D48" s="413"/>
      <c r="E48" s="413"/>
      <c r="F48" s="111">
        <f t="shared" si="0"/>
        <v>69268.88</v>
      </c>
      <c r="I48" s="288"/>
      <c r="J48" s="57"/>
      <c r="K48" s="111"/>
      <c r="L48" s="476"/>
      <c r="M48" s="69"/>
      <c r="N48" s="137"/>
    </row>
    <row r="49" spans="1:14" ht="15.75" x14ac:dyDescent="0.25">
      <c r="A49" s="354" t="s">
        <v>725</v>
      </c>
      <c r="B49" s="355" t="s">
        <v>726</v>
      </c>
      <c r="C49" s="96">
        <v>25197.4</v>
      </c>
      <c r="D49" s="413"/>
      <c r="E49" s="413"/>
      <c r="F49" s="111">
        <f t="shared" si="0"/>
        <v>25197.4</v>
      </c>
      <c r="I49" s="288"/>
      <c r="J49" s="57"/>
      <c r="K49" s="111"/>
      <c r="L49" s="476"/>
      <c r="M49" s="69"/>
      <c r="N49" s="137"/>
    </row>
    <row r="50" spans="1:14" ht="15.75" x14ac:dyDescent="0.25">
      <c r="A50" s="454"/>
      <c r="B50" s="439"/>
      <c r="C50" s="413"/>
      <c r="D50" s="413"/>
      <c r="E50" s="413"/>
      <c r="F50" s="111">
        <f t="shared" si="0"/>
        <v>0</v>
      </c>
      <c r="I50" s="288"/>
      <c r="J50" s="57"/>
      <c r="K50" s="111"/>
      <c r="L50" s="476"/>
      <c r="M50" s="69"/>
      <c r="N50" s="137"/>
    </row>
    <row r="51" spans="1:14" ht="15.75" x14ac:dyDescent="0.25">
      <c r="A51" s="454"/>
      <c r="B51" s="439"/>
      <c r="C51" s="413"/>
      <c r="D51" s="413"/>
      <c r="E51" s="413"/>
      <c r="F51" s="111">
        <f t="shared" si="0"/>
        <v>0</v>
      </c>
      <c r="I51" s="288"/>
      <c r="J51" s="57"/>
      <c r="K51" s="111"/>
      <c r="L51" s="476"/>
      <c r="M51" s="69"/>
      <c r="N51" s="137"/>
    </row>
    <row r="52" spans="1:14" ht="15.75" x14ac:dyDescent="0.25">
      <c r="A52" s="454"/>
      <c r="B52" s="439"/>
      <c r="C52" s="413"/>
      <c r="D52" s="413"/>
      <c r="E52" s="413"/>
      <c r="F52" s="111">
        <f t="shared" si="0"/>
        <v>0</v>
      </c>
      <c r="I52" s="288"/>
      <c r="J52" s="57"/>
      <c r="K52" s="111"/>
      <c r="L52" s="476"/>
      <c r="M52" s="69"/>
      <c r="N52" s="137"/>
    </row>
    <row r="53" spans="1:14" ht="15.75" x14ac:dyDescent="0.25">
      <c r="A53" s="454"/>
      <c r="B53" s="439"/>
      <c r="C53" s="413"/>
      <c r="D53" s="413"/>
      <c r="E53" s="413"/>
      <c r="F53" s="111">
        <f t="shared" si="0"/>
        <v>0</v>
      </c>
      <c r="I53" s="288"/>
      <c r="J53" s="57"/>
      <c r="K53" s="111"/>
      <c r="L53" s="476"/>
      <c r="M53" s="69"/>
      <c r="N53" s="137"/>
    </row>
    <row r="54" spans="1:14" ht="15.75" x14ac:dyDescent="0.25">
      <c r="A54" s="454"/>
      <c r="B54" s="439"/>
      <c r="C54" s="413"/>
      <c r="D54" s="413"/>
      <c r="E54" s="413"/>
      <c r="F54" s="111">
        <f t="shared" si="0"/>
        <v>0</v>
      </c>
      <c r="I54" s="288"/>
      <c r="J54" s="57"/>
      <c r="K54" s="111"/>
      <c r="L54" s="476"/>
      <c r="M54" s="69"/>
      <c r="N54" s="137"/>
    </row>
    <row r="55" spans="1:14" ht="15.75" x14ac:dyDescent="0.25">
      <c r="A55" s="454"/>
      <c r="B55" s="439"/>
      <c r="C55" s="413"/>
      <c r="D55" s="413"/>
      <c r="E55" s="413"/>
      <c r="F55" s="111">
        <f t="shared" si="0"/>
        <v>0</v>
      </c>
      <c r="I55" s="288"/>
      <c r="J55" s="57"/>
      <c r="K55" s="111"/>
      <c r="L55" s="476"/>
      <c r="M55" s="69"/>
      <c r="N55" s="137"/>
    </row>
    <row r="56" spans="1:14" ht="15.75" x14ac:dyDescent="0.25">
      <c r="A56" s="454"/>
      <c r="B56" s="439"/>
      <c r="C56" s="413"/>
      <c r="D56" s="413"/>
      <c r="E56" s="413"/>
      <c r="F56" s="111">
        <f t="shared" si="0"/>
        <v>0</v>
      </c>
      <c r="I56" s="288"/>
      <c r="J56" s="57"/>
      <c r="K56" s="111"/>
      <c r="L56" s="476"/>
      <c r="M56" s="69"/>
      <c r="N56" s="137"/>
    </row>
    <row r="57" spans="1:14" ht="15.75" x14ac:dyDescent="0.25">
      <c r="A57" s="454"/>
      <c r="B57" s="439"/>
      <c r="C57" s="413"/>
      <c r="D57" s="413"/>
      <c r="E57" s="413"/>
      <c r="F57" s="111">
        <f t="shared" si="0"/>
        <v>0</v>
      </c>
      <c r="I57" s="288"/>
      <c r="J57" s="57"/>
      <c r="K57" s="111"/>
      <c r="L57" s="476"/>
      <c r="M57" s="69"/>
      <c r="N57" s="137"/>
    </row>
    <row r="58" spans="1:14" ht="15.75" x14ac:dyDescent="0.25">
      <c r="A58" s="454"/>
      <c r="B58" s="439"/>
      <c r="C58" s="413"/>
      <c r="D58" s="413"/>
      <c r="E58" s="413"/>
      <c r="F58" s="111">
        <f t="shared" si="0"/>
        <v>0</v>
      </c>
      <c r="I58" s="288"/>
      <c r="J58" s="57"/>
      <c r="K58" s="111"/>
      <c r="L58" s="476"/>
      <c r="M58" s="69"/>
      <c r="N58" s="137"/>
    </row>
    <row r="59" spans="1:14" ht="15.75" x14ac:dyDescent="0.25">
      <c r="A59" s="454"/>
      <c r="B59" s="439"/>
      <c r="C59" s="413"/>
      <c r="D59" s="413"/>
      <c r="E59" s="413"/>
      <c r="F59" s="111">
        <f t="shared" si="0"/>
        <v>0</v>
      </c>
      <c r="I59" s="288"/>
      <c r="J59" s="57"/>
      <c r="K59" s="111"/>
      <c r="L59" s="476"/>
      <c r="M59" s="69"/>
      <c r="N59" s="137"/>
    </row>
    <row r="60" spans="1:14" ht="15.75" x14ac:dyDescent="0.25">
      <c r="A60" s="454"/>
      <c r="B60" s="439"/>
      <c r="C60" s="413"/>
      <c r="D60" s="413"/>
      <c r="E60" s="413"/>
      <c r="F60" s="111">
        <f t="shared" si="0"/>
        <v>0</v>
      </c>
      <c r="I60" s="288"/>
      <c r="J60" s="57"/>
      <c r="K60" s="111"/>
      <c r="L60" s="476"/>
      <c r="M60" s="69"/>
      <c r="N60" s="137"/>
    </row>
    <row r="61" spans="1:14" ht="15.75" hidden="1" x14ac:dyDescent="0.25">
      <c r="A61" s="134"/>
      <c r="B61" s="139"/>
      <c r="C61" s="69"/>
      <c r="D61" s="253"/>
      <c r="E61" s="69"/>
      <c r="F61" s="111">
        <f t="shared" si="0"/>
        <v>0</v>
      </c>
      <c r="I61" s="134"/>
      <c r="J61" s="139"/>
      <c r="K61" s="69"/>
      <c r="L61" s="140"/>
      <c r="M61" s="69"/>
      <c r="N61" s="137" t="e">
        <f>#REF!+K61-M61</f>
        <v>#REF!</v>
      </c>
    </row>
    <row r="62" spans="1:14" ht="15.75" hidden="1" x14ac:dyDescent="0.25">
      <c r="A62" s="134"/>
      <c r="B62" s="139"/>
      <c r="C62" s="69"/>
      <c r="D62" s="253"/>
      <c r="E62" s="69"/>
      <c r="F62" s="111">
        <f t="shared" si="0"/>
        <v>0</v>
      </c>
      <c r="I62" s="134"/>
      <c r="J62" s="139"/>
      <c r="K62" s="69"/>
      <c r="L62" s="140"/>
      <c r="M62" s="69"/>
      <c r="N62" s="137" t="e">
        <f t="shared" si="1"/>
        <v>#REF!</v>
      </c>
    </row>
    <row r="63" spans="1:14" ht="15.75" hidden="1" x14ac:dyDescent="0.25">
      <c r="A63" s="134"/>
      <c r="B63" s="139"/>
      <c r="C63" s="69"/>
      <c r="D63" s="253"/>
      <c r="E63" s="69"/>
      <c r="F63" s="111">
        <f t="shared" si="0"/>
        <v>0</v>
      </c>
      <c r="I63" s="134"/>
      <c r="J63" s="139"/>
      <c r="K63" s="69"/>
      <c r="L63" s="140"/>
      <c r="M63" s="69"/>
      <c r="N63" s="137" t="e">
        <f t="shared" si="1"/>
        <v>#REF!</v>
      </c>
    </row>
    <row r="64" spans="1:14" ht="15.75" hidden="1" x14ac:dyDescent="0.25">
      <c r="A64" s="134"/>
      <c r="B64" s="139"/>
      <c r="C64" s="69"/>
      <c r="D64" s="253"/>
      <c r="E64" s="69"/>
      <c r="F64" s="111">
        <f t="shared" si="0"/>
        <v>0</v>
      </c>
      <c r="I64" s="134"/>
      <c r="J64" s="139"/>
      <c r="K64" s="69"/>
      <c r="L64" s="140"/>
      <c r="M64" s="69"/>
      <c r="N64" s="137" t="e">
        <f t="shared" si="1"/>
        <v>#REF!</v>
      </c>
    </row>
    <row r="65" spans="1:14" ht="15.75" hidden="1" x14ac:dyDescent="0.25">
      <c r="A65" s="134"/>
      <c r="B65" s="139"/>
      <c r="C65" s="69"/>
      <c r="D65" s="253"/>
      <c r="E65" s="69"/>
      <c r="F65" s="111">
        <f t="shared" si="0"/>
        <v>0</v>
      </c>
      <c r="I65" s="134"/>
      <c r="J65" s="139"/>
      <c r="K65" s="69"/>
      <c r="L65" s="140"/>
      <c r="M65" s="69"/>
      <c r="N65" s="137" t="e">
        <f t="shared" si="1"/>
        <v>#REF!</v>
      </c>
    </row>
    <row r="66" spans="1:14" ht="15.75" hidden="1" x14ac:dyDescent="0.25">
      <c r="A66" s="134"/>
      <c r="B66" s="139"/>
      <c r="C66" s="69"/>
      <c r="D66" s="253"/>
      <c r="E66" s="69"/>
      <c r="F66" s="111">
        <f t="shared" si="0"/>
        <v>0</v>
      </c>
      <c r="I66" s="134"/>
      <c r="J66" s="139"/>
      <c r="K66" s="69"/>
      <c r="L66" s="140"/>
      <c r="M66" s="69"/>
      <c r="N66" s="137" t="e">
        <f t="shared" si="1"/>
        <v>#REF!</v>
      </c>
    </row>
    <row r="67" spans="1:14" ht="15.75" hidden="1" x14ac:dyDescent="0.25">
      <c r="A67" s="134"/>
      <c r="B67" s="139"/>
      <c r="C67" s="69"/>
      <c r="D67" s="253"/>
      <c r="E67" s="69"/>
      <c r="F67" s="111">
        <f t="shared" si="0"/>
        <v>0</v>
      </c>
      <c r="I67" s="134"/>
      <c r="J67" s="139"/>
      <c r="K67" s="69"/>
      <c r="L67" s="140"/>
      <c r="M67" s="69"/>
      <c r="N67" s="137" t="e">
        <f t="shared" si="1"/>
        <v>#REF!</v>
      </c>
    </row>
    <row r="68" spans="1:14" ht="15.75" hidden="1" x14ac:dyDescent="0.25">
      <c r="A68" s="134"/>
      <c r="B68" s="139"/>
      <c r="C68" s="69"/>
      <c r="D68" s="253"/>
      <c r="E68" s="69"/>
      <c r="F68" s="111">
        <f t="shared" ref="F68:F87" si="2">C68-E68</f>
        <v>0</v>
      </c>
      <c r="I68" s="134"/>
      <c r="J68" s="139"/>
      <c r="K68" s="69"/>
      <c r="L68" s="140"/>
      <c r="M68" s="69"/>
      <c r="N68" s="137" t="e">
        <f t="shared" si="1"/>
        <v>#REF!</v>
      </c>
    </row>
    <row r="69" spans="1:14" ht="15.75" hidden="1" x14ac:dyDescent="0.25">
      <c r="A69" s="134"/>
      <c r="B69" s="139"/>
      <c r="C69" s="69"/>
      <c r="D69" s="253"/>
      <c r="E69" s="69"/>
      <c r="F69" s="111">
        <f t="shared" si="2"/>
        <v>0</v>
      </c>
      <c r="I69" s="134"/>
      <c r="J69" s="139"/>
      <c r="K69" s="69"/>
      <c r="L69" s="140"/>
      <c r="M69" s="69"/>
      <c r="N69" s="137" t="e">
        <f t="shared" si="1"/>
        <v>#REF!</v>
      </c>
    </row>
    <row r="70" spans="1:14" ht="15.75" hidden="1" x14ac:dyDescent="0.25">
      <c r="A70" s="134"/>
      <c r="B70" s="139"/>
      <c r="C70" s="69"/>
      <c r="D70" s="253"/>
      <c r="E70" s="69"/>
      <c r="F70" s="111">
        <f t="shared" si="2"/>
        <v>0</v>
      </c>
      <c r="I70" s="134"/>
      <c r="J70" s="139"/>
      <c r="K70" s="69"/>
      <c r="L70" s="140"/>
      <c r="M70" s="69"/>
      <c r="N70" s="137" t="e">
        <f t="shared" si="1"/>
        <v>#REF!</v>
      </c>
    </row>
    <row r="71" spans="1:14" ht="15.75" hidden="1" x14ac:dyDescent="0.25">
      <c r="A71" s="134"/>
      <c r="B71" s="139"/>
      <c r="C71" s="69"/>
      <c r="D71" s="253"/>
      <c r="E71" s="69"/>
      <c r="F71" s="111">
        <f t="shared" si="2"/>
        <v>0</v>
      </c>
      <c r="I71" s="134"/>
      <c r="J71" s="139"/>
      <c r="K71" s="69"/>
      <c r="L71" s="140"/>
      <c r="M71" s="69"/>
      <c r="N71" s="137" t="e">
        <f t="shared" si="1"/>
        <v>#REF!</v>
      </c>
    </row>
    <row r="72" spans="1:14" ht="15.75" hidden="1" x14ac:dyDescent="0.25">
      <c r="A72" s="134"/>
      <c r="B72" s="139"/>
      <c r="C72" s="69"/>
      <c r="D72" s="254"/>
      <c r="E72" s="69"/>
      <c r="F72" s="111">
        <f t="shared" si="2"/>
        <v>0</v>
      </c>
      <c r="I72" s="356"/>
      <c r="J72" s="357"/>
      <c r="K72" s="34"/>
      <c r="L72" s="147"/>
      <c r="M72" s="34"/>
      <c r="N72" s="137" t="e">
        <f t="shared" si="1"/>
        <v>#REF!</v>
      </c>
    </row>
    <row r="73" spans="1:14" ht="15.75" hidden="1" x14ac:dyDescent="0.25">
      <c r="A73" s="134"/>
      <c r="B73" s="139"/>
      <c r="C73" s="69"/>
      <c r="D73" s="254"/>
      <c r="E73" s="69"/>
      <c r="F73" s="111">
        <f t="shared" si="2"/>
        <v>0</v>
      </c>
      <c r="I73" s="356"/>
      <c r="J73" s="357"/>
      <c r="K73" s="34"/>
      <c r="L73" s="147"/>
      <c r="M73" s="34"/>
      <c r="N73" s="137" t="e">
        <f t="shared" si="1"/>
        <v>#REF!</v>
      </c>
    </row>
    <row r="74" spans="1:14" ht="15.75" hidden="1" x14ac:dyDescent="0.25">
      <c r="A74" s="134"/>
      <c r="B74" s="139"/>
      <c r="C74" s="69"/>
      <c r="D74" s="254"/>
      <c r="E74" s="69"/>
      <c r="F74" s="111">
        <f t="shared" si="2"/>
        <v>0</v>
      </c>
      <c r="I74" s="356"/>
      <c r="J74" s="357"/>
      <c r="K74" s="34"/>
      <c r="L74" s="147"/>
      <c r="M74" s="34"/>
      <c r="N74" s="137" t="e">
        <f t="shared" si="1"/>
        <v>#REF!</v>
      </c>
    </row>
    <row r="75" spans="1:14" ht="15.75" hidden="1" x14ac:dyDescent="0.25">
      <c r="A75" s="134"/>
      <c r="B75" s="139"/>
      <c r="C75" s="69"/>
      <c r="D75" s="254"/>
      <c r="E75" s="69"/>
      <c r="F75" s="111">
        <f t="shared" si="2"/>
        <v>0</v>
      </c>
      <c r="I75" s="356"/>
      <c r="J75" s="357"/>
      <c r="K75" s="34"/>
      <c r="L75" s="147"/>
      <c r="M75" s="34"/>
      <c r="N75" s="137" t="e">
        <f t="shared" si="1"/>
        <v>#REF!</v>
      </c>
    </row>
    <row r="76" spans="1:14" ht="15.75" hidden="1" x14ac:dyDescent="0.25">
      <c r="A76" s="134"/>
      <c r="B76" s="139"/>
      <c r="C76" s="69"/>
      <c r="D76" s="254"/>
      <c r="E76" s="69"/>
      <c r="F76" s="111">
        <f t="shared" si="2"/>
        <v>0</v>
      </c>
      <c r="I76" s="356"/>
      <c r="J76" s="357"/>
      <c r="K76" s="34"/>
      <c r="L76" s="147"/>
      <c r="M76" s="34"/>
      <c r="N76" s="137" t="e">
        <f t="shared" si="1"/>
        <v>#REF!</v>
      </c>
    </row>
    <row r="77" spans="1:14" ht="15.75" hidden="1" x14ac:dyDescent="0.25">
      <c r="A77" s="356"/>
      <c r="B77" s="357"/>
      <c r="C77" s="34"/>
      <c r="D77" s="118"/>
      <c r="E77" s="34"/>
      <c r="F77" s="111">
        <f t="shared" si="2"/>
        <v>0</v>
      </c>
      <c r="I77" s="356"/>
      <c r="J77" s="357"/>
      <c r="K77" s="34"/>
      <c r="L77" s="147"/>
      <c r="M77" s="34"/>
      <c r="N77" s="137" t="e">
        <f t="shared" si="1"/>
        <v>#REF!</v>
      </c>
    </row>
    <row r="78" spans="1:14" ht="15.75" hidden="1" x14ac:dyDescent="0.25">
      <c r="A78" s="134"/>
      <c r="B78" s="139"/>
      <c r="C78" s="69"/>
      <c r="D78" s="254"/>
      <c r="E78" s="69"/>
      <c r="F78" s="111">
        <f t="shared" si="2"/>
        <v>0</v>
      </c>
      <c r="I78" s="134"/>
      <c r="J78" s="139"/>
      <c r="K78" s="69"/>
      <c r="L78" s="148"/>
      <c r="M78" s="69"/>
      <c r="N78" s="137" t="e">
        <f t="shared" si="1"/>
        <v>#REF!</v>
      </c>
    </row>
    <row r="79" spans="1:14" ht="15.75" hidden="1" x14ac:dyDescent="0.25">
      <c r="A79" s="134"/>
      <c r="B79" s="139"/>
      <c r="C79" s="69"/>
      <c r="D79" s="254"/>
      <c r="E79" s="69"/>
      <c r="F79" s="111">
        <f t="shared" si="2"/>
        <v>0</v>
      </c>
      <c r="I79" s="134"/>
      <c r="J79" s="139"/>
      <c r="K79" s="69"/>
      <c r="L79" s="148"/>
      <c r="M79" s="69"/>
      <c r="N79" s="137" t="e">
        <f t="shared" ref="N79:N87" si="3">N78+K79-M79</f>
        <v>#REF!</v>
      </c>
    </row>
    <row r="80" spans="1:14" ht="15.75" hidden="1" x14ac:dyDescent="0.25">
      <c r="A80" s="134"/>
      <c r="B80" s="139"/>
      <c r="C80" s="69"/>
      <c r="D80" s="254"/>
      <c r="E80" s="69"/>
      <c r="F80" s="111">
        <f t="shared" si="2"/>
        <v>0</v>
      </c>
      <c r="I80" s="134"/>
      <c r="J80" s="139"/>
      <c r="K80" s="69"/>
      <c r="L80" s="148"/>
      <c r="M80" s="69"/>
      <c r="N80" s="137" t="e">
        <f t="shared" si="3"/>
        <v>#REF!</v>
      </c>
    </row>
    <row r="81" spans="1:14" ht="15.75" hidden="1" x14ac:dyDescent="0.25">
      <c r="A81" s="134"/>
      <c r="B81" s="139"/>
      <c r="C81" s="69"/>
      <c r="D81" s="254"/>
      <c r="E81" s="69"/>
      <c r="F81" s="111">
        <f t="shared" si="2"/>
        <v>0</v>
      </c>
      <c r="I81" s="134"/>
      <c r="J81" s="139"/>
      <c r="K81" s="69"/>
      <c r="L81" s="148"/>
      <c r="M81" s="69"/>
      <c r="N81" s="137" t="e">
        <f t="shared" si="3"/>
        <v>#REF!</v>
      </c>
    </row>
    <row r="82" spans="1:14" ht="15.75" hidden="1" x14ac:dyDescent="0.25">
      <c r="A82" s="134"/>
      <c r="B82" s="139"/>
      <c r="C82" s="69"/>
      <c r="D82" s="254"/>
      <c r="E82" s="69"/>
      <c r="F82" s="111">
        <f t="shared" si="2"/>
        <v>0</v>
      </c>
      <c r="I82" s="134"/>
      <c r="J82" s="139"/>
      <c r="K82" s="69"/>
      <c r="L82" s="148"/>
      <c r="M82" s="69"/>
      <c r="N82" s="137" t="e">
        <f t="shared" si="3"/>
        <v>#REF!</v>
      </c>
    </row>
    <row r="83" spans="1:14" ht="15.75" hidden="1" x14ac:dyDescent="0.25">
      <c r="A83" s="134"/>
      <c r="B83" s="139"/>
      <c r="C83" s="69"/>
      <c r="D83" s="254"/>
      <c r="E83" s="69"/>
      <c r="F83" s="111">
        <f t="shared" si="2"/>
        <v>0</v>
      </c>
      <c r="I83" s="134"/>
      <c r="J83" s="139"/>
      <c r="K83" s="69"/>
      <c r="L83" s="148"/>
      <c r="M83" s="69"/>
      <c r="N83" s="137" t="e">
        <f t="shared" si="3"/>
        <v>#REF!</v>
      </c>
    </row>
    <row r="84" spans="1:14" ht="15.75" hidden="1" x14ac:dyDescent="0.25">
      <c r="A84" s="134"/>
      <c r="B84" s="139"/>
      <c r="C84" s="69"/>
      <c r="D84" s="254"/>
      <c r="E84" s="69"/>
      <c r="F84" s="111">
        <f t="shared" si="2"/>
        <v>0</v>
      </c>
      <c r="I84" s="134"/>
      <c r="J84" s="139"/>
      <c r="K84" s="69"/>
      <c r="L84" s="148"/>
      <c r="M84" s="69"/>
      <c r="N84" s="137" t="e">
        <f t="shared" si="3"/>
        <v>#REF!</v>
      </c>
    </row>
    <row r="85" spans="1:14" ht="15.75" hidden="1" x14ac:dyDescent="0.25">
      <c r="A85" s="134"/>
      <c r="B85" s="139"/>
      <c r="C85" s="69"/>
      <c r="D85" s="254"/>
      <c r="E85" s="69"/>
      <c r="F85" s="111">
        <f t="shared" si="2"/>
        <v>0</v>
      </c>
      <c r="I85" s="134"/>
      <c r="J85" s="139"/>
      <c r="K85" s="69"/>
      <c r="L85" s="148"/>
      <c r="M85" s="69"/>
      <c r="N85" s="137" t="e">
        <f t="shared" si="3"/>
        <v>#REF!</v>
      </c>
    </row>
    <row r="86" spans="1:14" ht="15.75" hidden="1" x14ac:dyDescent="0.25">
      <c r="A86" s="134"/>
      <c r="B86" s="139"/>
      <c r="C86" s="69"/>
      <c r="D86" s="254"/>
      <c r="E86" s="69"/>
      <c r="F86" s="111">
        <f t="shared" si="2"/>
        <v>0</v>
      </c>
      <c r="I86" s="134"/>
      <c r="J86" s="139"/>
      <c r="K86" s="69"/>
      <c r="L86" s="148"/>
      <c r="M86" s="69"/>
      <c r="N86" s="137" t="e">
        <f t="shared" si="3"/>
        <v>#REF!</v>
      </c>
    </row>
    <row r="87" spans="1:14" ht="15.75" hidden="1" x14ac:dyDescent="0.25">
      <c r="A87" s="134"/>
      <c r="B87" s="139"/>
      <c r="C87" s="69"/>
      <c r="D87" s="254"/>
      <c r="E87" s="69"/>
      <c r="F87" s="111">
        <f t="shared" si="2"/>
        <v>0</v>
      </c>
      <c r="I87" s="134"/>
      <c r="J87" s="139"/>
      <c r="K87" s="69"/>
      <c r="L87" s="148"/>
      <c r="M87" s="69"/>
      <c r="N87" s="137" t="e">
        <f t="shared" si="3"/>
        <v>#REF!</v>
      </c>
    </row>
    <row r="88" spans="1:14" ht="16.5" thickBot="1" x14ac:dyDescent="0.3">
      <c r="A88" s="149"/>
      <c r="B88" s="210"/>
      <c r="C88" s="34">
        <v>0</v>
      </c>
      <c r="D88" s="255"/>
      <c r="E88" s="151"/>
      <c r="F88" s="137">
        <v>0</v>
      </c>
      <c r="I88" s="149"/>
      <c r="J88" s="150"/>
      <c r="K88" s="151">
        <v>0</v>
      </c>
      <c r="L88" s="152"/>
      <c r="M88" s="151"/>
      <c r="N88" s="137"/>
    </row>
    <row r="89" spans="1:14" ht="19.5" thickTop="1" x14ac:dyDescent="0.3">
      <c r="B89" s="440"/>
      <c r="C89" s="212">
        <f>SUM(C3:C88)</f>
        <v>1884975.46</v>
      </c>
      <c r="D89" s="407"/>
      <c r="E89" s="395">
        <f>SUM(E3:E88)</f>
        <v>1589360.89</v>
      </c>
      <c r="F89" s="153">
        <f>SUM(F3:F88)</f>
        <v>295614.57000000007</v>
      </c>
      <c r="K89" s="528">
        <f>SUM(K3:K88)</f>
        <v>363428.24</v>
      </c>
      <c r="L89" s="478"/>
      <c r="M89" s="209">
        <f>SUM(M3:M88)</f>
        <v>363428.24</v>
      </c>
      <c r="N89" s="153">
        <f>N88</f>
        <v>0</v>
      </c>
    </row>
    <row r="90" spans="1:14" ht="15.75" thickBot="1" x14ac:dyDescent="0.3">
      <c r="B90" s="441"/>
      <c r="C90" s="214"/>
      <c r="D90" s="256"/>
      <c r="E90" s="3"/>
      <c r="F90" s="659" t="s">
        <v>207</v>
      </c>
      <c r="K90" s="1"/>
      <c r="L90" s="97"/>
      <c r="M90" s="3"/>
      <c r="N90" s="1"/>
    </row>
    <row r="91" spans="1:14" x14ac:dyDescent="0.25">
      <c r="B91" s="163"/>
      <c r="C91" s="1"/>
      <c r="D91" s="256"/>
      <c r="E91" s="3"/>
      <c r="F91" s="660"/>
      <c r="K91" s="1"/>
      <c r="L91" s="97"/>
      <c r="M91" s="3"/>
      <c r="N91" s="1"/>
    </row>
    <row r="92" spans="1:14" ht="16.5" thickBot="1" x14ac:dyDescent="0.3">
      <c r="A92" s="456"/>
      <c r="B92" s="442"/>
      <c r="H92" s="2"/>
      <c r="I92" s="14"/>
      <c r="J92" s="504"/>
      <c r="K92" s="6"/>
      <c r="L92" s="505"/>
      <c r="M92" s="6"/>
    </row>
    <row r="93" spans="1:14" x14ac:dyDescent="0.25">
      <c r="A93" s="456"/>
      <c r="B93" s="442"/>
      <c r="I93" s="697" t="s">
        <v>594</v>
      </c>
      <c r="J93" s="698"/>
    </row>
    <row r="94" spans="1:14" ht="19.5" thickBot="1" x14ac:dyDescent="0.35">
      <c r="A94" s="456"/>
      <c r="B94" s="520" t="s">
        <v>728</v>
      </c>
      <c r="C94" s="521"/>
      <c r="D94" s="522"/>
      <c r="E94" s="523"/>
      <c r="I94" s="699"/>
      <c r="J94" s="700"/>
    </row>
    <row r="95" spans="1:14" x14ac:dyDescent="0.25">
      <c r="A95" s="456"/>
      <c r="B95" s="442"/>
      <c r="F95"/>
      <c r="I95"/>
      <c r="J95" s="194"/>
      <c r="N95"/>
    </row>
    <row r="96" spans="1:14" x14ac:dyDescent="0.25">
      <c r="A96" s="456"/>
      <c r="B96" s="442"/>
      <c r="F96"/>
      <c r="I96"/>
      <c r="J96" s="194"/>
      <c r="N96"/>
    </row>
    <row r="97" spans="1:14" x14ac:dyDescent="0.25">
      <c r="A97" s="513"/>
      <c r="B97" s="514"/>
      <c r="C97" s="129"/>
      <c r="F97"/>
      <c r="I97"/>
      <c r="J97" s="194"/>
      <c r="N97"/>
    </row>
    <row r="98" spans="1:14" x14ac:dyDescent="0.25">
      <c r="A98" s="513"/>
      <c r="B98" s="514"/>
      <c r="C98" s="129"/>
      <c r="F98"/>
      <c r="I98"/>
      <c r="J98" s="194"/>
      <c r="N98"/>
    </row>
    <row r="99" spans="1:14" ht="15.75" x14ac:dyDescent="0.25">
      <c r="A99" s="515"/>
      <c r="B99" s="516"/>
      <c r="C99" s="233"/>
      <c r="F99"/>
      <c r="I99"/>
      <c r="J99" s="194"/>
      <c r="N99"/>
    </row>
    <row r="100" spans="1:14" ht="15.75" x14ac:dyDescent="0.25">
      <c r="A100" s="515"/>
      <c r="B100" s="516"/>
      <c r="C100" s="233"/>
      <c r="F100"/>
      <c r="I100"/>
      <c r="J100" s="194"/>
      <c r="N100"/>
    </row>
    <row r="101" spans="1:14" ht="15.75" x14ac:dyDescent="0.25">
      <c r="A101" s="515"/>
      <c r="B101" s="516"/>
      <c r="C101" s="233"/>
      <c r="F101"/>
      <c r="I101"/>
      <c r="J101" s="194"/>
      <c r="N101"/>
    </row>
    <row r="102" spans="1:14" ht="15.75" x14ac:dyDescent="0.25">
      <c r="A102" s="515"/>
      <c r="B102" s="516"/>
      <c r="C102" s="233"/>
      <c r="F102"/>
      <c r="I102"/>
      <c r="J102" s="194"/>
      <c r="N102"/>
    </row>
    <row r="103" spans="1:14" ht="15.75" x14ac:dyDescent="0.25">
      <c r="A103" s="515"/>
      <c r="B103" s="516"/>
      <c r="C103" s="233"/>
      <c r="F103"/>
      <c r="I103"/>
      <c r="J103" s="194"/>
      <c r="N103"/>
    </row>
    <row r="104" spans="1:14" x14ac:dyDescent="0.25">
      <c r="A104" s="513"/>
      <c r="B104" s="514"/>
      <c r="C104" s="129"/>
      <c r="E104"/>
      <c r="F104"/>
      <c r="I104"/>
      <c r="J104" s="194"/>
      <c r="M104"/>
      <c r="N104"/>
    </row>
    <row r="105" spans="1:14" x14ac:dyDescent="0.25">
      <c r="A105" s="456"/>
      <c r="B105" s="442"/>
      <c r="E105"/>
      <c r="F105"/>
      <c r="I105"/>
      <c r="J105" s="194"/>
      <c r="M105"/>
      <c r="N105"/>
    </row>
    <row r="106" spans="1:14" ht="15.75" x14ac:dyDescent="0.25">
      <c r="A106" s="456"/>
      <c r="B106" s="354" t="s">
        <v>680</v>
      </c>
      <c r="C106" s="355" t="s">
        <v>681</v>
      </c>
      <c r="D106" s="96">
        <v>67001.67</v>
      </c>
      <c r="E106"/>
      <c r="F106"/>
      <c r="I106"/>
      <c r="J106" s="194"/>
      <c r="M106"/>
      <c r="N106"/>
    </row>
    <row r="107" spans="1:14" ht="15.75" x14ac:dyDescent="0.25">
      <c r="A107" s="456"/>
      <c r="B107" s="354" t="s">
        <v>680</v>
      </c>
      <c r="C107" s="355" t="s">
        <v>682</v>
      </c>
      <c r="D107" s="96">
        <v>5256</v>
      </c>
      <c r="E107"/>
      <c r="F107"/>
      <c r="I107"/>
      <c r="J107" s="194"/>
      <c r="M107"/>
      <c r="N107"/>
    </row>
    <row r="108" spans="1:14" ht="15.75" x14ac:dyDescent="0.25">
      <c r="B108" s="354" t="s">
        <v>683</v>
      </c>
      <c r="C108" s="355" t="s">
        <v>684</v>
      </c>
      <c r="D108" s="96">
        <v>40472.6</v>
      </c>
      <c r="E108" s="257"/>
      <c r="F108"/>
      <c r="I108"/>
      <c r="J108" s="194"/>
      <c r="M108"/>
      <c r="N108"/>
    </row>
    <row r="109" spans="1:14" ht="15.75" x14ac:dyDescent="0.25">
      <c r="B109" s="354" t="s">
        <v>683</v>
      </c>
      <c r="C109" s="355" t="s">
        <v>685</v>
      </c>
      <c r="D109" s="96">
        <v>3906</v>
      </c>
      <c r="E109" s="257"/>
      <c r="F109"/>
      <c r="I109"/>
      <c r="J109" s="194"/>
      <c r="M109"/>
      <c r="N109"/>
    </row>
    <row r="110" spans="1:14" ht="15.75" x14ac:dyDescent="0.25">
      <c r="B110" s="354" t="s">
        <v>686</v>
      </c>
      <c r="C110" s="355" t="s">
        <v>687</v>
      </c>
      <c r="D110" s="96">
        <v>33820.800000000003</v>
      </c>
      <c r="E110" s="257"/>
      <c r="J110" s="194"/>
      <c r="M110"/>
    </row>
    <row r="111" spans="1:14" ht="15.75" x14ac:dyDescent="0.25">
      <c r="B111" s="354" t="s">
        <v>688</v>
      </c>
      <c r="C111" s="355" t="s">
        <v>689</v>
      </c>
      <c r="D111" s="96">
        <v>36277.25</v>
      </c>
      <c r="E111" s="257"/>
      <c r="J111" s="194"/>
      <c r="M111"/>
    </row>
    <row r="112" spans="1:14" ht="15.75" x14ac:dyDescent="0.25">
      <c r="B112" s="354" t="s">
        <v>690</v>
      </c>
      <c r="C112" s="355" t="s">
        <v>691</v>
      </c>
      <c r="D112" s="96">
        <v>61531.34</v>
      </c>
      <c r="E112" s="257"/>
      <c r="J112" s="194"/>
      <c r="M112"/>
    </row>
    <row r="113" spans="2:13" ht="15.75" x14ac:dyDescent="0.25">
      <c r="B113" s="354" t="s">
        <v>690</v>
      </c>
      <c r="C113" s="355" t="s">
        <v>692</v>
      </c>
      <c r="D113" s="96">
        <v>12189.9</v>
      </c>
      <c r="E113" s="257"/>
      <c r="J113" s="194"/>
      <c r="M113"/>
    </row>
    <row r="114" spans="2:13" ht="15.75" x14ac:dyDescent="0.25">
      <c r="B114" s="354" t="s">
        <v>693</v>
      </c>
      <c r="C114" s="355" t="s">
        <v>694</v>
      </c>
      <c r="D114" s="96">
        <v>64256.75</v>
      </c>
      <c r="E114" s="257"/>
      <c r="J114" s="194"/>
      <c r="M114"/>
    </row>
    <row r="115" spans="2:13" ht="15.75" x14ac:dyDescent="0.25">
      <c r="B115" s="354" t="s">
        <v>695</v>
      </c>
      <c r="C115" s="355" t="s">
        <v>696</v>
      </c>
      <c r="D115" s="96">
        <v>53375.8</v>
      </c>
      <c r="E115" s="257"/>
      <c r="J115" s="194"/>
      <c r="M115"/>
    </row>
    <row r="116" spans="2:13" ht="15.75" x14ac:dyDescent="0.25">
      <c r="B116" s="354" t="s">
        <v>697</v>
      </c>
      <c r="C116" s="355" t="s">
        <v>698</v>
      </c>
      <c r="D116" s="96">
        <v>126366.49</v>
      </c>
      <c r="E116" s="257"/>
      <c r="J116" s="194"/>
      <c r="M116"/>
    </row>
    <row r="117" spans="2:13" ht="15.75" x14ac:dyDescent="0.25">
      <c r="B117" s="354" t="s">
        <v>697</v>
      </c>
      <c r="C117" s="355" t="s">
        <v>699</v>
      </c>
      <c r="D117" s="96">
        <v>6102</v>
      </c>
      <c r="E117" s="257"/>
      <c r="J117" s="194"/>
      <c r="M117"/>
    </row>
    <row r="118" spans="2:13" ht="15.75" x14ac:dyDescent="0.25">
      <c r="B118" s="354" t="s">
        <v>697</v>
      </c>
      <c r="C118" s="355" t="s">
        <v>700</v>
      </c>
      <c r="D118" s="96">
        <v>4812</v>
      </c>
      <c r="E118" s="257"/>
      <c r="J118" s="194"/>
      <c r="M118"/>
    </row>
    <row r="119" spans="2:13" ht="15.75" x14ac:dyDescent="0.25">
      <c r="B119" s="354" t="s">
        <v>701</v>
      </c>
      <c r="C119" s="355" t="s">
        <v>702</v>
      </c>
      <c r="D119" s="96">
        <v>10160.6</v>
      </c>
      <c r="E119" s="257"/>
      <c r="J119" s="194"/>
    </row>
    <row r="120" spans="2:13" ht="15.75" x14ac:dyDescent="0.25">
      <c r="B120" s="354" t="s">
        <v>701</v>
      </c>
      <c r="C120" s="355" t="s">
        <v>703</v>
      </c>
      <c r="D120" s="96">
        <v>75337.5</v>
      </c>
      <c r="E120" s="257"/>
      <c r="J120" s="194"/>
    </row>
    <row r="121" spans="2:13" ht="15.75" x14ac:dyDescent="0.25">
      <c r="B121" s="354" t="s">
        <v>704</v>
      </c>
      <c r="C121" s="355" t="s">
        <v>705</v>
      </c>
      <c r="D121" s="96">
        <v>29920.44</v>
      </c>
      <c r="E121" s="257"/>
      <c r="J121" s="194"/>
    </row>
    <row r="122" spans="2:13" ht="15.75" x14ac:dyDescent="0.25">
      <c r="B122" s="354" t="s">
        <v>706</v>
      </c>
      <c r="C122" s="355" t="s">
        <v>707</v>
      </c>
      <c r="D122" s="96">
        <v>72246.7</v>
      </c>
      <c r="E122" s="257"/>
      <c r="J122" s="194"/>
    </row>
    <row r="123" spans="2:13" ht="15.75" x14ac:dyDescent="0.25">
      <c r="B123" s="354" t="s">
        <v>706</v>
      </c>
      <c r="C123" s="355" t="s">
        <v>708</v>
      </c>
      <c r="D123" s="96">
        <v>3036</v>
      </c>
      <c r="E123" s="257"/>
      <c r="J123" s="194"/>
    </row>
    <row r="124" spans="2:13" ht="15.75" x14ac:dyDescent="0.25">
      <c r="B124" s="354" t="s">
        <v>709</v>
      </c>
      <c r="C124" s="355" t="s">
        <v>710</v>
      </c>
      <c r="D124" s="96">
        <v>1627.2</v>
      </c>
      <c r="E124" s="257"/>
      <c r="J124" s="194"/>
    </row>
    <row r="125" spans="2:13" ht="18.75" x14ac:dyDescent="0.3">
      <c r="B125" s="354" t="s">
        <v>709</v>
      </c>
      <c r="C125" s="355" t="s">
        <v>711</v>
      </c>
      <c r="D125" s="96">
        <v>1238.8</v>
      </c>
      <c r="E125" s="257"/>
      <c r="K125" s="154"/>
    </row>
    <row r="126" spans="2:13" ht="15.75" x14ac:dyDescent="0.25">
      <c r="B126" s="354" t="s">
        <v>709</v>
      </c>
      <c r="C126" s="355" t="s">
        <v>712</v>
      </c>
      <c r="D126" s="96">
        <v>50646.16</v>
      </c>
      <c r="E126" s="257"/>
    </row>
    <row r="127" spans="2:13" ht="15.75" x14ac:dyDescent="0.25">
      <c r="B127" s="354"/>
      <c r="C127" s="355"/>
      <c r="D127" s="96"/>
      <c r="E127" s="257"/>
    </row>
    <row r="128" spans="2:13" ht="15.75" x14ac:dyDescent="0.25">
      <c r="B128" s="354"/>
      <c r="C128" s="355"/>
      <c r="D128" s="96"/>
      <c r="E128" s="257"/>
    </row>
    <row r="129" spans="2:5" ht="16.5" thickBot="1" x14ac:dyDescent="0.3">
      <c r="B129" s="354"/>
      <c r="C129" s="355"/>
      <c r="D129" s="96"/>
      <c r="E129" s="594"/>
    </row>
    <row r="130" spans="2:5" ht="21.75" thickBot="1" x14ac:dyDescent="0.4">
      <c r="B130" s="455"/>
      <c r="C130" s="705">
        <f>SUM(D106:D129)</f>
        <v>759581.99999999988</v>
      </c>
      <c r="D130" s="706"/>
      <c r="E130" s="257"/>
    </row>
  </sheetData>
  <mergeCells count="3">
    <mergeCell ref="F90:F91"/>
    <mergeCell ref="I93:J94"/>
    <mergeCell ref="C130:D130"/>
  </mergeCells>
  <pageMargins left="0.34" right="0.13" top="0.26" bottom="0.26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H17"/>
  <sheetViews>
    <sheetView workbookViewId="0">
      <selection activeCell="K15" sqref="K15"/>
    </sheetView>
  </sheetViews>
  <sheetFormatPr baseColWidth="10" defaultRowHeight="15" x14ac:dyDescent="0.25"/>
  <cols>
    <col min="1" max="1" width="4.28515625" customWidth="1"/>
    <col min="2" max="3" width="14.42578125" style="256" customWidth="1"/>
    <col min="4" max="4" width="18" style="3" customWidth="1"/>
    <col min="5" max="5" width="15" customWidth="1"/>
    <col min="8" max="8" width="12.5703125" bestFit="1" customWidth="1"/>
  </cols>
  <sheetData>
    <row r="1" spans="2:8" ht="15.75" thickBot="1" x14ac:dyDescent="0.3"/>
    <row r="2" spans="2:8" ht="15.75" thickBot="1" x14ac:dyDescent="0.3">
      <c r="F2" s="711" t="s">
        <v>765</v>
      </c>
      <c r="G2" s="712"/>
      <c r="H2" s="713"/>
    </row>
    <row r="3" spans="2:8" ht="27.75" customHeight="1" thickBot="1" x14ac:dyDescent="0.3">
      <c r="B3" s="708" t="s">
        <v>761</v>
      </c>
      <c r="C3" s="709"/>
      <c r="D3" s="710"/>
      <c r="F3" s="714"/>
      <c r="G3" s="715"/>
      <c r="H3" s="716"/>
    </row>
    <row r="4" spans="2:8" ht="32.25" thickBot="1" x14ac:dyDescent="0.3">
      <c r="B4" s="529" t="s">
        <v>760</v>
      </c>
      <c r="C4" s="531" t="s">
        <v>759</v>
      </c>
      <c r="D4" s="530" t="s">
        <v>21</v>
      </c>
      <c r="F4" s="536" t="s">
        <v>760</v>
      </c>
      <c r="G4" s="537" t="s">
        <v>759</v>
      </c>
      <c r="H4" s="538" t="s">
        <v>21</v>
      </c>
    </row>
    <row r="5" spans="2:8" s="98" customFormat="1" ht="32.25" thickTop="1" x14ac:dyDescent="0.25">
      <c r="B5" s="118">
        <v>44669</v>
      </c>
      <c r="C5" s="118">
        <v>44674</v>
      </c>
      <c r="D5" s="1">
        <v>26691</v>
      </c>
      <c r="E5" s="532" t="s">
        <v>762</v>
      </c>
      <c r="F5" s="254">
        <v>44673</v>
      </c>
      <c r="G5" s="254"/>
      <c r="H5" s="327">
        <v>166000</v>
      </c>
    </row>
    <row r="6" spans="2:8" s="98" customFormat="1" ht="31.5" x14ac:dyDescent="0.25">
      <c r="B6" s="254">
        <v>44670</v>
      </c>
      <c r="C6" s="254">
        <v>44674</v>
      </c>
      <c r="D6" s="327">
        <v>39942</v>
      </c>
      <c r="E6" s="532" t="s">
        <v>762</v>
      </c>
      <c r="F6" s="254">
        <v>44673</v>
      </c>
      <c r="G6" s="254"/>
      <c r="H6" s="327">
        <v>20000</v>
      </c>
    </row>
    <row r="7" spans="2:8" s="98" customFormat="1" ht="31.5" x14ac:dyDescent="0.25">
      <c r="B7" s="254">
        <v>44671</v>
      </c>
      <c r="C7" s="254">
        <v>44674</v>
      </c>
      <c r="D7" s="327">
        <v>46851.5</v>
      </c>
      <c r="E7" s="532" t="s">
        <v>762</v>
      </c>
      <c r="F7" s="254">
        <v>44673</v>
      </c>
      <c r="G7" s="254"/>
      <c r="H7" s="327">
        <v>59220</v>
      </c>
    </row>
    <row r="8" spans="2:8" s="98" customFormat="1" ht="31.5" x14ac:dyDescent="0.25">
      <c r="B8" s="254">
        <v>44672</v>
      </c>
      <c r="C8" s="254">
        <v>44674</v>
      </c>
      <c r="D8" s="327">
        <v>55917</v>
      </c>
      <c r="E8" s="532" t="s">
        <v>762</v>
      </c>
      <c r="F8" s="254">
        <v>44673</v>
      </c>
      <c r="G8" s="254"/>
      <c r="H8" s="327">
        <v>70000</v>
      </c>
    </row>
    <row r="9" spans="2:8" s="98" customFormat="1" ht="31.5" x14ac:dyDescent="0.25">
      <c r="B9" s="254">
        <v>44673</v>
      </c>
      <c r="C9" s="254">
        <v>44674</v>
      </c>
      <c r="D9" s="327">
        <v>95058.5</v>
      </c>
      <c r="E9" s="532" t="s">
        <v>762</v>
      </c>
      <c r="F9" s="254">
        <v>44673</v>
      </c>
      <c r="G9" s="254"/>
      <c r="H9" s="327">
        <v>19117</v>
      </c>
    </row>
    <row r="10" spans="2:8" s="98" customFormat="1" ht="20.25" customHeight="1" thickBot="1" x14ac:dyDescent="0.3">
      <c r="B10" s="118"/>
      <c r="C10" s="118"/>
      <c r="D10" s="1">
        <v>0</v>
      </c>
      <c r="H10" s="1">
        <v>0</v>
      </c>
    </row>
    <row r="11" spans="2:8" ht="36" customHeight="1" thickBot="1" x14ac:dyDescent="0.4">
      <c r="C11" s="533" t="s">
        <v>8</v>
      </c>
      <c r="D11" s="534">
        <f>SUM(D5:D10)</f>
        <v>264460</v>
      </c>
      <c r="G11" s="717">
        <f>SUM(H5:H10)</f>
        <v>334337</v>
      </c>
      <c r="H11" s="718"/>
    </row>
    <row r="13" spans="2:8" ht="18.75" x14ac:dyDescent="0.3">
      <c r="B13" s="535" t="s">
        <v>594</v>
      </c>
      <c r="C13" s="535" t="s">
        <v>764</v>
      </c>
      <c r="D13" s="154">
        <v>334337</v>
      </c>
    </row>
    <row r="14" spans="2:8" ht="19.5" thickBot="1" x14ac:dyDescent="0.35">
      <c r="C14" s="535"/>
    </row>
    <row r="15" spans="2:8" ht="21" customHeight="1" x14ac:dyDescent="0.25">
      <c r="C15" s="721" t="s">
        <v>763</v>
      </c>
      <c r="D15" s="719">
        <f>D11-D13</f>
        <v>-69877</v>
      </c>
    </row>
    <row r="16" spans="2:8" ht="18.75" customHeight="1" thickBot="1" x14ac:dyDescent="0.3">
      <c r="C16" s="722"/>
      <c r="D16" s="720"/>
    </row>
    <row r="17" spans="3:4" ht="18.75" x14ac:dyDescent="0.3">
      <c r="C17" s="707" t="s">
        <v>766</v>
      </c>
      <c r="D17" s="707"/>
    </row>
  </sheetData>
  <mergeCells count="6">
    <mergeCell ref="C17:D17"/>
    <mergeCell ref="B3:D3"/>
    <mergeCell ref="F2:H3"/>
    <mergeCell ref="G11:H11"/>
    <mergeCell ref="D15:D16"/>
    <mergeCell ref="C15:C16"/>
  </mergeCells>
  <pageMargins left="0.19" right="0.13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Z80"/>
  <sheetViews>
    <sheetView workbookViewId="0">
      <pane xSplit="1" ySplit="4" topLeftCell="I5" activePane="bottomRight" state="frozen"/>
      <selection pane="topRight" activeCell="B1" sqref="B1"/>
      <selection pane="bottomLeft" activeCell="A5" sqref="A5"/>
      <selection pane="bottomRight" activeCell="L21" sqref="L21"/>
    </sheetView>
  </sheetViews>
  <sheetFormatPr baseColWidth="10" defaultRowHeight="15.75" x14ac:dyDescent="0.25"/>
  <cols>
    <col min="1" max="1" width="2.85546875" customWidth="1"/>
    <col min="2" max="2" width="12.42578125" style="561" customWidth="1"/>
    <col min="3" max="3" width="15.5703125" style="4" bestFit="1" customWidth="1"/>
    <col min="4" max="4" width="15.28515625" customWidth="1"/>
    <col min="5" max="5" width="11.42578125" style="562"/>
    <col min="6" max="6" width="15.28515625" style="4" customWidth="1"/>
    <col min="7" max="7" width="1.85546875" style="562" customWidth="1"/>
    <col min="8" max="8" width="11.85546875" style="562" customWidth="1"/>
    <col min="9" max="9" width="15.7109375" style="4" customWidth="1"/>
    <col min="10" max="10" width="11.7109375" style="12" customWidth="1"/>
    <col min="11" max="11" width="14.42578125" style="571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87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597"/>
      <c r="C1" s="663" t="s">
        <v>767</v>
      </c>
      <c r="D1" s="664"/>
      <c r="E1" s="664"/>
      <c r="F1" s="664"/>
      <c r="G1" s="664"/>
      <c r="H1" s="664"/>
      <c r="I1" s="664"/>
      <c r="J1" s="664"/>
      <c r="K1" s="664"/>
      <c r="L1" s="664"/>
      <c r="M1" s="664"/>
    </row>
    <row r="2" spans="1:25" ht="16.5" thickBot="1" x14ac:dyDescent="0.3">
      <c r="B2" s="598"/>
      <c r="C2" s="3"/>
      <c r="H2" s="5"/>
      <c r="I2" s="6"/>
      <c r="J2" s="7"/>
      <c r="L2" s="8"/>
      <c r="M2" s="6"/>
      <c r="N2" s="9"/>
    </row>
    <row r="3" spans="1:25" ht="21.75" thickBot="1" x14ac:dyDescent="0.35">
      <c r="B3" s="601" t="s">
        <v>0</v>
      </c>
      <c r="C3" s="602"/>
      <c r="D3" s="10"/>
      <c r="E3" s="563"/>
      <c r="F3" s="11"/>
      <c r="H3" s="603" t="s">
        <v>26</v>
      </c>
      <c r="I3" s="603"/>
      <c r="K3" s="165"/>
      <c r="L3" s="13"/>
      <c r="M3" s="14"/>
      <c r="P3" s="640" t="s">
        <v>6</v>
      </c>
      <c r="R3" s="661" t="s">
        <v>216</v>
      </c>
      <c r="U3" s="34"/>
      <c r="V3" s="128"/>
      <c r="W3" s="128"/>
      <c r="X3" s="128"/>
    </row>
    <row r="4" spans="1:25" ht="32.25" thickTop="1" thickBot="1" x14ac:dyDescent="0.35">
      <c r="A4" s="15" t="s">
        <v>1</v>
      </c>
      <c r="B4" s="16"/>
      <c r="C4" s="17">
        <v>2112071.92</v>
      </c>
      <c r="D4" s="18">
        <v>44682</v>
      </c>
      <c r="E4" s="604" t="s">
        <v>2</v>
      </c>
      <c r="F4" s="605"/>
      <c r="H4" s="606" t="s">
        <v>3</v>
      </c>
      <c r="I4" s="607"/>
      <c r="J4" s="566"/>
      <c r="K4" s="572"/>
      <c r="L4" s="573"/>
      <c r="M4" s="21" t="s">
        <v>4</v>
      </c>
      <c r="N4" s="22" t="s">
        <v>5</v>
      </c>
      <c r="P4" s="641"/>
      <c r="Q4" s="322" t="s">
        <v>217</v>
      </c>
      <c r="R4" s="662"/>
      <c r="U4" s="34"/>
      <c r="V4" s="128"/>
      <c r="W4" s="723"/>
      <c r="X4" s="723"/>
      <c r="Y4" s="227"/>
    </row>
    <row r="5" spans="1:25" ht="18" thickBot="1" x14ac:dyDescent="0.35">
      <c r="A5" s="23" t="s">
        <v>7</v>
      </c>
      <c r="B5" s="24">
        <v>44683</v>
      </c>
      <c r="C5" s="25">
        <v>17249</v>
      </c>
      <c r="D5" s="26" t="s">
        <v>768</v>
      </c>
      <c r="E5" s="27">
        <v>44683</v>
      </c>
      <c r="F5" s="28">
        <v>112678</v>
      </c>
      <c r="G5" s="583"/>
      <c r="H5" s="29">
        <v>44683</v>
      </c>
      <c r="I5" s="30">
        <v>1858.5</v>
      </c>
      <c r="J5" s="37"/>
      <c r="K5" s="31"/>
      <c r="L5" s="9"/>
      <c r="M5" s="32">
        <f>61008.5+2210</f>
        <v>63218.5</v>
      </c>
      <c r="N5" s="33">
        <v>30352</v>
      </c>
      <c r="O5" s="586"/>
      <c r="P5" s="34">
        <f>N5+M5+L5+I5+C5</f>
        <v>112678</v>
      </c>
      <c r="Q5" s="325">
        <f>P5-F5</f>
        <v>0</v>
      </c>
      <c r="R5" s="379">
        <v>0</v>
      </c>
      <c r="S5" s="324"/>
      <c r="U5" s="34"/>
      <c r="V5" s="128"/>
      <c r="W5" s="723"/>
      <c r="X5" s="723"/>
      <c r="Y5" s="233"/>
    </row>
    <row r="6" spans="1:25" ht="18" thickBot="1" x14ac:dyDescent="0.35">
      <c r="A6" s="23"/>
      <c r="B6" s="24">
        <v>44684</v>
      </c>
      <c r="C6" s="25">
        <v>26350</v>
      </c>
      <c r="D6" s="35" t="s">
        <v>769</v>
      </c>
      <c r="E6" s="27">
        <v>44684</v>
      </c>
      <c r="F6" s="28">
        <v>99636</v>
      </c>
      <c r="G6" s="583"/>
      <c r="H6" s="29">
        <v>44684</v>
      </c>
      <c r="I6" s="30">
        <v>3791</v>
      </c>
      <c r="J6" s="37"/>
      <c r="K6" s="38"/>
      <c r="L6" s="39"/>
      <c r="M6" s="32">
        <v>39813</v>
      </c>
      <c r="N6" s="33">
        <v>29682</v>
      </c>
      <c r="O6" s="586"/>
      <c r="P6" s="39">
        <f>N6+M6+L6+I6+C6</f>
        <v>99636</v>
      </c>
      <c r="Q6" s="325">
        <f t="shared" ref="Q6:Q35" si="0">P6-F6</f>
        <v>0</v>
      </c>
      <c r="R6" s="319">
        <v>0</v>
      </c>
      <c r="S6" s="147"/>
      <c r="T6" s="128"/>
      <c r="U6" s="380"/>
      <c r="V6" s="128"/>
      <c r="W6" s="233"/>
      <c r="X6" s="239"/>
      <c r="Y6" s="13"/>
    </row>
    <row r="7" spans="1:25" ht="18" thickBot="1" x14ac:dyDescent="0.35">
      <c r="A7" s="23"/>
      <c r="B7" s="24">
        <v>44685</v>
      </c>
      <c r="C7" s="25">
        <v>17460</v>
      </c>
      <c r="D7" s="40" t="s">
        <v>770</v>
      </c>
      <c r="E7" s="27">
        <v>44685</v>
      </c>
      <c r="F7" s="28">
        <v>102561</v>
      </c>
      <c r="G7" s="583"/>
      <c r="H7" s="29">
        <v>44685</v>
      </c>
      <c r="I7" s="30">
        <v>4268</v>
      </c>
      <c r="J7" s="37">
        <v>44685</v>
      </c>
      <c r="K7" s="38" t="s">
        <v>771</v>
      </c>
      <c r="L7" s="39">
        <v>20000</v>
      </c>
      <c r="M7" s="32">
        <v>28729</v>
      </c>
      <c r="N7" s="33">
        <v>33550</v>
      </c>
      <c r="O7" s="588"/>
      <c r="P7" s="39">
        <f>N7+M7+L7+I7+C7</f>
        <v>104007</v>
      </c>
      <c r="Q7" s="325">
        <v>0</v>
      </c>
      <c r="R7" s="388">
        <v>1446</v>
      </c>
      <c r="S7" s="147"/>
      <c r="T7" s="128"/>
      <c r="U7" s="34"/>
      <c r="V7" s="128"/>
      <c r="W7" s="233"/>
      <c r="X7" s="239"/>
      <c r="Y7" s="13"/>
    </row>
    <row r="8" spans="1:25" ht="18" thickBot="1" x14ac:dyDescent="0.35">
      <c r="A8" s="23"/>
      <c r="B8" s="24">
        <v>44686</v>
      </c>
      <c r="C8" s="25">
        <v>2552</v>
      </c>
      <c r="D8" s="42" t="s">
        <v>772</v>
      </c>
      <c r="E8" s="27">
        <v>44686</v>
      </c>
      <c r="F8" s="28">
        <v>99057</v>
      </c>
      <c r="G8" s="583"/>
      <c r="H8" s="29">
        <v>44686</v>
      </c>
      <c r="I8" s="30">
        <v>2665</v>
      </c>
      <c r="J8" s="43"/>
      <c r="K8" s="38"/>
      <c r="L8" s="39"/>
      <c r="M8" s="32">
        <v>54686</v>
      </c>
      <c r="N8" s="33">
        <v>39154</v>
      </c>
      <c r="O8" s="586"/>
      <c r="P8" s="39">
        <f t="shared" ref="P8:P40" si="1">N8+M8+L8+I8+C8</f>
        <v>99057</v>
      </c>
      <c r="Q8" s="325">
        <f t="shared" si="0"/>
        <v>0</v>
      </c>
      <c r="R8" s="319">
        <v>0</v>
      </c>
      <c r="S8" s="147"/>
      <c r="T8" s="128"/>
      <c r="U8" s="34"/>
      <c r="V8" s="128"/>
      <c r="W8" s="233"/>
      <c r="X8" s="239"/>
      <c r="Y8" s="13"/>
    </row>
    <row r="9" spans="1:25" ht="18" thickBot="1" x14ac:dyDescent="0.35">
      <c r="A9" s="23"/>
      <c r="B9" s="24">
        <v>44687</v>
      </c>
      <c r="C9" s="25">
        <v>11321</v>
      </c>
      <c r="D9" s="42" t="s">
        <v>773</v>
      </c>
      <c r="E9" s="27">
        <v>44687</v>
      </c>
      <c r="F9" s="28">
        <v>121841</v>
      </c>
      <c r="G9" s="583"/>
      <c r="H9" s="29">
        <v>44687</v>
      </c>
      <c r="I9" s="30">
        <v>849</v>
      </c>
      <c r="J9" s="37"/>
      <c r="K9" s="223"/>
      <c r="L9" s="39"/>
      <c r="M9" s="32">
        <v>73218</v>
      </c>
      <c r="N9" s="33">
        <v>36453</v>
      </c>
      <c r="O9" s="586"/>
      <c r="P9" s="39">
        <f t="shared" si="1"/>
        <v>121841</v>
      </c>
      <c r="Q9" s="325">
        <f t="shared" si="0"/>
        <v>0</v>
      </c>
      <c r="R9" s="319">
        <v>3</v>
      </c>
      <c r="S9" s="147"/>
      <c r="T9" s="128"/>
      <c r="U9" s="34"/>
      <c r="V9" s="128"/>
      <c r="W9" s="233"/>
      <c r="X9" s="239"/>
      <c r="Y9" s="13"/>
    </row>
    <row r="10" spans="1:25" ht="18" thickBot="1" x14ac:dyDescent="0.35">
      <c r="A10" s="23"/>
      <c r="B10" s="24">
        <v>44688</v>
      </c>
      <c r="C10" s="25">
        <v>15951.5</v>
      </c>
      <c r="D10" s="40" t="s">
        <v>774</v>
      </c>
      <c r="E10" s="27">
        <v>44688</v>
      </c>
      <c r="F10" s="28">
        <v>128367</v>
      </c>
      <c r="G10" s="583"/>
      <c r="H10" s="29">
        <v>44688</v>
      </c>
      <c r="I10" s="30">
        <v>10782.5</v>
      </c>
      <c r="J10" s="37">
        <v>44688</v>
      </c>
      <c r="K10" s="167" t="s">
        <v>775</v>
      </c>
      <c r="L10" s="45">
        <v>18091</v>
      </c>
      <c r="M10" s="32">
        <v>33541</v>
      </c>
      <c r="N10" s="33">
        <v>50001</v>
      </c>
      <c r="O10" s="586"/>
      <c r="P10" s="39">
        <f>N10+M10+L10+I10+C10</f>
        <v>128367</v>
      </c>
      <c r="Q10" s="325">
        <f t="shared" si="0"/>
        <v>0</v>
      </c>
      <c r="R10" s="319">
        <v>0</v>
      </c>
      <c r="S10" s="147"/>
      <c r="T10" s="128"/>
      <c r="U10" s="34"/>
      <c r="V10" s="128"/>
      <c r="W10" s="233"/>
      <c r="X10" s="239"/>
      <c r="Y10" s="13"/>
    </row>
    <row r="11" spans="1:25" ht="18" thickBot="1" x14ac:dyDescent="0.35">
      <c r="A11" s="23"/>
      <c r="B11" s="24">
        <v>44689</v>
      </c>
      <c r="C11" s="25">
        <v>25024</v>
      </c>
      <c r="D11" s="35" t="s">
        <v>777</v>
      </c>
      <c r="E11" s="27">
        <v>44689</v>
      </c>
      <c r="F11" s="28">
        <v>71145</v>
      </c>
      <c r="G11" s="583"/>
      <c r="H11" s="29">
        <v>44689</v>
      </c>
      <c r="I11" s="30">
        <v>1586</v>
      </c>
      <c r="J11" s="43"/>
      <c r="K11" s="168"/>
      <c r="L11" s="39"/>
      <c r="M11" s="32">
        <v>21054</v>
      </c>
      <c r="N11" s="33">
        <v>23481</v>
      </c>
      <c r="O11" s="586"/>
      <c r="P11" s="39">
        <f t="shared" si="1"/>
        <v>71145</v>
      </c>
      <c r="Q11" s="325">
        <f t="shared" si="0"/>
        <v>0</v>
      </c>
      <c r="R11" s="319">
        <v>0</v>
      </c>
      <c r="S11" s="147"/>
      <c r="T11" s="128"/>
      <c r="U11" s="34"/>
      <c r="V11" s="128"/>
      <c r="W11" s="233"/>
      <c r="X11" s="239"/>
      <c r="Y11" s="13"/>
    </row>
    <row r="12" spans="1:25" ht="18" thickBot="1" x14ac:dyDescent="0.35">
      <c r="A12" s="23"/>
      <c r="B12" s="24">
        <v>44690</v>
      </c>
      <c r="C12" s="25">
        <v>26526.5</v>
      </c>
      <c r="D12" s="35" t="s">
        <v>778</v>
      </c>
      <c r="E12" s="27">
        <v>44690</v>
      </c>
      <c r="F12" s="28">
        <v>141644</v>
      </c>
      <c r="G12" s="583"/>
      <c r="H12" s="29">
        <v>44690</v>
      </c>
      <c r="I12" s="30">
        <v>3357</v>
      </c>
      <c r="J12" s="37"/>
      <c r="K12" s="169"/>
      <c r="L12" s="39"/>
      <c r="M12" s="32">
        <v>67500</v>
      </c>
      <c r="N12" s="33">
        <v>44262</v>
      </c>
      <c r="O12" s="585" t="s">
        <v>779</v>
      </c>
      <c r="P12" s="39">
        <f t="shared" si="1"/>
        <v>141645.5</v>
      </c>
      <c r="Q12" s="325">
        <f t="shared" si="0"/>
        <v>1.5</v>
      </c>
      <c r="R12" s="319">
        <v>0</v>
      </c>
      <c r="S12" s="147"/>
      <c r="T12" s="128"/>
      <c r="U12" s="34"/>
      <c r="V12" s="128"/>
      <c r="W12" s="233"/>
      <c r="X12" s="239"/>
      <c r="Y12" s="13"/>
    </row>
    <row r="13" spans="1:25" ht="18" thickBot="1" x14ac:dyDescent="0.35">
      <c r="A13" s="23"/>
      <c r="B13" s="24">
        <v>44691</v>
      </c>
      <c r="C13" s="25">
        <v>3165</v>
      </c>
      <c r="D13" s="42" t="s">
        <v>780</v>
      </c>
      <c r="E13" s="27">
        <v>44691</v>
      </c>
      <c r="F13" s="28">
        <v>120719</v>
      </c>
      <c r="G13" s="583"/>
      <c r="H13" s="29">
        <v>44691</v>
      </c>
      <c r="I13" s="30">
        <v>1654</v>
      </c>
      <c r="J13" s="37"/>
      <c r="K13" s="38"/>
      <c r="L13" s="39"/>
      <c r="M13" s="32">
        <v>74689</v>
      </c>
      <c r="N13" s="33">
        <v>41211</v>
      </c>
      <c r="O13" s="585" t="s">
        <v>779</v>
      </c>
      <c r="P13" s="39">
        <f t="shared" si="1"/>
        <v>120719</v>
      </c>
      <c r="Q13" s="325">
        <f t="shared" si="0"/>
        <v>0</v>
      </c>
      <c r="R13" s="319">
        <v>0</v>
      </c>
      <c r="S13" s="381"/>
      <c r="T13" s="128"/>
      <c r="U13" s="34"/>
      <c r="V13" s="128"/>
      <c r="W13" s="233"/>
      <c r="X13" s="239"/>
      <c r="Y13" s="13"/>
    </row>
    <row r="14" spans="1:25" ht="18" thickBot="1" x14ac:dyDescent="0.35">
      <c r="A14" s="23"/>
      <c r="B14" s="24">
        <v>44692</v>
      </c>
      <c r="C14" s="25">
        <v>36768</v>
      </c>
      <c r="D14" s="40" t="s">
        <v>781</v>
      </c>
      <c r="E14" s="27">
        <v>44692</v>
      </c>
      <c r="F14" s="28">
        <v>82833</v>
      </c>
      <c r="G14" s="583"/>
      <c r="H14" s="29">
        <v>44692</v>
      </c>
      <c r="I14" s="30">
        <v>1363</v>
      </c>
      <c r="J14" s="37"/>
      <c r="K14" s="38"/>
      <c r="L14" s="39"/>
      <c r="M14" s="32">
        <v>64829</v>
      </c>
      <c r="N14" s="33">
        <v>25847</v>
      </c>
      <c r="O14" s="585" t="s">
        <v>779</v>
      </c>
      <c r="P14" s="39">
        <f t="shared" si="1"/>
        <v>128807</v>
      </c>
      <c r="Q14" s="325">
        <v>0</v>
      </c>
      <c r="R14" s="388">
        <v>45974</v>
      </c>
      <c r="S14" s="147"/>
      <c r="U14" s="34"/>
      <c r="V14" s="128"/>
      <c r="W14" s="233"/>
      <c r="X14" s="239"/>
      <c r="Y14" s="13"/>
    </row>
    <row r="15" spans="1:25" ht="18" thickBot="1" x14ac:dyDescent="0.35">
      <c r="A15" s="23"/>
      <c r="B15" s="24">
        <v>44693</v>
      </c>
      <c r="C15" s="25">
        <v>18647</v>
      </c>
      <c r="D15" s="40" t="s">
        <v>782</v>
      </c>
      <c r="E15" s="27">
        <v>44693</v>
      </c>
      <c r="F15" s="28">
        <v>90488</v>
      </c>
      <c r="G15" s="583"/>
      <c r="H15" s="29">
        <v>44693</v>
      </c>
      <c r="I15" s="30">
        <v>327</v>
      </c>
      <c r="J15" s="37"/>
      <c r="K15" s="38"/>
      <c r="L15" s="39"/>
      <c r="M15" s="32">
        <v>40075</v>
      </c>
      <c r="N15" s="33">
        <v>31439</v>
      </c>
      <c r="O15" s="585" t="s">
        <v>779</v>
      </c>
      <c r="P15" s="39">
        <f t="shared" si="1"/>
        <v>90488</v>
      </c>
      <c r="Q15" s="325">
        <f t="shared" si="0"/>
        <v>0</v>
      </c>
      <c r="R15" s="319">
        <v>0</v>
      </c>
      <c r="S15" s="147"/>
      <c r="U15" s="34"/>
      <c r="V15" s="128"/>
      <c r="W15" s="233"/>
      <c r="X15" s="239"/>
      <c r="Y15" s="13"/>
    </row>
    <row r="16" spans="1:25" ht="19.5" thickBot="1" x14ac:dyDescent="0.35">
      <c r="A16" s="23"/>
      <c r="B16" s="24">
        <v>44694</v>
      </c>
      <c r="C16" s="25">
        <v>5443</v>
      </c>
      <c r="D16" s="35" t="s">
        <v>783</v>
      </c>
      <c r="E16" s="27">
        <v>44694</v>
      </c>
      <c r="F16" s="28">
        <v>94487</v>
      </c>
      <c r="G16" s="583"/>
      <c r="H16" s="29">
        <v>44694</v>
      </c>
      <c r="I16" s="30">
        <v>5161</v>
      </c>
      <c r="J16" s="37"/>
      <c r="K16" s="169"/>
      <c r="L16" s="9"/>
      <c r="M16" s="32">
        <v>56051</v>
      </c>
      <c r="N16" s="33">
        <v>27832</v>
      </c>
      <c r="O16" s="585" t="s">
        <v>779</v>
      </c>
      <c r="P16" s="39">
        <f t="shared" si="1"/>
        <v>94487</v>
      </c>
      <c r="Q16" s="325">
        <f t="shared" si="0"/>
        <v>0</v>
      </c>
      <c r="R16" s="319">
        <v>0</v>
      </c>
      <c r="S16" s="331"/>
      <c r="U16" s="34"/>
      <c r="V16" s="128"/>
      <c r="W16" s="233"/>
      <c r="X16" s="239"/>
      <c r="Y16" s="233"/>
    </row>
    <row r="17" spans="1:26" ht="18" thickBot="1" x14ac:dyDescent="0.35">
      <c r="A17" s="23"/>
      <c r="B17" s="24">
        <v>44695</v>
      </c>
      <c r="C17" s="25">
        <v>23050</v>
      </c>
      <c r="D17" s="42" t="s">
        <v>784</v>
      </c>
      <c r="E17" s="27">
        <v>44695</v>
      </c>
      <c r="F17" s="28">
        <v>127660</v>
      </c>
      <c r="G17" s="583"/>
      <c r="H17" s="29">
        <v>44695</v>
      </c>
      <c r="I17" s="30">
        <v>3373</v>
      </c>
      <c r="J17" s="37">
        <v>44695</v>
      </c>
      <c r="K17" s="38" t="s">
        <v>785</v>
      </c>
      <c r="L17" s="45">
        <v>15841</v>
      </c>
      <c r="M17" s="32">
        <v>43450</v>
      </c>
      <c r="N17" s="33">
        <v>41947</v>
      </c>
      <c r="O17" s="585" t="s">
        <v>779</v>
      </c>
      <c r="P17" s="39">
        <f t="shared" si="1"/>
        <v>127661</v>
      </c>
      <c r="Q17" s="325">
        <f t="shared" si="0"/>
        <v>1</v>
      </c>
      <c r="R17" s="319">
        <v>0</v>
      </c>
      <c r="S17" s="147"/>
      <c r="U17" s="34"/>
      <c r="V17" s="128"/>
      <c r="W17" s="233"/>
      <c r="X17" s="239"/>
      <c r="Y17" s="233"/>
    </row>
    <row r="18" spans="1:26" ht="18" thickBot="1" x14ac:dyDescent="0.35">
      <c r="A18" s="23"/>
      <c r="B18" s="24">
        <v>44696</v>
      </c>
      <c r="C18" s="25">
        <v>5884</v>
      </c>
      <c r="D18" s="35" t="s">
        <v>786</v>
      </c>
      <c r="E18" s="27">
        <v>44696</v>
      </c>
      <c r="F18" s="28">
        <v>88214</v>
      </c>
      <c r="G18" s="583"/>
      <c r="H18" s="29">
        <v>44696</v>
      </c>
      <c r="I18" s="30">
        <v>1226</v>
      </c>
      <c r="J18" s="37"/>
      <c r="K18" s="574"/>
      <c r="L18" s="39"/>
      <c r="M18" s="32">
        <v>52335</v>
      </c>
      <c r="N18" s="33">
        <v>28769</v>
      </c>
      <c r="O18" s="585" t="s">
        <v>779</v>
      </c>
      <c r="P18" s="39">
        <f t="shared" si="1"/>
        <v>88214</v>
      </c>
      <c r="Q18" s="325">
        <f t="shared" si="0"/>
        <v>0</v>
      </c>
      <c r="R18" s="319">
        <v>0</v>
      </c>
      <c r="S18" s="147"/>
      <c r="U18" s="34"/>
      <c r="V18" s="128"/>
      <c r="W18" s="233"/>
      <c r="X18" s="547"/>
      <c r="Y18" s="233"/>
    </row>
    <row r="19" spans="1:26" ht="18" thickBot="1" x14ac:dyDescent="0.35">
      <c r="A19" s="23"/>
      <c r="B19" s="24">
        <v>44697</v>
      </c>
      <c r="C19" s="25">
        <v>38814</v>
      </c>
      <c r="D19" s="35" t="s">
        <v>787</v>
      </c>
      <c r="E19" s="27">
        <v>44697</v>
      </c>
      <c r="F19" s="28">
        <v>120632</v>
      </c>
      <c r="G19" s="583"/>
      <c r="H19" s="29">
        <v>44697</v>
      </c>
      <c r="I19" s="30">
        <v>313</v>
      </c>
      <c r="J19" s="37"/>
      <c r="K19" s="46"/>
      <c r="L19" s="47"/>
      <c r="M19" s="32">
        <v>69191</v>
      </c>
      <c r="N19" s="33">
        <v>37777</v>
      </c>
      <c r="O19" s="585" t="s">
        <v>779</v>
      </c>
      <c r="P19" s="39">
        <f t="shared" si="1"/>
        <v>146095</v>
      </c>
      <c r="Q19" s="325">
        <v>0</v>
      </c>
      <c r="R19" s="388">
        <v>25463</v>
      </c>
      <c r="S19" s="147"/>
      <c r="U19" s="34"/>
      <c r="V19" s="128"/>
      <c r="W19" s="724"/>
      <c r="X19" s="547"/>
      <c r="Y19" s="233"/>
    </row>
    <row r="20" spans="1:26" ht="18" thickBot="1" x14ac:dyDescent="0.35">
      <c r="A20" s="23"/>
      <c r="B20" s="24">
        <v>44698</v>
      </c>
      <c r="C20" s="25">
        <v>8125</v>
      </c>
      <c r="D20" s="35" t="s">
        <v>788</v>
      </c>
      <c r="E20" s="27">
        <v>44698</v>
      </c>
      <c r="F20" s="28">
        <v>93589</v>
      </c>
      <c r="G20" s="583"/>
      <c r="H20" s="29">
        <v>44698</v>
      </c>
      <c r="I20" s="30">
        <v>1588</v>
      </c>
      <c r="J20" s="37"/>
      <c r="K20" s="171"/>
      <c r="L20" s="45"/>
      <c r="M20" s="32">
        <v>50155</v>
      </c>
      <c r="N20" s="33">
        <v>33721</v>
      </c>
      <c r="O20" s="585" t="s">
        <v>779</v>
      </c>
      <c r="P20" s="39">
        <f t="shared" si="1"/>
        <v>93589</v>
      </c>
      <c r="Q20" s="325">
        <f t="shared" si="0"/>
        <v>0</v>
      </c>
      <c r="R20" s="319">
        <v>0</v>
      </c>
      <c r="S20" s="147"/>
      <c r="U20" s="34"/>
      <c r="V20" s="128"/>
      <c r="W20" s="724"/>
      <c r="X20" s="34"/>
      <c r="Y20" s="233"/>
    </row>
    <row r="21" spans="1:26" ht="18" thickBot="1" x14ac:dyDescent="0.35">
      <c r="A21" s="23"/>
      <c r="B21" s="24">
        <v>44699</v>
      </c>
      <c r="C21" s="25">
        <v>17343</v>
      </c>
      <c r="D21" s="35" t="s">
        <v>789</v>
      </c>
      <c r="E21" s="27">
        <v>44699</v>
      </c>
      <c r="F21" s="28">
        <v>117936</v>
      </c>
      <c r="G21" s="583"/>
      <c r="H21" s="29">
        <v>44699</v>
      </c>
      <c r="I21" s="30">
        <v>2157</v>
      </c>
      <c r="J21" s="37"/>
      <c r="K21" s="575"/>
      <c r="L21" s="45"/>
      <c r="M21" s="32">
        <f>55227+8192</f>
        <v>63419</v>
      </c>
      <c r="N21" s="33">
        <v>35017</v>
      </c>
      <c r="O21" s="585" t="s">
        <v>779</v>
      </c>
      <c r="P21" s="39">
        <f t="shared" si="1"/>
        <v>117936</v>
      </c>
      <c r="Q21" s="325">
        <f t="shared" si="0"/>
        <v>0</v>
      </c>
      <c r="R21" s="319">
        <v>0</v>
      </c>
      <c r="S21" s="147"/>
      <c r="U21" s="34"/>
      <c r="V21" s="128"/>
      <c r="W21" s="656"/>
      <c r="X21" s="656"/>
      <c r="Y21" s="233"/>
      <c r="Z21" s="128"/>
    </row>
    <row r="22" spans="1:26" ht="18" thickBot="1" x14ac:dyDescent="0.35">
      <c r="A22" s="23"/>
      <c r="B22" s="24">
        <v>44700</v>
      </c>
      <c r="C22" s="25"/>
      <c r="D22" s="35"/>
      <c r="E22" s="27">
        <v>44700</v>
      </c>
      <c r="F22" s="28"/>
      <c r="G22" s="583"/>
      <c r="H22" s="29">
        <v>44700</v>
      </c>
      <c r="I22" s="30"/>
      <c r="J22" s="37"/>
      <c r="K22" s="31"/>
      <c r="L22" s="49"/>
      <c r="M22" s="32">
        <v>0</v>
      </c>
      <c r="N22" s="33">
        <v>0</v>
      </c>
      <c r="O22" s="588"/>
      <c r="P22" s="39">
        <f t="shared" si="1"/>
        <v>0</v>
      </c>
      <c r="Q22" s="325">
        <f t="shared" si="0"/>
        <v>0</v>
      </c>
      <c r="R22" s="319">
        <v>0</v>
      </c>
      <c r="S22" s="147"/>
      <c r="U22" s="34"/>
      <c r="V22" s="128"/>
      <c r="W22" s="34"/>
      <c r="X22" s="34"/>
      <c r="Y22" s="233"/>
      <c r="Z22" s="128"/>
    </row>
    <row r="23" spans="1:26" ht="18" thickBot="1" x14ac:dyDescent="0.35">
      <c r="A23" s="23"/>
      <c r="B23" s="24">
        <v>44701</v>
      </c>
      <c r="C23" s="25"/>
      <c r="D23" s="35"/>
      <c r="E23" s="27">
        <v>44701</v>
      </c>
      <c r="F23" s="28"/>
      <c r="G23" s="583"/>
      <c r="H23" s="29">
        <v>44701</v>
      </c>
      <c r="I23" s="30"/>
      <c r="J23" s="50"/>
      <c r="K23" s="172"/>
      <c r="L23" s="45"/>
      <c r="M23" s="32">
        <v>0</v>
      </c>
      <c r="N23" s="33">
        <v>0</v>
      </c>
      <c r="O23" s="588"/>
      <c r="P23" s="39">
        <f t="shared" si="1"/>
        <v>0</v>
      </c>
      <c r="Q23" s="325">
        <f t="shared" si="0"/>
        <v>0</v>
      </c>
      <c r="R23" s="319">
        <v>0</v>
      </c>
      <c r="S23" s="147"/>
      <c r="U23" s="34"/>
      <c r="V23" s="128"/>
      <c r="W23" s="657"/>
      <c r="X23" s="657"/>
      <c r="Y23" s="233"/>
      <c r="Z23" s="128"/>
    </row>
    <row r="24" spans="1:26" ht="18" thickBot="1" x14ac:dyDescent="0.35">
      <c r="A24" s="23"/>
      <c r="B24" s="24">
        <v>44702</v>
      </c>
      <c r="C24" s="25"/>
      <c r="D24" s="42"/>
      <c r="E24" s="27">
        <v>44702</v>
      </c>
      <c r="F24" s="28"/>
      <c r="G24" s="583"/>
      <c r="H24" s="29">
        <v>44702</v>
      </c>
      <c r="I24" s="30"/>
      <c r="J24" s="51"/>
      <c r="K24" s="173"/>
      <c r="L24" s="52"/>
      <c r="M24" s="32">
        <v>0</v>
      </c>
      <c r="N24" s="33">
        <v>0</v>
      </c>
      <c r="O24" s="588"/>
      <c r="P24" s="39">
        <f>N24+M24+L24+I24+C24</f>
        <v>0</v>
      </c>
      <c r="Q24" s="325">
        <f t="shared" si="0"/>
        <v>0</v>
      </c>
      <c r="R24" s="319">
        <v>0</v>
      </c>
      <c r="S24" s="147"/>
      <c r="U24" s="34"/>
      <c r="V24" s="128"/>
      <c r="W24" s="657"/>
      <c r="X24" s="657"/>
      <c r="Y24" s="233"/>
      <c r="Z24" s="128"/>
    </row>
    <row r="25" spans="1:26" ht="19.5" thickBot="1" x14ac:dyDescent="0.35">
      <c r="A25" s="23"/>
      <c r="B25" s="24">
        <v>44703</v>
      </c>
      <c r="C25" s="25"/>
      <c r="D25" s="35"/>
      <c r="E25" s="27">
        <v>44703</v>
      </c>
      <c r="F25" s="28"/>
      <c r="G25" s="583"/>
      <c r="H25" s="29">
        <v>44703</v>
      </c>
      <c r="I25" s="30"/>
      <c r="J25" s="50"/>
      <c r="K25" s="38"/>
      <c r="L25" s="54"/>
      <c r="M25" s="32">
        <v>0</v>
      </c>
      <c r="N25" s="33">
        <v>0</v>
      </c>
      <c r="O25" s="588"/>
      <c r="P25" s="283">
        <f t="shared" si="1"/>
        <v>0</v>
      </c>
      <c r="Q25" s="325">
        <f t="shared" si="0"/>
        <v>0</v>
      </c>
      <c r="R25" s="319">
        <v>0</v>
      </c>
      <c r="U25" s="34"/>
      <c r="V25" s="128"/>
      <c r="W25" s="658"/>
      <c r="X25" s="658"/>
      <c r="Y25" s="233"/>
      <c r="Z25" s="128"/>
    </row>
    <row r="26" spans="1:26" ht="19.5" thickBot="1" x14ac:dyDescent="0.35">
      <c r="A26" s="23"/>
      <c r="B26" s="24">
        <v>44704</v>
      </c>
      <c r="C26" s="25"/>
      <c r="D26" s="35"/>
      <c r="E26" s="27">
        <v>44704</v>
      </c>
      <c r="F26" s="28"/>
      <c r="G26" s="583"/>
      <c r="H26" s="29">
        <v>44704</v>
      </c>
      <c r="I26" s="30"/>
      <c r="J26" s="37"/>
      <c r="K26" s="173"/>
      <c r="L26" s="45"/>
      <c r="M26" s="32">
        <v>0</v>
      </c>
      <c r="N26" s="33">
        <v>0</v>
      </c>
      <c r="O26" s="588"/>
      <c r="P26" s="284">
        <f t="shared" si="1"/>
        <v>0</v>
      </c>
      <c r="Q26" s="325">
        <f t="shared" si="0"/>
        <v>0</v>
      </c>
      <c r="R26" s="548">
        <v>0</v>
      </c>
      <c r="S26" s="128"/>
      <c r="T26" s="128"/>
      <c r="U26" s="34"/>
      <c r="V26" s="128"/>
      <c r="W26" s="658"/>
      <c r="X26" s="658"/>
      <c r="Y26" s="233"/>
      <c r="Z26" s="128"/>
    </row>
    <row r="27" spans="1:26" ht="18" thickBot="1" x14ac:dyDescent="0.35">
      <c r="A27" s="23"/>
      <c r="B27" s="24">
        <v>44705</v>
      </c>
      <c r="C27" s="25"/>
      <c r="D27" s="42"/>
      <c r="E27" s="27">
        <v>44705</v>
      </c>
      <c r="F27" s="28"/>
      <c r="G27" s="583"/>
      <c r="H27" s="29">
        <v>44705</v>
      </c>
      <c r="I27" s="30"/>
      <c r="J27" s="55"/>
      <c r="K27" s="174"/>
      <c r="L27" s="54"/>
      <c r="M27" s="32">
        <v>0</v>
      </c>
      <c r="N27" s="33">
        <v>0</v>
      </c>
      <c r="O27" s="589"/>
      <c r="P27" s="39">
        <f t="shared" si="1"/>
        <v>0</v>
      </c>
      <c r="Q27" s="325">
        <f t="shared" si="0"/>
        <v>0</v>
      </c>
      <c r="R27" s="548">
        <v>0</v>
      </c>
      <c r="S27" s="128"/>
      <c r="T27" s="128"/>
      <c r="U27" s="34"/>
      <c r="V27" s="128"/>
      <c r="W27" s="651"/>
      <c r="X27" s="652"/>
      <c r="Y27" s="653"/>
      <c r="Z27" s="128"/>
    </row>
    <row r="28" spans="1:26" ht="18" thickBot="1" x14ac:dyDescent="0.35">
      <c r="A28" s="23"/>
      <c r="B28" s="24">
        <v>44706</v>
      </c>
      <c r="C28" s="25"/>
      <c r="D28" s="42"/>
      <c r="E28" s="27">
        <v>44706</v>
      </c>
      <c r="F28" s="28"/>
      <c r="G28" s="583"/>
      <c r="H28" s="29">
        <v>44706</v>
      </c>
      <c r="I28" s="30"/>
      <c r="J28" s="56"/>
      <c r="K28" s="57"/>
      <c r="L28" s="54"/>
      <c r="M28" s="32">
        <v>0</v>
      </c>
      <c r="N28" s="33">
        <v>0</v>
      </c>
      <c r="O28" s="589"/>
      <c r="P28" s="34">
        <f t="shared" si="1"/>
        <v>0</v>
      </c>
      <c r="Q28" s="325">
        <f t="shared" si="0"/>
        <v>0</v>
      </c>
      <c r="R28" s="548">
        <v>0</v>
      </c>
      <c r="S28" s="128"/>
      <c r="T28" s="128"/>
      <c r="U28" s="34"/>
      <c r="V28" s="128"/>
      <c r="W28" s="652"/>
      <c r="X28" s="652"/>
      <c r="Y28" s="653"/>
      <c r="Z28" s="128"/>
    </row>
    <row r="29" spans="1:26" ht="18" thickBot="1" x14ac:dyDescent="0.35">
      <c r="A29" s="23"/>
      <c r="B29" s="24">
        <v>44707</v>
      </c>
      <c r="C29" s="25"/>
      <c r="D29" s="58"/>
      <c r="E29" s="27">
        <v>44707</v>
      </c>
      <c r="F29" s="28"/>
      <c r="G29" s="583"/>
      <c r="H29" s="29">
        <v>44707</v>
      </c>
      <c r="I29" s="30"/>
      <c r="J29" s="59"/>
      <c r="K29" s="175"/>
      <c r="L29" s="54"/>
      <c r="M29" s="32">
        <v>0</v>
      </c>
      <c r="N29" s="33">
        <v>0</v>
      </c>
      <c r="O29" s="589"/>
      <c r="P29" s="34">
        <f t="shared" si="1"/>
        <v>0</v>
      </c>
      <c r="Q29" s="325">
        <f t="shared" si="0"/>
        <v>0</v>
      </c>
      <c r="R29" s="548">
        <v>0</v>
      </c>
      <c r="S29" s="128"/>
      <c r="T29" s="34"/>
      <c r="U29" s="34"/>
      <c r="V29" s="128"/>
      <c r="W29" s="128"/>
      <c r="X29" s="310"/>
      <c r="Y29" s="311"/>
      <c r="Z29" s="128"/>
    </row>
    <row r="30" spans="1:26" ht="18" thickBot="1" x14ac:dyDescent="0.35">
      <c r="A30" s="23"/>
      <c r="B30" s="24">
        <v>44708</v>
      </c>
      <c r="C30" s="25"/>
      <c r="D30" s="58"/>
      <c r="E30" s="27">
        <v>44708</v>
      </c>
      <c r="F30" s="28"/>
      <c r="G30" s="583"/>
      <c r="H30" s="29">
        <v>44708</v>
      </c>
      <c r="I30" s="30"/>
      <c r="J30" s="56"/>
      <c r="K30" s="38"/>
      <c r="L30" s="39"/>
      <c r="M30" s="32">
        <v>0</v>
      </c>
      <c r="N30" s="33">
        <v>0</v>
      </c>
      <c r="O30" s="589"/>
      <c r="P30" s="34">
        <f t="shared" si="1"/>
        <v>0</v>
      </c>
      <c r="Q30" s="325">
        <f t="shared" si="0"/>
        <v>0</v>
      </c>
      <c r="R30" s="548">
        <v>0</v>
      </c>
      <c r="S30" s="128"/>
      <c r="T30" s="34"/>
      <c r="U30" s="34"/>
      <c r="V30" s="128"/>
      <c r="W30" s="128"/>
      <c r="X30" s="310"/>
      <c r="Y30" s="227"/>
    </row>
    <row r="31" spans="1:26" ht="18" thickBot="1" x14ac:dyDescent="0.35">
      <c r="A31" s="23"/>
      <c r="B31" s="24">
        <v>44709</v>
      </c>
      <c r="C31" s="25"/>
      <c r="D31" s="67"/>
      <c r="E31" s="27">
        <v>44709</v>
      </c>
      <c r="F31" s="28"/>
      <c r="G31" s="583"/>
      <c r="H31" s="29">
        <v>44709</v>
      </c>
      <c r="I31" s="30"/>
      <c r="J31" s="56"/>
      <c r="K31" s="576"/>
      <c r="L31" s="54"/>
      <c r="M31" s="32">
        <v>0</v>
      </c>
      <c r="N31" s="33">
        <v>0</v>
      </c>
      <c r="O31" s="589"/>
      <c r="P31" s="34">
        <f t="shared" si="1"/>
        <v>0</v>
      </c>
      <c r="Q31" s="325">
        <f t="shared" si="0"/>
        <v>0</v>
      </c>
      <c r="R31" s="548">
        <v>0</v>
      </c>
      <c r="S31" s="128"/>
      <c r="T31" s="34"/>
      <c r="U31" s="34"/>
      <c r="V31" s="128"/>
      <c r="W31" s="128"/>
      <c r="X31" s="128"/>
    </row>
    <row r="32" spans="1:26" ht="18" thickBot="1" x14ac:dyDescent="0.35">
      <c r="A32" s="23"/>
      <c r="B32" s="24">
        <v>44710</v>
      </c>
      <c r="C32" s="25"/>
      <c r="D32" s="64"/>
      <c r="E32" s="27">
        <v>44710</v>
      </c>
      <c r="F32" s="28"/>
      <c r="G32" s="583"/>
      <c r="H32" s="29">
        <v>44710</v>
      </c>
      <c r="I32" s="30"/>
      <c r="J32" s="56"/>
      <c r="K32" s="38"/>
      <c r="L32" s="39"/>
      <c r="M32" s="32">
        <v>0</v>
      </c>
      <c r="N32" s="33">
        <v>0</v>
      </c>
      <c r="O32" s="586"/>
      <c r="P32" s="34">
        <f t="shared" si="1"/>
        <v>0</v>
      </c>
      <c r="Q32" s="325">
        <f t="shared" si="0"/>
        <v>0</v>
      </c>
      <c r="R32" s="548">
        <v>0</v>
      </c>
      <c r="S32" s="128"/>
      <c r="T32" s="34"/>
      <c r="U32" s="34"/>
      <c r="V32" s="128"/>
      <c r="W32" s="128"/>
      <c r="X32" s="128"/>
    </row>
    <row r="33" spans="1:24" ht="18" thickBot="1" x14ac:dyDescent="0.35">
      <c r="A33" s="23"/>
      <c r="B33" s="24"/>
      <c r="C33" s="25"/>
      <c r="D33" s="65"/>
      <c r="E33" s="27"/>
      <c r="F33" s="28"/>
      <c r="G33" s="583"/>
      <c r="H33" s="36"/>
      <c r="I33" s="30"/>
      <c r="J33" s="56"/>
      <c r="K33" s="223"/>
      <c r="L33" s="69"/>
      <c r="M33" s="32">
        <v>0</v>
      </c>
      <c r="N33" s="33">
        <v>0</v>
      </c>
      <c r="O33" s="586"/>
      <c r="P33" s="34">
        <f t="shared" si="1"/>
        <v>0</v>
      </c>
      <c r="Q33" s="325">
        <f t="shared" si="0"/>
        <v>0</v>
      </c>
      <c r="R33" s="548">
        <v>0</v>
      </c>
      <c r="S33" s="128"/>
      <c r="T33" s="549"/>
      <c r="U33" s="34"/>
      <c r="V33" s="128"/>
      <c r="W33" s="128"/>
      <c r="X33" s="128"/>
    </row>
    <row r="34" spans="1:24" ht="18" thickBot="1" x14ac:dyDescent="0.35">
      <c r="A34" s="23"/>
      <c r="B34" s="24"/>
      <c r="C34" s="25"/>
      <c r="D34" s="64"/>
      <c r="E34" s="27"/>
      <c r="F34" s="542"/>
      <c r="G34" s="583"/>
      <c r="H34" s="36"/>
      <c r="I34" s="30"/>
      <c r="J34" s="567"/>
      <c r="K34" s="577"/>
      <c r="L34" s="9"/>
      <c r="M34" s="32">
        <v>0</v>
      </c>
      <c r="N34" s="33">
        <v>0</v>
      </c>
      <c r="O34" s="586"/>
      <c r="P34" s="34">
        <f t="shared" si="1"/>
        <v>0</v>
      </c>
      <c r="Q34" s="325">
        <f t="shared" si="0"/>
        <v>0</v>
      </c>
      <c r="R34" s="548">
        <v>0</v>
      </c>
      <c r="S34" s="128"/>
      <c r="T34" s="128"/>
      <c r="U34" s="34"/>
      <c r="V34" s="128"/>
      <c r="W34" s="128"/>
      <c r="X34" s="128"/>
    </row>
    <row r="35" spans="1:24" ht="18" thickBot="1" x14ac:dyDescent="0.35">
      <c r="A35" s="23"/>
      <c r="B35" s="24"/>
      <c r="C35" s="25"/>
      <c r="D35" s="65"/>
      <c r="E35" s="27"/>
      <c r="F35" s="542"/>
      <c r="G35" s="583"/>
      <c r="H35" s="36"/>
      <c r="I35" s="543"/>
      <c r="J35" s="567"/>
      <c r="K35" s="578"/>
      <c r="L35" s="69"/>
      <c r="M35" s="32">
        <v>0</v>
      </c>
      <c r="N35" s="33">
        <v>0</v>
      </c>
      <c r="P35" s="34">
        <f t="shared" si="1"/>
        <v>0</v>
      </c>
      <c r="Q35" s="325">
        <f t="shared" si="0"/>
        <v>0</v>
      </c>
      <c r="R35" s="548">
        <v>0</v>
      </c>
      <c r="S35" s="128"/>
      <c r="T35" s="128"/>
      <c r="U35" s="34"/>
      <c r="V35" s="128"/>
      <c r="W35" s="128"/>
      <c r="X35" s="128"/>
    </row>
    <row r="36" spans="1:24" ht="18" customHeight="1" thickBot="1" x14ac:dyDescent="0.4">
      <c r="A36" s="23"/>
      <c r="B36" s="24"/>
      <c r="C36" s="25"/>
      <c r="D36" s="67"/>
      <c r="E36" s="27"/>
      <c r="F36" s="542"/>
      <c r="G36" s="583"/>
      <c r="H36" s="36"/>
      <c r="I36" s="543"/>
      <c r="J36" s="567"/>
      <c r="K36" s="579"/>
      <c r="L36" s="9"/>
      <c r="M36" s="32">
        <v>0</v>
      </c>
      <c r="N36" s="33">
        <v>0</v>
      </c>
      <c r="O36" s="590"/>
      <c r="P36" s="34">
        <f t="shared" si="1"/>
        <v>0</v>
      </c>
      <c r="Q36" s="111">
        <f t="shared" ref="Q36:Q40" si="2">P36-F36</f>
        <v>0</v>
      </c>
      <c r="R36" s="319">
        <v>0</v>
      </c>
      <c r="S36" s="546"/>
      <c r="U36" s="34"/>
      <c r="V36" s="128"/>
      <c r="W36" s="128"/>
      <c r="X36" s="128"/>
    </row>
    <row r="37" spans="1:24" ht="18" customHeight="1" thickBot="1" x14ac:dyDescent="0.35">
      <c r="A37" s="23"/>
      <c r="B37" s="24"/>
      <c r="C37" s="25"/>
      <c r="D37" s="64"/>
      <c r="E37" s="27"/>
      <c r="F37" s="542"/>
      <c r="G37" s="583"/>
      <c r="H37" s="36"/>
      <c r="I37" s="543"/>
      <c r="J37" s="56">
        <v>44688</v>
      </c>
      <c r="K37" s="38" t="s">
        <v>776</v>
      </c>
      <c r="L37" s="39">
        <v>17396.62</v>
      </c>
      <c r="M37" s="32">
        <v>0</v>
      </c>
      <c r="N37" s="33">
        <v>0</v>
      </c>
      <c r="O37" s="590"/>
      <c r="P37" s="34">
        <f t="shared" si="1"/>
        <v>17396.62</v>
      </c>
      <c r="Q37" s="111">
        <f t="shared" si="2"/>
        <v>17396.62</v>
      </c>
      <c r="R37" s="319">
        <v>0</v>
      </c>
      <c r="U37" s="34"/>
      <c r="V37" s="128"/>
      <c r="W37" s="128"/>
      <c r="X37" s="128"/>
    </row>
    <row r="38" spans="1:24" ht="18" thickBot="1" x14ac:dyDescent="0.35">
      <c r="A38" s="23"/>
      <c r="B38" s="24"/>
      <c r="C38" s="25"/>
      <c r="D38" s="510"/>
      <c r="E38" s="27"/>
      <c r="F38" s="542"/>
      <c r="G38" s="583"/>
      <c r="H38" s="36"/>
      <c r="I38" s="543"/>
      <c r="J38" s="56">
        <v>44695</v>
      </c>
      <c r="K38" s="580" t="s">
        <v>785</v>
      </c>
      <c r="L38" s="39">
        <v>17397.240000000002</v>
      </c>
      <c r="M38" s="32">
        <v>0</v>
      </c>
      <c r="N38" s="33">
        <v>0</v>
      </c>
      <c r="P38" s="34">
        <f>N38+M38+L38+I38+C38</f>
        <v>17397.240000000002</v>
      </c>
      <c r="Q38" s="111">
        <f t="shared" si="2"/>
        <v>17397.240000000002</v>
      </c>
      <c r="R38" s="319">
        <v>0</v>
      </c>
      <c r="U38" s="34"/>
      <c r="V38" s="128"/>
      <c r="W38" s="128"/>
      <c r="X38" s="128"/>
    </row>
    <row r="39" spans="1:24" ht="18" thickBot="1" x14ac:dyDescent="0.35">
      <c r="A39" s="23"/>
      <c r="B39" s="24"/>
      <c r="C39" s="69"/>
      <c r="D39" s="510"/>
      <c r="E39" s="27"/>
      <c r="F39" s="544"/>
      <c r="G39" s="583"/>
      <c r="H39" s="36"/>
      <c r="I39" s="545"/>
      <c r="J39" s="56"/>
      <c r="K39" s="580"/>
      <c r="L39" s="39"/>
      <c r="M39" s="32">
        <v>0</v>
      </c>
      <c r="N39" s="33">
        <v>0</v>
      </c>
      <c r="P39" s="34">
        <f t="shared" si="1"/>
        <v>0</v>
      </c>
      <c r="Q39" s="111">
        <f t="shared" si="2"/>
        <v>0</v>
      </c>
      <c r="R39" s="319">
        <v>0</v>
      </c>
      <c r="U39" s="34"/>
      <c r="V39" s="128"/>
      <c r="W39" s="128"/>
      <c r="X39" s="128"/>
    </row>
    <row r="40" spans="1:24" ht="18" thickBot="1" x14ac:dyDescent="0.35">
      <c r="A40" s="23"/>
      <c r="B40" s="24"/>
      <c r="C40" s="69"/>
      <c r="D40" s="510"/>
      <c r="E40" s="27"/>
      <c r="F40" s="70"/>
      <c r="G40" s="583"/>
      <c r="H40" s="36"/>
      <c r="I40" s="71"/>
      <c r="J40" s="56"/>
      <c r="K40" s="38"/>
      <c r="L40" s="39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24" ht="18" thickBot="1" x14ac:dyDescent="0.35">
      <c r="A41" s="23"/>
      <c r="B41" s="24"/>
      <c r="C41" s="72"/>
      <c r="D41" s="511"/>
      <c r="E41" s="74"/>
      <c r="F41" s="75"/>
      <c r="G41" s="583"/>
      <c r="H41" s="76"/>
      <c r="I41" s="77"/>
      <c r="J41" s="56"/>
      <c r="K41" s="38"/>
      <c r="L41" s="39"/>
      <c r="M41" s="642">
        <f>SUM(M5:M40)</f>
        <v>895953.5</v>
      </c>
      <c r="N41" s="642">
        <f>SUM(N5:N40)</f>
        <v>590495</v>
      </c>
      <c r="P41" s="509">
        <f>SUM(P5:P40)</f>
        <v>1921166.36</v>
      </c>
      <c r="Q41" s="701">
        <f>SUM(Q5:Q40)</f>
        <v>34796.36</v>
      </c>
    </row>
    <row r="42" spans="1:24" ht="18" thickBot="1" x14ac:dyDescent="0.35">
      <c r="A42" s="23"/>
      <c r="B42" s="24"/>
      <c r="C42" s="72"/>
      <c r="D42" s="511"/>
      <c r="E42" s="74"/>
      <c r="F42" s="75"/>
      <c r="G42" s="583"/>
      <c r="H42" s="76"/>
      <c r="I42" s="77"/>
      <c r="J42" s="51"/>
      <c r="K42" s="173"/>
      <c r="L42" s="52"/>
      <c r="M42" s="643"/>
      <c r="N42" s="643"/>
      <c r="P42" s="34"/>
      <c r="Q42" s="702"/>
    </row>
    <row r="43" spans="1:24" ht="18" thickBot="1" x14ac:dyDescent="0.35">
      <c r="A43" s="23"/>
      <c r="B43" s="24"/>
      <c r="C43" s="72"/>
      <c r="D43" s="511"/>
      <c r="E43" s="74"/>
      <c r="F43" s="75"/>
      <c r="G43" s="583"/>
      <c r="H43" s="76"/>
      <c r="I43" s="77"/>
      <c r="J43" s="50"/>
      <c r="K43" s="38"/>
      <c r="L43" s="54"/>
      <c r="M43" s="269"/>
      <c r="N43" s="269"/>
      <c r="P43" s="34"/>
      <c r="Q43" s="13"/>
    </row>
    <row r="44" spans="1:24" ht="18" thickBot="1" x14ac:dyDescent="0.35">
      <c r="A44" s="23"/>
      <c r="B44" s="24"/>
      <c r="C44" s="72"/>
      <c r="D44" s="511"/>
      <c r="E44" s="74"/>
      <c r="F44" s="75"/>
      <c r="G44" s="583"/>
      <c r="H44" s="76"/>
      <c r="I44" s="77"/>
      <c r="J44" s="56"/>
      <c r="K44" s="581"/>
      <c r="L44" s="39"/>
      <c r="M44" s="269"/>
      <c r="N44" s="269"/>
      <c r="P44" s="34"/>
      <c r="Q44" s="13"/>
    </row>
    <row r="45" spans="1:24" ht="18" thickBot="1" x14ac:dyDescent="0.35">
      <c r="A45" s="23"/>
      <c r="B45" s="24"/>
      <c r="C45" s="72"/>
      <c r="D45" s="511"/>
      <c r="E45" s="74"/>
      <c r="F45" s="75"/>
      <c r="G45" s="583"/>
      <c r="H45" s="76"/>
      <c r="I45" s="77"/>
      <c r="J45" s="56"/>
      <c r="K45" s="38"/>
      <c r="L45" s="39"/>
      <c r="M45" s="703">
        <f>M41+N41</f>
        <v>1486448.5</v>
      </c>
      <c r="N45" s="704"/>
      <c r="P45" s="34"/>
      <c r="Q45" s="13"/>
    </row>
    <row r="46" spans="1:24" ht="18" thickBot="1" x14ac:dyDescent="0.35">
      <c r="A46" s="23"/>
      <c r="B46" s="24"/>
      <c r="C46" s="72"/>
      <c r="D46" s="511"/>
      <c r="E46" s="74"/>
      <c r="F46" s="75"/>
      <c r="G46" s="583"/>
      <c r="H46" s="76"/>
      <c r="I46" s="77"/>
      <c r="J46" s="56"/>
      <c r="K46" s="38"/>
      <c r="L46" s="39"/>
      <c r="M46" s="269"/>
      <c r="N46" s="269"/>
      <c r="P46" s="34"/>
      <c r="Q46" s="13"/>
    </row>
    <row r="47" spans="1:24" ht="18" thickBot="1" x14ac:dyDescent="0.35">
      <c r="A47" s="23"/>
      <c r="B47" s="24"/>
      <c r="C47" s="72"/>
      <c r="D47" s="511"/>
      <c r="E47" s="74"/>
      <c r="F47" s="75"/>
      <c r="G47" s="583"/>
      <c r="H47" s="76"/>
      <c r="I47" s="77"/>
      <c r="J47" s="56"/>
      <c r="K47" s="38"/>
      <c r="L47" s="39"/>
      <c r="M47" s="269"/>
      <c r="N47" s="269"/>
      <c r="P47" s="34"/>
      <c r="Q47" s="13"/>
    </row>
    <row r="48" spans="1:24" ht="18" thickBot="1" x14ac:dyDescent="0.35">
      <c r="A48" s="23"/>
      <c r="B48" s="24"/>
      <c r="C48" s="72"/>
      <c r="D48" s="73"/>
      <c r="E48" s="74"/>
      <c r="F48" s="75"/>
      <c r="G48" s="583"/>
      <c r="H48" s="76"/>
      <c r="I48" s="77"/>
      <c r="J48" s="56"/>
      <c r="K48" s="38"/>
      <c r="L48" s="39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568"/>
      <c r="K49" s="164"/>
      <c r="L49" s="9"/>
      <c r="M49" s="34"/>
      <c r="N49" s="34"/>
      <c r="P49" s="34"/>
      <c r="Q49" s="13"/>
    </row>
    <row r="50" spans="1:17" ht="16.5" thickBot="1" x14ac:dyDescent="0.3">
      <c r="B50" s="560" t="s">
        <v>8</v>
      </c>
      <c r="C50" s="87">
        <f>SUM(C5:C49)</f>
        <v>299673</v>
      </c>
      <c r="D50" s="88"/>
      <c r="E50" s="91" t="s">
        <v>8</v>
      </c>
      <c r="F50" s="90">
        <f>SUM(F5:F49)</f>
        <v>1813487</v>
      </c>
      <c r="G50" s="584"/>
      <c r="H50" s="91" t="s">
        <v>9</v>
      </c>
      <c r="I50" s="92">
        <f>SUM(I5:I49)</f>
        <v>46319</v>
      </c>
      <c r="J50" s="93"/>
      <c r="K50" s="94" t="s">
        <v>10</v>
      </c>
      <c r="L50" s="95">
        <f>SUM(L5:L49)</f>
        <v>88725.86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619" t="s">
        <v>11</v>
      </c>
      <c r="I52" s="620"/>
      <c r="J52" s="569"/>
      <c r="K52" s="726">
        <f>I50+L50</f>
        <v>135044.85999999999</v>
      </c>
      <c r="L52" s="727"/>
      <c r="M52" s="272"/>
      <c r="N52" s="272"/>
      <c r="P52" s="34"/>
      <c r="Q52" s="13"/>
    </row>
    <row r="53" spans="1:17" x14ac:dyDescent="0.25">
      <c r="D53" s="625" t="s">
        <v>12</v>
      </c>
      <c r="E53" s="625"/>
      <c r="F53" s="312">
        <f>F50-K52-C50</f>
        <v>1378769.1400000001</v>
      </c>
      <c r="I53" s="102"/>
      <c r="J53" s="570"/>
    </row>
    <row r="54" spans="1:17" ht="18.75" x14ac:dyDescent="0.3">
      <c r="D54" s="649" t="s">
        <v>95</v>
      </c>
      <c r="E54" s="649"/>
      <c r="F54" s="111">
        <v>0</v>
      </c>
      <c r="I54" s="626" t="s">
        <v>13</v>
      </c>
      <c r="J54" s="627"/>
      <c r="K54" s="628">
        <f>F56+F57+F58</f>
        <v>1378769.1400000001</v>
      </c>
      <c r="L54" s="628"/>
      <c r="M54" s="404"/>
      <c r="N54" s="404"/>
      <c r="O54" s="591"/>
      <c r="P54" s="404"/>
      <c r="Q54" s="404"/>
    </row>
    <row r="55" spans="1:17" ht="19.5" thickBot="1" x14ac:dyDescent="0.35">
      <c r="D55" s="313" t="s">
        <v>94</v>
      </c>
      <c r="E55" s="314"/>
      <c r="F55" s="315">
        <v>0</v>
      </c>
      <c r="I55" s="105"/>
      <c r="J55" s="106"/>
      <c r="K55" s="582"/>
      <c r="L55" s="154"/>
      <c r="M55" s="404"/>
      <c r="N55" s="404"/>
      <c r="O55" s="591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1378769.1400000001</v>
      </c>
      <c r="H56" s="565"/>
      <c r="I56" s="108" t="s">
        <v>15</v>
      </c>
      <c r="J56" s="109"/>
      <c r="K56" s="725">
        <f>-C4</f>
        <v>-2112071.92</v>
      </c>
      <c r="L56" s="628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/>
      <c r="D58" s="608" t="s">
        <v>18</v>
      </c>
      <c r="E58" s="609"/>
      <c r="F58" s="113">
        <v>0</v>
      </c>
      <c r="I58" s="610" t="s">
        <v>198</v>
      </c>
      <c r="J58" s="611"/>
      <c r="K58" s="612">
        <f>K54+K56</f>
        <v>-733302.7799999998</v>
      </c>
      <c r="L58" s="612"/>
    </row>
    <row r="59" spans="1:17" ht="17.25" x14ac:dyDescent="0.3">
      <c r="C59" s="114"/>
      <c r="D59" s="115"/>
      <c r="E59" s="98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564"/>
      <c r="F78" s="129"/>
    </row>
    <row r="79" spans="2:13" x14ac:dyDescent="0.25">
      <c r="D79" s="128"/>
      <c r="E79" s="564"/>
      <c r="F79" s="129"/>
    </row>
    <row r="80" spans="2:13" x14ac:dyDescent="0.25">
      <c r="D80" s="128"/>
      <c r="E80" s="564"/>
      <c r="F80" s="129"/>
    </row>
  </sheetData>
  <mergeCells count="30"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Y27:Y28"/>
    <mergeCell ref="M41:M42"/>
    <mergeCell ref="N41:N42"/>
    <mergeCell ref="Q41:Q42"/>
    <mergeCell ref="K56:L56"/>
    <mergeCell ref="M45:N45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8000000000000003" right="0.19" top="0.33" bottom="0.33" header="0.3" footer="0.3"/>
  <pageSetup orientation="landscape" horizontalDpi="0" verticalDpi="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25"/>
  <sheetViews>
    <sheetView tabSelected="1" topLeftCell="A7" workbookViewId="0">
      <selection activeCell="A33" sqref="A33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7.42578125" style="4" bestFit="1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2"/>
      <c r="M1" s="303"/>
      <c r="N1" s="377" t="s">
        <v>314</v>
      </c>
    </row>
    <row r="2" spans="1:14" ht="21.75" customHeight="1" thickTop="1" thickBot="1" x14ac:dyDescent="0.35">
      <c r="A2" s="551" t="s">
        <v>19</v>
      </c>
      <c r="B2" s="552" t="s">
        <v>20</v>
      </c>
      <c r="C2" s="553" t="s">
        <v>21</v>
      </c>
      <c r="D2" s="554" t="s">
        <v>22</v>
      </c>
      <c r="E2" s="555" t="s">
        <v>23</v>
      </c>
      <c r="F2" s="289" t="s">
        <v>210</v>
      </c>
      <c r="I2" s="556" t="s">
        <v>19</v>
      </c>
      <c r="J2" s="557" t="s">
        <v>265</v>
      </c>
      <c r="K2" s="553" t="s">
        <v>21</v>
      </c>
      <c r="L2" s="558" t="s">
        <v>22</v>
      </c>
      <c r="M2" s="553" t="s">
        <v>23</v>
      </c>
      <c r="N2" s="309" t="s">
        <v>210</v>
      </c>
    </row>
    <row r="3" spans="1:14" ht="15.75" x14ac:dyDescent="0.25">
      <c r="A3" s="454">
        <v>44683</v>
      </c>
      <c r="B3" s="246" t="s">
        <v>790</v>
      </c>
      <c r="C3" s="111">
        <v>58580.5</v>
      </c>
      <c r="D3" s="412"/>
      <c r="E3" s="111"/>
      <c r="F3" s="410">
        <f>C3-E3</f>
        <v>58580.5</v>
      </c>
      <c r="I3" s="245"/>
      <c r="J3" s="559"/>
      <c r="K3" s="111"/>
      <c r="L3" s="245"/>
      <c r="M3" s="111"/>
      <c r="N3" s="183">
        <f>K3-M3</f>
        <v>0</v>
      </c>
    </row>
    <row r="4" spans="1:14" ht="18.75" x14ac:dyDescent="0.3">
      <c r="A4" s="454">
        <v>44683</v>
      </c>
      <c r="B4" s="246" t="s">
        <v>791</v>
      </c>
      <c r="C4" s="111">
        <v>8932</v>
      </c>
      <c r="D4" s="412"/>
      <c r="E4" s="111"/>
      <c r="F4" s="550">
        <f t="shared" ref="F4:F67" si="0">C4-E4</f>
        <v>8932</v>
      </c>
      <c r="G4" s="138"/>
      <c r="I4" s="245"/>
      <c r="J4" s="559"/>
      <c r="K4" s="111"/>
      <c r="L4" s="245"/>
      <c r="M4" s="111"/>
      <c r="N4" s="137">
        <f>N3+K4-M4</f>
        <v>0</v>
      </c>
    </row>
    <row r="5" spans="1:14" ht="15.75" x14ac:dyDescent="0.25">
      <c r="A5" s="454">
        <v>44684</v>
      </c>
      <c r="B5" s="246" t="s">
        <v>792</v>
      </c>
      <c r="C5" s="111">
        <v>51784.4</v>
      </c>
      <c r="D5" s="412"/>
      <c r="E5" s="111"/>
      <c r="F5" s="550">
        <f t="shared" si="0"/>
        <v>51784.4</v>
      </c>
      <c r="I5" s="245"/>
      <c r="J5" s="559"/>
      <c r="K5" s="111"/>
      <c r="L5" s="245"/>
      <c r="M5" s="111"/>
      <c r="N5" s="137">
        <f t="shared" ref="N5:N68" si="1">N4+K5-M5</f>
        <v>0</v>
      </c>
    </row>
    <row r="6" spans="1:14" ht="15.75" x14ac:dyDescent="0.25">
      <c r="A6" s="454">
        <v>44685</v>
      </c>
      <c r="B6" s="246" t="s">
        <v>793</v>
      </c>
      <c r="C6" s="111">
        <v>15291.4</v>
      </c>
      <c r="D6" s="412"/>
      <c r="E6" s="111"/>
      <c r="F6" s="550">
        <f t="shared" si="0"/>
        <v>15291.4</v>
      </c>
      <c r="I6" s="245"/>
      <c r="J6" s="559"/>
      <c r="K6" s="111"/>
      <c r="L6" s="245"/>
      <c r="M6" s="111"/>
      <c r="N6" s="137">
        <f t="shared" si="1"/>
        <v>0</v>
      </c>
    </row>
    <row r="7" spans="1:14" ht="15.75" x14ac:dyDescent="0.25">
      <c r="A7" s="454">
        <v>44686</v>
      </c>
      <c r="B7" s="246" t="s">
        <v>794</v>
      </c>
      <c r="C7" s="111">
        <v>66691.399999999994</v>
      </c>
      <c r="D7" s="412"/>
      <c r="E7" s="111"/>
      <c r="F7" s="550">
        <f t="shared" si="0"/>
        <v>66691.399999999994</v>
      </c>
      <c r="I7" s="245"/>
      <c r="J7" s="57"/>
      <c r="K7" s="111"/>
      <c r="L7" s="245"/>
      <c r="M7" s="111"/>
      <c r="N7" s="137">
        <f t="shared" si="1"/>
        <v>0</v>
      </c>
    </row>
    <row r="8" spans="1:14" ht="15.75" x14ac:dyDescent="0.25">
      <c r="A8" s="454">
        <v>44686</v>
      </c>
      <c r="B8" s="246" t="s">
        <v>795</v>
      </c>
      <c r="C8" s="111">
        <v>70251.75</v>
      </c>
      <c r="D8" s="412"/>
      <c r="E8" s="111"/>
      <c r="F8" s="550">
        <f t="shared" si="0"/>
        <v>70251.75</v>
      </c>
      <c r="I8" s="245"/>
      <c r="J8" s="57"/>
      <c r="K8" s="111"/>
      <c r="L8" s="245"/>
      <c r="M8" s="111"/>
      <c r="N8" s="137">
        <f t="shared" si="1"/>
        <v>0</v>
      </c>
    </row>
    <row r="9" spans="1:14" ht="15.75" x14ac:dyDescent="0.25">
      <c r="A9" s="454">
        <v>44687</v>
      </c>
      <c r="B9" s="246" t="s">
        <v>796</v>
      </c>
      <c r="C9" s="111">
        <v>13507</v>
      </c>
      <c r="D9" s="412"/>
      <c r="E9" s="111"/>
      <c r="F9" s="550">
        <f t="shared" si="0"/>
        <v>13507</v>
      </c>
      <c r="I9" s="245"/>
      <c r="J9" s="57"/>
      <c r="K9" s="111"/>
      <c r="L9" s="245"/>
      <c r="M9" s="111"/>
      <c r="N9" s="137">
        <f t="shared" si="1"/>
        <v>0</v>
      </c>
    </row>
    <row r="10" spans="1:14" ht="18.75" x14ac:dyDescent="0.3">
      <c r="A10" s="454">
        <v>44689</v>
      </c>
      <c r="B10" s="246" t="s">
        <v>797</v>
      </c>
      <c r="C10" s="111">
        <v>494</v>
      </c>
      <c r="D10" s="412"/>
      <c r="E10" s="111"/>
      <c r="F10" s="550">
        <f t="shared" si="0"/>
        <v>494</v>
      </c>
      <c r="G10" s="138"/>
      <c r="I10" s="245"/>
      <c r="J10" s="57"/>
      <c r="K10" s="111"/>
      <c r="L10" s="245"/>
      <c r="M10" s="111"/>
      <c r="N10" s="137">
        <f t="shared" si="1"/>
        <v>0</v>
      </c>
    </row>
    <row r="11" spans="1:14" ht="15.75" x14ac:dyDescent="0.25">
      <c r="A11" s="454">
        <v>44690</v>
      </c>
      <c r="B11" s="246" t="s">
        <v>798</v>
      </c>
      <c r="C11" s="111">
        <v>66113.67</v>
      </c>
      <c r="D11" s="412"/>
      <c r="E11" s="111"/>
      <c r="F11" s="550">
        <f t="shared" si="0"/>
        <v>66113.67</v>
      </c>
      <c r="I11" s="245"/>
      <c r="J11" s="57"/>
      <c r="K11" s="111"/>
      <c r="L11" s="245"/>
      <c r="M11" s="111"/>
      <c r="N11" s="137">
        <f t="shared" si="1"/>
        <v>0</v>
      </c>
    </row>
    <row r="12" spans="1:14" ht="15.75" x14ac:dyDescent="0.25">
      <c r="A12" s="454">
        <v>44690</v>
      </c>
      <c r="B12" s="246" t="s">
        <v>799</v>
      </c>
      <c r="C12" s="111">
        <v>907.2</v>
      </c>
      <c r="D12" s="412"/>
      <c r="E12" s="111"/>
      <c r="F12" s="550">
        <f t="shared" si="0"/>
        <v>907.2</v>
      </c>
      <c r="I12" s="245"/>
      <c r="J12" s="57"/>
      <c r="K12" s="111"/>
      <c r="L12" s="245"/>
      <c r="M12" s="111"/>
      <c r="N12" s="137">
        <f t="shared" si="1"/>
        <v>0</v>
      </c>
    </row>
    <row r="13" spans="1:14" ht="15.75" x14ac:dyDescent="0.25">
      <c r="A13" s="454">
        <v>44690</v>
      </c>
      <c r="B13" s="246" t="s">
        <v>800</v>
      </c>
      <c r="C13" s="111">
        <v>1956</v>
      </c>
      <c r="D13" s="412"/>
      <c r="E13" s="111"/>
      <c r="F13" s="550">
        <f t="shared" si="0"/>
        <v>1956</v>
      </c>
      <c r="I13" s="245"/>
      <c r="J13" s="57"/>
      <c r="K13" s="111"/>
      <c r="L13" s="245"/>
      <c r="M13" s="111"/>
      <c r="N13" s="137">
        <f t="shared" si="1"/>
        <v>0</v>
      </c>
    </row>
    <row r="14" spans="1:14" ht="15.75" x14ac:dyDescent="0.25">
      <c r="A14" s="454">
        <v>44691</v>
      </c>
      <c r="B14" s="246" t="s">
        <v>801</v>
      </c>
      <c r="C14" s="111">
        <v>48025.599999999999</v>
      </c>
      <c r="D14" s="412"/>
      <c r="E14" s="111"/>
      <c r="F14" s="550">
        <f t="shared" si="0"/>
        <v>48025.599999999999</v>
      </c>
      <c r="I14" s="245"/>
      <c r="J14" s="57"/>
      <c r="K14" s="111"/>
      <c r="L14" s="245"/>
      <c r="M14" s="111"/>
      <c r="N14" s="137">
        <f t="shared" si="1"/>
        <v>0</v>
      </c>
    </row>
    <row r="15" spans="1:14" ht="15.75" x14ac:dyDescent="0.25">
      <c r="A15" s="454">
        <v>44692</v>
      </c>
      <c r="B15" s="246" t="s">
        <v>802</v>
      </c>
      <c r="C15" s="111">
        <v>133204.96</v>
      </c>
      <c r="D15" s="412"/>
      <c r="E15" s="111"/>
      <c r="F15" s="550">
        <f t="shared" si="0"/>
        <v>133204.96</v>
      </c>
      <c r="I15" s="245"/>
      <c r="J15" s="57"/>
      <c r="K15" s="111"/>
      <c r="L15" s="245"/>
      <c r="M15" s="111"/>
      <c r="N15" s="137">
        <f t="shared" si="1"/>
        <v>0</v>
      </c>
    </row>
    <row r="16" spans="1:14" ht="15.75" x14ac:dyDescent="0.25">
      <c r="A16" s="454">
        <v>44692</v>
      </c>
      <c r="B16" s="246" t="s">
        <v>803</v>
      </c>
      <c r="C16" s="111">
        <v>19133.36</v>
      </c>
      <c r="D16" s="412"/>
      <c r="E16" s="111"/>
      <c r="F16" s="550">
        <f t="shared" si="0"/>
        <v>19133.36</v>
      </c>
      <c r="I16" s="245"/>
      <c r="J16" s="57"/>
      <c r="K16" s="111"/>
      <c r="L16" s="245"/>
      <c r="M16" s="111"/>
      <c r="N16" s="137">
        <f t="shared" si="1"/>
        <v>0</v>
      </c>
    </row>
    <row r="17" spans="1:14" ht="15.75" x14ac:dyDescent="0.25">
      <c r="A17" s="454">
        <v>44693</v>
      </c>
      <c r="B17" s="246" t="s">
        <v>804</v>
      </c>
      <c r="C17" s="111">
        <v>49325.599999999999</v>
      </c>
      <c r="D17" s="412"/>
      <c r="E17" s="111"/>
      <c r="F17" s="550">
        <f t="shared" si="0"/>
        <v>49325.599999999999</v>
      </c>
      <c r="I17" s="245"/>
      <c r="J17" s="57"/>
      <c r="K17" s="111"/>
      <c r="L17" s="245"/>
      <c r="M17" s="111"/>
      <c r="N17" s="137">
        <f t="shared" si="1"/>
        <v>0</v>
      </c>
    </row>
    <row r="18" spans="1:14" ht="15.75" x14ac:dyDescent="0.25">
      <c r="A18" s="454">
        <v>44693</v>
      </c>
      <c r="B18" s="246" t="s">
        <v>805</v>
      </c>
      <c r="C18" s="111">
        <v>1128</v>
      </c>
      <c r="D18" s="412"/>
      <c r="E18" s="111"/>
      <c r="F18" s="550">
        <f t="shared" si="0"/>
        <v>1128</v>
      </c>
      <c r="I18" s="245"/>
      <c r="J18" s="57"/>
      <c r="K18" s="111"/>
      <c r="L18" s="245"/>
      <c r="M18" s="111"/>
      <c r="N18" s="137">
        <f t="shared" si="1"/>
        <v>0</v>
      </c>
    </row>
    <row r="19" spans="1:14" ht="15.75" x14ac:dyDescent="0.25">
      <c r="A19" s="454">
        <v>44693</v>
      </c>
      <c r="B19" s="246" t="s">
        <v>812</v>
      </c>
      <c r="C19" s="111">
        <v>3087.2</v>
      </c>
      <c r="D19" s="412"/>
      <c r="E19" s="111"/>
      <c r="F19" s="550">
        <f t="shared" si="0"/>
        <v>3087.2</v>
      </c>
      <c r="I19" s="245"/>
      <c r="J19" s="57"/>
      <c r="K19" s="111"/>
      <c r="L19" s="245"/>
      <c r="M19" s="111"/>
      <c r="N19" s="137">
        <f t="shared" si="1"/>
        <v>0</v>
      </c>
    </row>
    <row r="20" spans="1:14" ht="15.75" x14ac:dyDescent="0.25">
      <c r="A20" s="454">
        <v>44694</v>
      </c>
      <c r="B20" s="246" t="s">
        <v>811</v>
      </c>
      <c r="C20" s="111">
        <v>73300.850000000006</v>
      </c>
      <c r="D20" s="412"/>
      <c r="E20" s="111"/>
      <c r="F20" s="550">
        <f t="shared" si="0"/>
        <v>73300.850000000006</v>
      </c>
      <c r="I20" s="245"/>
      <c r="J20" s="57"/>
      <c r="K20" s="111"/>
      <c r="L20" s="245"/>
      <c r="M20" s="111"/>
      <c r="N20" s="137">
        <f t="shared" si="1"/>
        <v>0</v>
      </c>
    </row>
    <row r="21" spans="1:14" ht="15.75" x14ac:dyDescent="0.25">
      <c r="A21" s="454">
        <v>44695</v>
      </c>
      <c r="B21" s="246" t="s">
        <v>813</v>
      </c>
      <c r="C21" s="111">
        <v>77730.7</v>
      </c>
      <c r="D21" s="412"/>
      <c r="E21" s="111"/>
      <c r="F21" s="550">
        <f t="shared" si="0"/>
        <v>77730.7</v>
      </c>
      <c r="I21" s="245"/>
      <c r="J21" s="57"/>
      <c r="K21" s="111"/>
      <c r="L21" s="245"/>
      <c r="M21" s="111"/>
      <c r="N21" s="137">
        <f t="shared" si="1"/>
        <v>0</v>
      </c>
    </row>
    <row r="22" spans="1:14" ht="18.75" x14ac:dyDescent="0.3">
      <c r="A22" s="454">
        <v>44697</v>
      </c>
      <c r="B22" s="246" t="s">
        <v>806</v>
      </c>
      <c r="C22" s="111">
        <v>13778.94</v>
      </c>
      <c r="D22" s="412"/>
      <c r="E22" s="111"/>
      <c r="F22" s="550">
        <f t="shared" si="0"/>
        <v>13778.94</v>
      </c>
      <c r="G22" s="138"/>
      <c r="I22" s="245"/>
      <c r="J22" s="57"/>
      <c r="K22" s="111"/>
      <c r="L22" s="245"/>
      <c r="M22" s="111"/>
      <c r="N22" s="137">
        <f t="shared" si="1"/>
        <v>0</v>
      </c>
    </row>
    <row r="23" spans="1:14" ht="15.75" x14ac:dyDescent="0.25">
      <c r="A23" s="454">
        <v>44697</v>
      </c>
      <c r="B23" s="246" t="s">
        <v>807</v>
      </c>
      <c r="C23" s="111">
        <v>768</v>
      </c>
      <c r="D23" s="412"/>
      <c r="E23" s="111"/>
      <c r="F23" s="550">
        <f t="shared" si="0"/>
        <v>768</v>
      </c>
      <c r="I23" s="245"/>
      <c r="J23" s="57"/>
      <c r="K23" s="111"/>
      <c r="L23" s="245"/>
      <c r="M23" s="111"/>
      <c r="N23" s="137">
        <f t="shared" si="1"/>
        <v>0</v>
      </c>
    </row>
    <row r="24" spans="1:14" ht="15.75" x14ac:dyDescent="0.25">
      <c r="A24" s="454">
        <v>44698</v>
      </c>
      <c r="B24" s="246" t="s">
        <v>808</v>
      </c>
      <c r="C24" s="111">
        <v>85663.7</v>
      </c>
      <c r="D24" s="412"/>
      <c r="E24" s="111"/>
      <c r="F24" s="550">
        <f t="shared" si="0"/>
        <v>85663.7</v>
      </c>
      <c r="I24" s="245"/>
      <c r="J24" s="57"/>
      <c r="K24" s="111"/>
      <c r="L24" s="245"/>
      <c r="M24" s="111"/>
      <c r="N24" s="137">
        <f t="shared" si="1"/>
        <v>0</v>
      </c>
    </row>
    <row r="25" spans="1:14" ht="15.75" x14ac:dyDescent="0.25">
      <c r="A25" s="454">
        <v>44699</v>
      </c>
      <c r="B25" s="246" t="s">
        <v>809</v>
      </c>
      <c r="C25" s="111">
        <v>73144.72</v>
      </c>
      <c r="D25" s="412"/>
      <c r="E25" s="111"/>
      <c r="F25" s="550">
        <f t="shared" si="0"/>
        <v>73144.72</v>
      </c>
      <c r="I25" s="245"/>
      <c r="J25" s="57"/>
      <c r="K25" s="111"/>
      <c r="L25" s="245"/>
      <c r="M25" s="111"/>
      <c r="N25" s="137">
        <f t="shared" si="1"/>
        <v>0</v>
      </c>
    </row>
    <row r="26" spans="1:14" ht="31.5" x14ac:dyDescent="0.25">
      <c r="A26" s="454">
        <v>44700</v>
      </c>
      <c r="B26" s="592" t="s">
        <v>810</v>
      </c>
      <c r="C26" s="111">
        <v>54053.32</v>
      </c>
      <c r="D26" s="412"/>
      <c r="E26" s="111"/>
      <c r="F26" s="550">
        <f t="shared" si="0"/>
        <v>54053.32</v>
      </c>
      <c r="I26" s="245"/>
      <c r="J26" s="57"/>
      <c r="K26" s="111"/>
      <c r="L26" s="245"/>
      <c r="M26" s="111"/>
      <c r="N26" s="137">
        <f t="shared" si="1"/>
        <v>0</v>
      </c>
    </row>
    <row r="27" spans="1:14" ht="15.75" x14ac:dyDescent="0.25">
      <c r="A27" s="454">
        <v>44701</v>
      </c>
      <c r="B27" s="246" t="s">
        <v>814</v>
      </c>
      <c r="C27" s="111">
        <v>101400.66</v>
      </c>
      <c r="D27" s="506"/>
      <c r="E27" s="111"/>
      <c r="F27" s="550">
        <f t="shared" si="0"/>
        <v>101400.66</v>
      </c>
      <c r="I27" s="245"/>
      <c r="J27" s="57"/>
      <c r="K27" s="111"/>
      <c r="L27" s="245"/>
      <c r="M27" s="111"/>
      <c r="N27" s="137">
        <f t="shared" si="1"/>
        <v>0</v>
      </c>
    </row>
    <row r="28" spans="1:14" ht="15.75" x14ac:dyDescent="0.25">
      <c r="A28" s="454">
        <v>44702</v>
      </c>
      <c r="B28" s="246" t="s">
        <v>815</v>
      </c>
      <c r="C28" s="111">
        <v>185753.4</v>
      </c>
      <c r="D28" s="412"/>
      <c r="E28" s="111"/>
      <c r="F28" s="550">
        <f t="shared" si="0"/>
        <v>185753.4</v>
      </c>
      <c r="I28" s="245"/>
      <c r="J28" s="57"/>
      <c r="K28" s="111"/>
      <c r="L28" s="245"/>
      <c r="M28" s="111"/>
      <c r="N28" s="137">
        <f t="shared" si="1"/>
        <v>0</v>
      </c>
    </row>
    <row r="29" spans="1:14" ht="15.75" x14ac:dyDescent="0.25">
      <c r="A29" s="593">
        <v>44705</v>
      </c>
      <c r="B29" s="260" t="s">
        <v>816</v>
      </c>
      <c r="C29" s="261">
        <v>72323.33</v>
      </c>
      <c r="D29" s="412"/>
      <c r="E29" s="111"/>
      <c r="F29" s="550">
        <f t="shared" si="0"/>
        <v>72323.33</v>
      </c>
      <c r="I29" s="245"/>
      <c r="J29" s="57"/>
      <c r="K29" s="111"/>
      <c r="L29" s="245"/>
      <c r="M29" s="111"/>
      <c r="N29" s="137">
        <f t="shared" si="1"/>
        <v>0</v>
      </c>
    </row>
    <row r="30" spans="1:14" ht="18.75" x14ac:dyDescent="0.3">
      <c r="A30" s="593">
        <v>44706</v>
      </c>
      <c r="B30" s="260" t="s">
        <v>817</v>
      </c>
      <c r="C30" s="261">
        <v>138449.44</v>
      </c>
      <c r="D30" s="412"/>
      <c r="E30" s="111"/>
      <c r="F30" s="550">
        <f t="shared" si="0"/>
        <v>138449.44</v>
      </c>
      <c r="G30" s="138"/>
      <c r="I30" s="245"/>
      <c r="J30" s="57"/>
      <c r="K30" s="111"/>
      <c r="L30" s="245"/>
      <c r="M30" s="111"/>
      <c r="N30" s="137">
        <f t="shared" si="1"/>
        <v>0</v>
      </c>
    </row>
    <row r="31" spans="1:14" ht="15.75" x14ac:dyDescent="0.25">
      <c r="A31" s="454"/>
      <c r="B31" s="246"/>
      <c r="C31" s="111"/>
      <c r="D31" s="412"/>
      <c r="E31" s="111"/>
      <c r="F31" s="550">
        <f t="shared" si="0"/>
        <v>0</v>
      </c>
      <c r="I31" s="245"/>
      <c r="J31" s="57"/>
      <c r="K31" s="111"/>
      <c r="L31" s="245"/>
      <c r="M31" s="111"/>
      <c r="N31" s="137">
        <f t="shared" si="1"/>
        <v>0</v>
      </c>
    </row>
    <row r="32" spans="1:14" ht="15.75" x14ac:dyDescent="0.25">
      <c r="A32" s="454"/>
      <c r="B32" s="246"/>
      <c r="C32" s="111"/>
      <c r="D32" s="412"/>
      <c r="E32" s="111"/>
      <c r="F32" s="550">
        <f t="shared" si="0"/>
        <v>0</v>
      </c>
      <c r="I32" s="245"/>
      <c r="J32" s="57"/>
      <c r="K32" s="111"/>
      <c r="L32" s="245"/>
      <c r="M32" s="111"/>
      <c r="N32" s="137">
        <f t="shared" si="1"/>
        <v>0</v>
      </c>
    </row>
    <row r="33" spans="1:14" ht="15.75" x14ac:dyDescent="0.25">
      <c r="A33" s="454"/>
      <c r="B33" s="246"/>
      <c r="C33" s="111"/>
      <c r="D33" s="412"/>
      <c r="E33" s="111"/>
      <c r="F33" s="550">
        <f t="shared" si="0"/>
        <v>0</v>
      </c>
      <c r="I33" s="245"/>
      <c r="J33" s="57"/>
      <c r="K33" s="111"/>
      <c r="L33" s="245"/>
      <c r="M33" s="111"/>
      <c r="N33" s="137">
        <f t="shared" si="1"/>
        <v>0</v>
      </c>
    </row>
    <row r="34" spans="1:14" ht="15.75" x14ac:dyDescent="0.25">
      <c r="A34" s="454"/>
      <c r="B34" s="246"/>
      <c r="C34" s="111"/>
      <c r="D34" s="412"/>
      <c r="E34" s="111"/>
      <c r="F34" s="550">
        <f t="shared" si="0"/>
        <v>0</v>
      </c>
      <c r="I34" s="245"/>
      <c r="J34" s="57"/>
      <c r="K34" s="111"/>
      <c r="L34" s="245"/>
      <c r="M34" s="111"/>
      <c r="N34" s="137">
        <f t="shared" si="1"/>
        <v>0</v>
      </c>
    </row>
    <row r="35" spans="1:14" ht="15.75" x14ac:dyDescent="0.25">
      <c r="A35" s="454"/>
      <c r="B35" s="246"/>
      <c r="C35" s="111"/>
      <c r="D35" s="412"/>
      <c r="E35" s="111"/>
      <c r="F35" s="550">
        <f t="shared" si="0"/>
        <v>0</v>
      </c>
      <c r="I35" s="245"/>
      <c r="J35" s="57"/>
      <c r="K35" s="111"/>
      <c r="L35" s="245"/>
      <c r="M35" s="111"/>
      <c r="N35" s="137">
        <f t="shared" si="1"/>
        <v>0</v>
      </c>
    </row>
    <row r="36" spans="1:14" ht="15.75" x14ac:dyDescent="0.25">
      <c r="A36" s="454"/>
      <c r="B36" s="246"/>
      <c r="C36" s="111"/>
      <c r="D36" s="412"/>
      <c r="E36" s="111"/>
      <c r="F36" s="550">
        <f t="shared" si="0"/>
        <v>0</v>
      </c>
      <c r="I36" s="245"/>
      <c r="J36" s="57"/>
      <c r="K36" s="111"/>
      <c r="L36" s="245"/>
      <c r="M36" s="111"/>
      <c r="N36" s="137">
        <f t="shared" si="1"/>
        <v>0</v>
      </c>
    </row>
    <row r="37" spans="1:14" ht="15.75" x14ac:dyDescent="0.25">
      <c r="A37" s="454"/>
      <c r="B37" s="246"/>
      <c r="C37" s="111"/>
      <c r="D37" s="412"/>
      <c r="E37" s="111"/>
      <c r="F37" s="550">
        <f t="shared" si="0"/>
        <v>0</v>
      </c>
      <c r="I37" s="245"/>
      <c r="J37" s="57"/>
      <c r="K37" s="111"/>
      <c r="L37" s="245"/>
      <c r="M37" s="111"/>
      <c r="N37" s="137">
        <f t="shared" si="1"/>
        <v>0</v>
      </c>
    </row>
    <row r="38" spans="1:14" ht="15.75" x14ac:dyDescent="0.25">
      <c r="A38" s="454"/>
      <c r="B38" s="246"/>
      <c r="C38" s="111"/>
      <c r="D38" s="412"/>
      <c r="E38" s="111"/>
      <c r="F38" s="550">
        <f t="shared" si="0"/>
        <v>0</v>
      </c>
      <c r="I38" s="245"/>
      <c r="J38" s="57"/>
      <c r="K38" s="111"/>
      <c r="L38" s="245"/>
      <c r="M38" s="111"/>
      <c r="N38" s="137">
        <f t="shared" si="1"/>
        <v>0</v>
      </c>
    </row>
    <row r="39" spans="1:14" ht="15.75" x14ac:dyDescent="0.25">
      <c r="A39" s="454"/>
      <c r="B39" s="246"/>
      <c r="C39" s="111"/>
      <c r="D39" s="412"/>
      <c r="E39" s="111"/>
      <c r="F39" s="550">
        <f t="shared" si="0"/>
        <v>0</v>
      </c>
      <c r="I39" s="245"/>
      <c r="J39" s="57"/>
      <c r="K39" s="111"/>
      <c r="L39" s="245"/>
      <c r="M39" s="111"/>
      <c r="N39" s="137">
        <f t="shared" si="1"/>
        <v>0</v>
      </c>
    </row>
    <row r="40" spans="1:14" ht="15.75" x14ac:dyDescent="0.25">
      <c r="A40" s="454"/>
      <c r="B40" s="246"/>
      <c r="C40" s="111"/>
      <c r="D40" s="412"/>
      <c r="E40" s="111"/>
      <c r="F40" s="550">
        <f t="shared" si="0"/>
        <v>0</v>
      </c>
      <c r="I40" s="245"/>
      <c r="J40" s="57"/>
      <c r="K40" s="111"/>
      <c r="L40" s="245"/>
      <c r="M40" s="111"/>
      <c r="N40" s="137">
        <f t="shared" si="1"/>
        <v>0</v>
      </c>
    </row>
    <row r="41" spans="1:14" ht="15.75" x14ac:dyDescent="0.25">
      <c r="A41" s="454"/>
      <c r="B41" s="246"/>
      <c r="C41" s="111"/>
      <c r="D41" s="412"/>
      <c r="E41" s="111"/>
      <c r="F41" s="550">
        <f t="shared" si="0"/>
        <v>0</v>
      </c>
      <c r="I41" s="245"/>
      <c r="J41" s="57"/>
      <c r="K41" s="111"/>
      <c r="L41" s="245"/>
      <c r="M41" s="111"/>
      <c r="N41" s="137">
        <f t="shared" si="1"/>
        <v>0</v>
      </c>
    </row>
    <row r="42" spans="1:14" ht="15.75" x14ac:dyDescent="0.25">
      <c r="A42" s="454"/>
      <c r="B42" s="246"/>
      <c r="C42" s="111"/>
      <c r="D42" s="253"/>
      <c r="E42" s="69"/>
      <c r="F42" s="550">
        <f t="shared" si="0"/>
        <v>0</v>
      </c>
      <c r="I42" s="245"/>
      <c r="J42" s="57"/>
      <c r="K42" s="111"/>
      <c r="L42" s="245"/>
      <c r="M42" s="111"/>
      <c r="N42" s="137">
        <f t="shared" si="1"/>
        <v>0</v>
      </c>
    </row>
    <row r="43" spans="1:14" ht="15.75" x14ac:dyDescent="0.25">
      <c r="A43" s="454"/>
      <c r="B43" s="246"/>
      <c r="C43" s="111"/>
      <c r="D43" s="413"/>
      <c r="E43" s="413"/>
      <c r="F43" s="550">
        <f t="shared" si="0"/>
        <v>0</v>
      </c>
      <c r="I43" s="288"/>
      <c r="J43" s="57"/>
      <c r="K43" s="111"/>
      <c r="L43" s="476"/>
      <c r="M43" s="69"/>
      <c r="N43" s="137">
        <f t="shared" si="1"/>
        <v>0</v>
      </c>
    </row>
    <row r="44" spans="1:14" ht="15.75" x14ac:dyDescent="0.25">
      <c r="A44" s="454"/>
      <c r="B44" s="246"/>
      <c r="C44" s="111"/>
      <c r="D44" s="413"/>
      <c r="E44" s="413"/>
      <c r="F44" s="550">
        <f t="shared" si="0"/>
        <v>0</v>
      </c>
      <c r="I44" s="288"/>
      <c r="J44" s="57"/>
      <c r="K44" s="111"/>
      <c r="L44" s="476"/>
      <c r="M44" s="69"/>
      <c r="N44" s="137"/>
    </row>
    <row r="45" spans="1:14" ht="15.75" x14ac:dyDescent="0.25">
      <c r="A45" s="454"/>
      <c r="B45" s="246"/>
      <c r="C45" s="111"/>
      <c r="D45" s="413"/>
      <c r="E45" s="413"/>
      <c r="F45" s="550">
        <f t="shared" si="0"/>
        <v>0</v>
      </c>
      <c r="I45" s="288"/>
      <c r="J45" s="57"/>
      <c r="K45" s="111"/>
      <c r="L45" s="476"/>
      <c r="M45" s="69"/>
      <c r="N45" s="137"/>
    </row>
    <row r="46" spans="1:14" ht="15.75" x14ac:dyDescent="0.25">
      <c r="A46" s="454"/>
      <c r="B46" s="246"/>
      <c r="C46" s="111"/>
      <c r="D46" s="413"/>
      <c r="E46" s="413"/>
      <c r="F46" s="550">
        <f t="shared" si="0"/>
        <v>0</v>
      </c>
      <c r="I46" s="288"/>
      <c r="J46" s="57"/>
      <c r="K46" s="111"/>
      <c r="L46" s="476"/>
      <c r="M46" s="69"/>
      <c r="N46" s="137"/>
    </row>
    <row r="47" spans="1:14" ht="15.75" x14ac:dyDescent="0.25">
      <c r="A47" s="454"/>
      <c r="B47" s="246"/>
      <c r="C47" s="111"/>
      <c r="D47" s="413"/>
      <c r="E47" s="413"/>
      <c r="F47" s="550">
        <f t="shared" si="0"/>
        <v>0</v>
      </c>
      <c r="I47" s="288"/>
      <c r="J47" s="57"/>
      <c r="K47" s="111"/>
      <c r="L47" s="476"/>
      <c r="M47" s="69"/>
      <c r="N47" s="137"/>
    </row>
    <row r="48" spans="1:14" ht="15.75" x14ac:dyDescent="0.25">
      <c r="A48" s="454"/>
      <c r="B48" s="246"/>
      <c r="C48" s="111"/>
      <c r="D48" s="413"/>
      <c r="E48" s="413"/>
      <c r="F48" s="550">
        <f t="shared" si="0"/>
        <v>0</v>
      </c>
      <c r="I48" s="288"/>
      <c r="J48" s="57"/>
      <c r="K48" s="111"/>
      <c r="L48" s="476"/>
      <c r="M48" s="69"/>
      <c r="N48" s="137"/>
    </row>
    <row r="49" spans="1:14" ht="15.75" x14ac:dyDescent="0.25">
      <c r="A49" s="454"/>
      <c r="B49" s="246"/>
      <c r="C49" s="111"/>
      <c r="D49" s="413"/>
      <c r="E49" s="413"/>
      <c r="F49" s="550">
        <f t="shared" si="0"/>
        <v>0</v>
      </c>
      <c r="I49" s="288"/>
      <c r="J49" s="57"/>
      <c r="K49" s="111"/>
      <c r="L49" s="476"/>
      <c r="M49" s="69"/>
      <c r="N49" s="137"/>
    </row>
    <row r="50" spans="1:14" ht="15.75" x14ac:dyDescent="0.25">
      <c r="A50" s="454"/>
      <c r="B50" s="439"/>
      <c r="C50" s="413"/>
      <c r="D50" s="413"/>
      <c r="E50" s="413"/>
      <c r="F50" s="550">
        <f t="shared" si="0"/>
        <v>0</v>
      </c>
      <c r="I50" s="288"/>
      <c r="J50" s="57"/>
      <c r="K50" s="111"/>
      <c r="L50" s="476"/>
      <c r="M50" s="69"/>
      <c r="N50" s="137"/>
    </row>
    <row r="51" spans="1:14" ht="15.75" x14ac:dyDescent="0.25">
      <c r="A51" s="454"/>
      <c r="B51" s="439"/>
      <c r="C51" s="413"/>
      <c r="D51" s="413"/>
      <c r="E51" s="413"/>
      <c r="F51" s="111">
        <f t="shared" si="0"/>
        <v>0</v>
      </c>
      <c r="I51" s="288"/>
      <c r="J51" s="57"/>
      <c r="K51" s="111"/>
      <c r="L51" s="476"/>
      <c r="M51" s="69"/>
      <c r="N51" s="137"/>
    </row>
    <row r="52" spans="1:14" ht="15.75" x14ac:dyDescent="0.25">
      <c r="A52" s="454"/>
      <c r="B52" s="439"/>
      <c r="C52" s="413"/>
      <c r="D52" s="413"/>
      <c r="E52" s="413"/>
      <c r="F52" s="111">
        <f t="shared" si="0"/>
        <v>0</v>
      </c>
      <c r="I52" s="288"/>
      <c r="J52" s="57"/>
      <c r="K52" s="111"/>
      <c r="L52" s="476"/>
      <c r="M52" s="69"/>
      <c r="N52" s="137"/>
    </row>
    <row r="53" spans="1:14" ht="15.75" x14ac:dyDescent="0.25">
      <c r="A53" s="454"/>
      <c r="B53" s="439"/>
      <c r="C53" s="413"/>
      <c r="D53" s="413"/>
      <c r="E53" s="413"/>
      <c r="F53" s="111">
        <f t="shared" si="0"/>
        <v>0</v>
      </c>
      <c r="I53" s="288"/>
      <c r="J53" s="57"/>
      <c r="K53" s="111"/>
      <c r="L53" s="476"/>
      <c r="M53" s="69"/>
      <c r="N53" s="137"/>
    </row>
    <row r="54" spans="1:14" ht="15.75" x14ac:dyDescent="0.25">
      <c r="A54" s="454"/>
      <c r="B54" s="439"/>
      <c r="C54" s="413"/>
      <c r="D54" s="413"/>
      <c r="E54" s="413"/>
      <c r="F54" s="111">
        <f t="shared" si="0"/>
        <v>0</v>
      </c>
      <c r="I54" s="288"/>
      <c r="J54" s="57"/>
      <c r="K54" s="111"/>
      <c r="L54" s="476"/>
      <c r="M54" s="69"/>
      <c r="N54" s="137"/>
    </row>
    <row r="55" spans="1:14" ht="15.75" x14ac:dyDescent="0.25">
      <c r="A55" s="454"/>
      <c r="B55" s="439"/>
      <c r="C55" s="413"/>
      <c r="D55" s="413"/>
      <c r="E55" s="413"/>
      <c r="F55" s="111">
        <f t="shared" si="0"/>
        <v>0</v>
      </c>
      <c r="I55" s="288"/>
      <c r="J55" s="57"/>
      <c r="K55" s="111"/>
      <c r="L55" s="476"/>
      <c r="M55" s="69"/>
      <c r="N55" s="137"/>
    </row>
    <row r="56" spans="1:14" ht="15.75" x14ac:dyDescent="0.25">
      <c r="A56" s="454"/>
      <c r="B56" s="439"/>
      <c r="C56" s="413"/>
      <c r="D56" s="413"/>
      <c r="E56" s="413"/>
      <c r="F56" s="111">
        <f t="shared" si="0"/>
        <v>0</v>
      </c>
      <c r="I56" s="288"/>
      <c r="J56" s="57"/>
      <c r="K56" s="111"/>
      <c r="L56" s="476"/>
      <c r="M56" s="69"/>
      <c r="N56" s="137"/>
    </row>
    <row r="57" spans="1:14" ht="15.75" x14ac:dyDescent="0.25">
      <c r="A57" s="454"/>
      <c r="B57" s="439"/>
      <c r="C57" s="413"/>
      <c r="D57" s="413"/>
      <c r="E57" s="413"/>
      <c r="F57" s="111">
        <f t="shared" si="0"/>
        <v>0</v>
      </c>
      <c r="I57" s="288"/>
      <c r="J57" s="57"/>
      <c r="K57" s="111"/>
      <c r="L57" s="476"/>
      <c r="M57" s="69"/>
      <c r="N57" s="137"/>
    </row>
    <row r="58" spans="1:14" ht="15.75" x14ac:dyDescent="0.25">
      <c r="A58" s="454"/>
      <c r="B58" s="439"/>
      <c r="C58" s="413"/>
      <c r="D58" s="413"/>
      <c r="E58" s="413"/>
      <c r="F58" s="111">
        <f t="shared" si="0"/>
        <v>0</v>
      </c>
      <c r="I58" s="288"/>
      <c r="J58" s="57"/>
      <c r="K58" s="111"/>
      <c r="L58" s="476"/>
      <c r="M58" s="69"/>
      <c r="N58" s="137"/>
    </row>
    <row r="59" spans="1:14" ht="15.75" x14ac:dyDescent="0.25">
      <c r="A59" s="454"/>
      <c r="B59" s="439"/>
      <c r="C59" s="413"/>
      <c r="D59" s="413"/>
      <c r="E59" s="413"/>
      <c r="F59" s="111">
        <f t="shared" si="0"/>
        <v>0</v>
      </c>
      <c r="I59" s="288"/>
      <c r="J59" s="57"/>
      <c r="K59" s="111"/>
      <c r="L59" s="476"/>
      <c r="M59" s="69"/>
      <c r="N59" s="137"/>
    </row>
    <row r="60" spans="1:14" ht="15.75" x14ac:dyDescent="0.25">
      <c r="A60" s="454"/>
      <c r="B60" s="439"/>
      <c r="C60" s="413"/>
      <c r="D60" s="413"/>
      <c r="E60" s="413"/>
      <c r="F60" s="111">
        <f t="shared" si="0"/>
        <v>0</v>
      </c>
      <c r="I60" s="288"/>
      <c r="J60" s="57"/>
      <c r="K60" s="111"/>
      <c r="L60" s="476"/>
      <c r="M60" s="69"/>
      <c r="N60" s="137"/>
    </row>
    <row r="61" spans="1:14" ht="15.75" hidden="1" x14ac:dyDescent="0.25">
      <c r="A61" s="134"/>
      <c r="B61" s="139"/>
      <c r="C61" s="69"/>
      <c r="D61" s="253"/>
      <c r="E61" s="69"/>
      <c r="F61" s="111">
        <f t="shared" si="0"/>
        <v>0</v>
      </c>
      <c r="I61" s="134"/>
      <c r="J61" s="139"/>
      <c r="K61" s="69"/>
      <c r="L61" s="140"/>
      <c r="M61" s="69"/>
      <c r="N61" s="137" t="e">
        <f>#REF!+K61-M61</f>
        <v>#REF!</v>
      </c>
    </row>
    <row r="62" spans="1:14" ht="15.75" hidden="1" x14ac:dyDescent="0.25">
      <c r="A62" s="134"/>
      <c r="B62" s="139"/>
      <c r="C62" s="69"/>
      <c r="D62" s="253"/>
      <c r="E62" s="69"/>
      <c r="F62" s="111">
        <f t="shared" si="0"/>
        <v>0</v>
      </c>
      <c r="I62" s="134"/>
      <c r="J62" s="139"/>
      <c r="K62" s="69"/>
      <c r="L62" s="140"/>
      <c r="M62" s="69"/>
      <c r="N62" s="137" t="e">
        <f t="shared" si="1"/>
        <v>#REF!</v>
      </c>
    </row>
    <row r="63" spans="1:14" ht="15.75" hidden="1" x14ac:dyDescent="0.25">
      <c r="A63" s="134"/>
      <c r="B63" s="139"/>
      <c r="C63" s="69"/>
      <c r="D63" s="253"/>
      <c r="E63" s="69"/>
      <c r="F63" s="111">
        <f t="shared" si="0"/>
        <v>0</v>
      </c>
      <c r="I63" s="134"/>
      <c r="J63" s="139"/>
      <c r="K63" s="69"/>
      <c r="L63" s="140"/>
      <c r="M63" s="69"/>
      <c r="N63" s="137" t="e">
        <f t="shared" si="1"/>
        <v>#REF!</v>
      </c>
    </row>
    <row r="64" spans="1:14" ht="15.75" hidden="1" x14ac:dyDescent="0.25">
      <c r="A64" s="134"/>
      <c r="B64" s="139"/>
      <c r="C64" s="69"/>
      <c r="D64" s="253"/>
      <c r="E64" s="69"/>
      <c r="F64" s="111">
        <f t="shared" si="0"/>
        <v>0</v>
      </c>
      <c r="I64" s="134"/>
      <c r="J64" s="139"/>
      <c r="K64" s="69"/>
      <c r="L64" s="140"/>
      <c r="M64" s="69"/>
      <c r="N64" s="137" t="e">
        <f t="shared" si="1"/>
        <v>#REF!</v>
      </c>
    </row>
    <row r="65" spans="1:14" ht="15.75" hidden="1" x14ac:dyDescent="0.25">
      <c r="A65" s="134"/>
      <c r="B65" s="139"/>
      <c r="C65" s="69"/>
      <c r="D65" s="253"/>
      <c r="E65" s="69"/>
      <c r="F65" s="111">
        <f t="shared" si="0"/>
        <v>0</v>
      </c>
      <c r="I65" s="134"/>
      <c r="J65" s="139"/>
      <c r="K65" s="69"/>
      <c r="L65" s="140"/>
      <c r="M65" s="69"/>
      <c r="N65" s="137" t="e">
        <f t="shared" si="1"/>
        <v>#REF!</v>
      </c>
    </row>
    <row r="66" spans="1:14" ht="15.75" hidden="1" x14ac:dyDescent="0.25">
      <c r="A66" s="134"/>
      <c r="B66" s="139"/>
      <c r="C66" s="69"/>
      <c r="D66" s="253"/>
      <c r="E66" s="69"/>
      <c r="F66" s="111">
        <f t="shared" si="0"/>
        <v>0</v>
      </c>
      <c r="I66" s="134"/>
      <c r="J66" s="139"/>
      <c r="K66" s="69"/>
      <c r="L66" s="140"/>
      <c r="M66" s="69"/>
      <c r="N66" s="137" t="e">
        <f t="shared" si="1"/>
        <v>#REF!</v>
      </c>
    </row>
    <row r="67" spans="1:14" ht="15.75" hidden="1" x14ac:dyDescent="0.25">
      <c r="A67" s="134"/>
      <c r="B67" s="139"/>
      <c r="C67" s="69"/>
      <c r="D67" s="253"/>
      <c r="E67" s="69"/>
      <c r="F67" s="111">
        <f t="shared" si="0"/>
        <v>0</v>
      </c>
      <c r="I67" s="134"/>
      <c r="J67" s="139"/>
      <c r="K67" s="69"/>
      <c r="L67" s="140"/>
      <c r="M67" s="69"/>
      <c r="N67" s="137" t="e">
        <f t="shared" si="1"/>
        <v>#REF!</v>
      </c>
    </row>
    <row r="68" spans="1:14" ht="15.75" hidden="1" x14ac:dyDescent="0.25">
      <c r="A68" s="134"/>
      <c r="B68" s="139"/>
      <c r="C68" s="69"/>
      <c r="D68" s="253"/>
      <c r="E68" s="69"/>
      <c r="F68" s="111">
        <f t="shared" ref="F68:F87" si="2">C68-E68</f>
        <v>0</v>
      </c>
      <c r="I68" s="134"/>
      <c r="J68" s="139"/>
      <c r="K68" s="69"/>
      <c r="L68" s="140"/>
      <c r="M68" s="69"/>
      <c r="N68" s="137" t="e">
        <f t="shared" si="1"/>
        <v>#REF!</v>
      </c>
    </row>
    <row r="69" spans="1:14" ht="15.75" hidden="1" x14ac:dyDescent="0.25">
      <c r="A69" s="134"/>
      <c r="B69" s="139"/>
      <c r="C69" s="69"/>
      <c r="D69" s="253"/>
      <c r="E69" s="69"/>
      <c r="F69" s="111">
        <f t="shared" si="2"/>
        <v>0</v>
      </c>
      <c r="I69" s="134"/>
      <c r="J69" s="139"/>
      <c r="K69" s="69"/>
      <c r="L69" s="140"/>
      <c r="M69" s="69"/>
      <c r="N69" s="137" t="e">
        <f t="shared" ref="N69:N87" si="3">N68+K69-M69</f>
        <v>#REF!</v>
      </c>
    </row>
    <row r="70" spans="1:14" ht="15.75" hidden="1" x14ac:dyDescent="0.25">
      <c r="A70" s="134"/>
      <c r="B70" s="139"/>
      <c r="C70" s="69"/>
      <c r="D70" s="253"/>
      <c r="E70" s="69"/>
      <c r="F70" s="111">
        <f t="shared" si="2"/>
        <v>0</v>
      </c>
      <c r="I70" s="134"/>
      <c r="J70" s="139"/>
      <c r="K70" s="69"/>
      <c r="L70" s="140"/>
      <c r="M70" s="69"/>
      <c r="N70" s="137" t="e">
        <f t="shared" si="3"/>
        <v>#REF!</v>
      </c>
    </row>
    <row r="71" spans="1:14" ht="15.75" hidden="1" x14ac:dyDescent="0.25">
      <c r="A71" s="134"/>
      <c r="B71" s="139"/>
      <c r="C71" s="69"/>
      <c r="D71" s="253"/>
      <c r="E71" s="69"/>
      <c r="F71" s="111">
        <f t="shared" si="2"/>
        <v>0</v>
      </c>
      <c r="I71" s="134"/>
      <c r="J71" s="139"/>
      <c r="K71" s="69"/>
      <c r="L71" s="140"/>
      <c r="M71" s="69"/>
      <c r="N71" s="137" t="e">
        <f t="shared" si="3"/>
        <v>#REF!</v>
      </c>
    </row>
    <row r="72" spans="1:14" ht="15.75" hidden="1" x14ac:dyDescent="0.25">
      <c r="A72" s="134"/>
      <c r="B72" s="139"/>
      <c r="C72" s="69"/>
      <c r="D72" s="254"/>
      <c r="E72" s="69"/>
      <c r="F72" s="111">
        <f t="shared" si="2"/>
        <v>0</v>
      </c>
      <c r="I72" s="356"/>
      <c r="J72" s="357"/>
      <c r="K72" s="34"/>
      <c r="L72" s="147"/>
      <c r="M72" s="34"/>
      <c r="N72" s="137" t="e">
        <f t="shared" si="3"/>
        <v>#REF!</v>
      </c>
    </row>
    <row r="73" spans="1:14" ht="15.75" hidden="1" x14ac:dyDescent="0.25">
      <c r="A73" s="134"/>
      <c r="B73" s="139"/>
      <c r="C73" s="69"/>
      <c r="D73" s="254"/>
      <c r="E73" s="69"/>
      <c r="F73" s="111">
        <f t="shared" si="2"/>
        <v>0</v>
      </c>
      <c r="I73" s="356"/>
      <c r="J73" s="357"/>
      <c r="K73" s="34"/>
      <c r="L73" s="147"/>
      <c r="M73" s="34"/>
      <c r="N73" s="137" t="e">
        <f t="shared" si="3"/>
        <v>#REF!</v>
      </c>
    </row>
    <row r="74" spans="1:14" ht="15.75" hidden="1" x14ac:dyDescent="0.25">
      <c r="A74" s="134"/>
      <c r="B74" s="139"/>
      <c r="C74" s="69"/>
      <c r="D74" s="254"/>
      <c r="E74" s="69"/>
      <c r="F74" s="111">
        <f t="shared" si="2"/>
        <v>0</v>
      </c>
      <c r="I74" s="356"/>
      <c r="J74" s="357"/>
      <c r="K74" s="34"/>
      <c r="L74" s="147"/>
      <c r="M74" s="34"/>
      <c r="N74" s="137" t="e">
        <f t="shared" si="3"/>
        <v>#REF!</v>
      </c>
    </row>
    <row r="75" spans="1:14" ht="15.75" hidden="1" x14ac:dyDescent="0.25">
      <c r="A75" s="134"/>
      <c r="B75" s="139"/>
      <c r="C75" s="69"/>
      <c r="D75" s="254"/>
      <c r="E75" s="69"/>
      <c r="F75" s="111">
        <f t="shared" si="2"/>
        <v>0</v>
      </c>
      <c r="I75" s="356"/>
      <c r="J75" s="357"/>
      <c r="K75" s="34"/>
      <c r="L75" s="147"/>
      <c r="M75" s="34"/>
      <c r="N75" s="137" t="e">
        <f t="shared" si="3"/>
        <v>#REF!</v>
      </c>
    </row>
    <row r="76" spans="1:14" ht="15.75" hidden="1" x14ac:dyDescent="0.25">
      <c r="A76" s="134"/>
      <c r="B76" s="139"/>
      <c r="C76" s="69"/>
      <c r="D76" s="254"/>
      <c r="E76" s="69"/>
      <c r="F76" s="111">
        <f t="shared" si="2"/>
        <v>0</v>
      </c>
      <c r="I76" s="356"/>
      <c r="J76" s="357"/>
      <c r="K76" s="34"/>
      <c r="L76" s="147"/>
      <c r="M76" s="34"/>
      <c r="N76" s="137" t="e">
        <f t="shared" si="3"/>
        <v>#REF!</v>
      </c>
    </row>
    <row r="77" spans="1:14" ht="15.75" hidden="1" x14ac:dyDescent="0.25">
      <c r="A77" s="356"/>
      <c r="B77" s="357"/>
      <c r="C77" s="34"/>
      <c r="D77" s="118"/>
      <c r="E77" s="34"/>
      <c r="F77" s="111">
        <f t="shared" si="2"/>
        <v>0</v>
      </c>
      <c r="I77" s="356"/>
      <c r="J77" s="357"/>
      <c r="K77" s="34"/>
      <c r="L77" s="147"/>
      <c r="M77" s="34"/>
      <c r="N77" s="137" t="e">
        <f t="shared" si="3"/>
        <v>#REF!</v>
      </c>
    </row>
    <row r="78" spans="1:14" ht="15.75" hidden="1" x14ac:dyDescent="0.25">
      <c r="A78" s="134"/>
      <c r="B78" s="139"/>
      <c r="C78" s="69"/>
      <c r="D78" s="254"/>
      <c r="E78" s="69"/>
      <c r="F78" s="111">
        <f t="shared" si="2"/>
        <v>0</v>
      </c>
      <c r="I78" s="134"/>
      <c r="J78" s="139"/>
      <c r="K78" s="69"/>
      <c r="L78" s="148"/>
      <c r="M78" s="69"/>
      <c r="N78" s="137" t="e">
        <f t="shared" si="3"/>
        <v>#REF!</v>
      </c>
    </row>
    <row r="79" spans="1:14" ht="15.75" hidden="1" x14ac:dyDescent="0.25">
      <c r="A79" s="134"/>
      <c r="B79" s="139"/>
      <c r="C79" s="69"/>
      <c r="D79" s="254"/>
      <c r="E79" s="69"/>
      <c r="F79" s="111">
        <f t="shared" si="2"/>
        <v>0</v>
      </c>
      <c r="I79" s="134"/>
      <c r="J79" s="139"/>
      <c r="K79" s="69"/>
      <c r="L79" s="148"/>
      <c r="M79" s="69"/>
      <c r="N79" s="137" t="e">
        <f t="shared" si="3"/>
        <v>#REF!</v>
      </c>
    </row>
    <row r="80" spans="1:14" ht="15.75" hidden="1" x14ac:dyDescent="0.25">
      <c r="A80" s="134"/>
      <c r="B80" s="139"/>
      <c r="C80" s="69"/>
      <c r="D80" s="254"/>
      <c r="E80" s="69"/>
      <c r="F80" s="111">
        <f t="shared" si="2"/>
        <v>0</v>
      </c>
      <c r="I80" s="134"/>
      <c r="J80" s="139"/>
      <c r="K80" s="69"/>
      <c r="L80" s="148"/>
      <c r="M80" s="69"/>
      <c r="N80" s="137" t="e">
        <f t="shared" si="3"/>
        <v>#REF!</v>
      </c>
    </row>
    <row r="81" spans="1:14" ht="15.75" hidden="1" x14ac:dyDescent="0.25">
      <c r="A81" s="134"/>
      <c r="B81" s="139"/>
      <c r="C81" s="69"/>
      <c r="D81" s="254"/>
      <c r="E81" s="69"/>
      <c r="F81" s="111">
        <f t="shared" si="2"/>
        <v>0</v>
      </c>
      <c r="I81" s="134"/>
      <c r="J81" s="139"/>
      <c r="K81" s="69"/>
      <c r="L81" s="148"/>
      <c r="M81" s="69"/>
      <c r="N81" s="137" t="e">
        <f t="shared" si="3"/>
        <v>#REF!</v>
      </c>
    </row>
    <row r="82" spans="1:14" ht="15.75" hidden="1" x14ac:dyDescent="0.25">
      <c r="A82" s="134"/>
      <c r="B82" s="139"/>
      <c r="C82" s="69"/>
      <c r="D82" s="254"/>
      <c r="E82" s="69"/>
      <c r="F82" s="111">
        <f t="shared" si="2"/>
        <v>0</v>
      </c>
      <c r="I82" s="134"/>
      <c r="J82" s="139"/>
      <c r="K82" s="69"/>
      <c r="L82" s="148"/>
      <c r="M82" s="69"/>
      <c r="N82" s="137" t="e">
        <f t="shared" si="3"/>
        <v>#REF!</v>
      </c>
    </row>
    <row r="83" spans="1:14" ht="15.75" hidden="1" x14ac:dyDescent="0.25">
      <c r="A83" s="134"/>
      <c r="B83" s="139"/>
      <c r="C83" s="69"/>
      <c r="D83" s="254"/>
      <c r="E83" s="69"/>
      <c r="F83" s="111">
        <f t="shared" si="2"/>
        <v>0</v>
      </c>
      <c r="I83" s="134"/>
      <c r="J83" s="139"/>
      <c r="K83" s="69"/>
      <c r="L83" s="148"/>
      <c r="M83" s="69"/>
      <c r="N83" s="137" t="e">
        <f t="shared" si="3"/>
        <v>#REF!</v>
      </c>
    </row>
    <row r="84" spans="1:14" ht="15.75" hidden="1" x14ac:dyDescent="0.25">
      <c r="A84" s="134"/>
      <c r="B84" s="139"/>
      <c r="C84" s="69"/>
      <c r="D84" s="254"/>
      <c r="E84" s="69"/>
      <c r="F84" s="111">
        <f t="shared" si="2"/>
        <v>0</v>
      </c>
      <c r="I84" s="134"/>
      <c r="J84" s="139"/>
      <c r="K84" s="69"/>
      <c r="L84" s="148"/>
      <c r="M84" s="69"/>
      <c r="N84" s="137" t="e">
        <f t="shared" si="3"/>
        <v>#REF!</v>
      </c>
    </row>
    <row r="85" spans="1:14" ht="15.75" hidden="1" x14ac:dyDescent="0.25">
      <c r="A85" s="134"/>
      <c r="B85" s="139"/>
      <c r="C85" s="69"/>
      <c r="D85" s="254"/>
      <c r="E85" s="69"/>
      <c r="F85" s="111">
        <f t="shared" si="2"/>
        <v>0</v>
      </c>
      <c r="I85" s="134"/>
      <c r="J85" s="139"/>
      <c r="K85" s="69"/>
      <c r="L85" s="148"/>
      <c r="M85" s="69"/>
      <c r="N85" s="137" t="e">
        <f t="shared" si="3"/>
        <v>#REF!</v>
      </c>
    </row>
    <row r="86" spans="1:14" ht="15.75" hidden="1" x14ac:dyDescent="0.25">
      <c r="A86" s="134"/>
      <c r="B86" s="139"/>
      <c r="C86" s="69"/>
      <c r="D86" s="254"/>
      <c r="E86" s="69"/>
      <c r="F86" s="111">
        <f t="shared" si="2"/>
        <v>0</v>
      </c>
      <c r="I86" s="134"/>
      <c r="J86" s="139"/>
      <c r="K86" s="69"/>
      <c r="L86" s="148"/>
      <c r="M86" s="69"/>
      <c r="N86" s="137" t="e">
        <f t="shared" si="3"/>
        <v>#REF!</v>
      </c>
    </row>
    <row r="87" spans="1:14" ht="15.75" hidden="1" x14ac:dyDescent="0.25">
      <c r="A87" s="134"/>
      <c r="B87" s="139"/>
      <c r="C87" s="69"/>
      <c r="D87" s="254"/>
      <c r="E87" s="69"/>
      <c r="F87" s="111">
        <f t="shared" si="2"/>
        <v>0</v>
      </c>
      <c r="I87" s="134"/>
      <c r="J87" s="139"/>
      <c r="K87" s="69"/>
      <c r="L87" s="148"/>
      <c r="M87" s="69"/>
      <c r="N87" s="137" t="e">
        <f t="shared" si="3"/>
        <v>#REF!</v>
      </c>
    </row>
    <row r="88" spans="1:14" ht="16.5" thickBot="1" x14ac:dyDescent="0.3">
      <c r="A88" s="149"/>
      <c r="B88" s="210"/>
      <c r="C88" s="34">
        <v>0</v>
      </c>
      <c r="D88" s="255"/>
      <c r="E88" s="151"/>
      <c r="F88" s="137">
        <v>0</v>
      </c>
      <c r="I88" s="149"/>
      <c r="J88" s="150"/>
      <c r="K88" s="151">
        <v>0</v>
      </c>
      <c r="L88" s="152"/>
      <c r="M88" s="151"/>
      <c r="N88" s="137"/>
    </row>
    <row r="89" spans="1:14" ht="19.5" thickTop="1" x14ac:dyDescent="0.3">
      <c r="B89" s="440"/>
      <c r="C89" s="212">
        <f>SUM(C3:C88)</f>
        <v>1484781.0999999994</v>
      </c>
      <c r="D89" s="407"/>
      <c r="E89" s="395">
        <f>SUM(E3:E88)</f>
        <v>0</v>
      </c>
      <c r="F89" s="153">
        <f>SUM(F3:F88)</f>
        <v>1484781.0999999994</v>
      </c>
      <c r="K89" s="528">
        <f>SUM(K3:K88)</f>
        <v>0</v>
      </c>
      <c r="L89" s="478"/>
      <c r="M89" s="209">
        <f>SUM(M3:M88)</f>
        <v>0</v>
      </c>
      <c r="N89" s="153">
        <f>N88</f>
        <v>0</v>
      </c>
    </row>
    <row r="90" spans="1:14" ht="15.75" thickBot="1" x14ac:dyDescent="0.3">
      <c r="B90" s="441"/>
      <c r="C90" s="214"/>
      <c r="D90" s="256"/>
      <c r="E90" s="3"/>
      <c r="F90" s="659" t="s">
        <v>207</v>
      </c>
      <c r="K90" s="1"/>
      <c r="L90" s="97"/>
      <c r="M90" s="3"/>
      <c r="N90" s="1"/>
    </row>
    <row r="91" spans="1:14" x14ac:dyDescent="0.25">
      <c r="B91" s="163"/>
      <c r="C91" s="1"/>
      <c r="D91" s="256"/>
      <c r="E91" s="3"/>
      <c r="F91" s="660"/>
      <c r="K91" s="1"/>
      <c r="L91" s="97"/>
      <c r="M91" s="3"/>
      <c r="N91" s="1"/>
    </row>
    <row r="92" spans="1:14" ht="16.5" thickBot="1" x14ac:dyDescent="0.3">
      <c r="A92" s="456"/>
      <c r="B92" s="442"/>
      <c r="H92" s="2"/>
      <c r="I92" s="14"/>
      <c r="J92" s="504"/>
      <c r="K92" s="6"/>
      <c r="L92" s="505"/>
      <c r="M92" s="6"/>
    </row>
    <row r="93" spans="1:14" x14ac:dyDescent="0.25">
      <c r="A93" s="456"/>
      <c r="B93" s="442"/>
      <c r="I93" s="697" t="s">
        <v>594</v>
      </c>
      <c r="J93" s="698"/>
    </row>
    <row r="94" spans="1:14" ht="19.5" thickBot="1" x14ac:dyDescent="0.35">
      <c r="A94" s="456"/>
      <c r="B94" s="520"/>
      <c r="C94" s="521"/>
      <c r="D94" s="522"/>
      <c r="E94" s="523"/>
      <c r="I94" s="699"/>
      <c r="J94" s="700"/>
    </row>
    <row r="95" spans="1:14" x14ac:dyDescent="0.25">
      <c r="A95" s="456"/>
      <c r="B95" s="442"/>
      <c r="F95"/>
      <c r="I95"/>
      <c r="J95" s="194"/>
      <c r="N95"/>
    </row>
    <row r="96" spans="1:14" x14ac:dyDescent="0.25">
      <c r="A96" s="456"/>
      <c r="B96" s="442"/>
      <c r="F96"/>
      <c r="I96"/>
      <c r="J96" s="194"/>
      <c r="N96"/>
    </row>
    <row r="97" spans="1:14" x14ac:dyDescent="0.25">
      <c r="A97" s="513"/>
      <c r="B97" s="514"/>
      <c r="C97" s="129"/>
      <c r="F97"/>
      <c r="I97"/>
      <c r="J97" s="194"/>
      <c r="N97"/>
    </row>
    <row r="98" spans="1:14" x14ac:dyDescent="0.25">
      <c r="A98" s="513"/>
      <c r="B98" s="514"/>
      <c r="C98" s="129"/>
      <c r="F98"/>
      <c r="I98"/>
      <c r="J98" s="194"/>
      <c r="N98"/>
    </row>
    <row r="99" spans="1:14" ht="15.75" x14ac:dyDescent="0.25">
      <c r="A99" s="515"/>
      <c r="B99" s="516"/>
      <c r="C99" s="233"/>
      <c r="F99"/>
      <c r="I99"/>
      <c r="J99" s="194"/>
      <c r="N99"/>
    </row>
    <row r="100" spans="1:14" ht="15.75" x14ac:dyDescent="0.25">
      <c r="A100" s="515"/>
      <c r="B100" s="516"/>
      <c r="C100" s="233"/>
      <c r="F100"/>
      <c r="I100"/>
      <c r="J100" s="194"/>
      <c r="N100"/>
    </row>
    <row r="101" spans="1:14" ht="15.75" x14ac:dyDescent="0.25">
      <c r="A101" s="515"/>
      <c r="B101" s="516"/>
      <c r="C101" s="233"/>
      <c r="F101"/>
      <c r="I101"/>
      <c r="J101" s="194"/>
      <c r="N101"/>
    </row>
    <row r="102" spans="1:14" ht="15.75" x14ac:dyDescent="0.25">
      <c r="A102" s="515"/>
      <c r="B102" s="516"/>
      <c r="C102" s="233"/>
      <c r="F102"/>
      <c r="I102"/>
      <c r="J102" s="194"/>
      <c r="N102"/>
    </row>
    <row r="103" spans="1:14" ht="15.75" x14ac:dyDescent="0.25">
      <c r="A103" s="515"/>
      <c r="B103" s="516"/>
      <c r="C103" s="233"/>
      <c r="F103"/>
      <c r="I103"/>
      <c r="J103" s="194"/>
      <c r="N103"/>
    </row>
    <row r="104" spans="1:14" x14ac:dyDescent="0.25">
      <c r="A104" s="513"/>
      <c r="B104" s="514"/>
      <c r="C104" s="129"/>
      <c r="E104"/>
      <c r="F104"/>
      <c r="I104"/>
      <c r="J104" s="194"/>
      <c r="M104"/>
      <c r="N104"/>
    </row>
    <row r="105" spans="1:14" x14ac:dyDescent="0.25">
      <c r="A105" s="456"/>
      <c r="B105" s="442"/>
      <c r="E105"/>
      <c r="F105"/>
      <c r="I105"/>
      <c r="J105" s="194"/>
      <c r="M105"/>
      <c r="N105"/>
    </row>
    <row r="106" spans="1:14" x14ac:dyDescent="0.25">
      <c r="A106" s="456"/>
      <c r="B106" s="442"/>
      <c r="E106"/>
      <c r="F106"/>
      <c r="I106"/>
      <c r="J106" s="194"/>
      <c r="M106"/>
      <c r="N106"/>
    </row>
    <row r="107" spans="1:14" x14ac:dyDescent="0.25">
      <c r="A107" s="456"/>
      <c r="B107" s="442"/>
      <c r="E107"/>
      <c r="F107"/>
      <c r="I107"/>
      <c r="J107" s="194"/>
      <c r="M107"/>
      <c r="N107"/>
    </row>
    <row r="108" spans="1:14" x14ac:dyDescent="0.25">
      <c r="A108" s="456"/>
      <c r="B108" s="442"/>
      <c r="E108"/>
      <c r="F108"/>
      <c r="I108"/>
      <c r="J108" s="194"/>
      <c r="M108"/>
      <c r="N108"/>
    </row>
    <row r="109" spans="1:14" x14ac:dyDescent="0.25">
      <c r="A109" s="456"/>
      <c r="B109" s="442"/>
      <c r="E109"/>
      <c r="F109"/>
      <c r="I109"/>
      <c r="J109" s="194"/>
      <c r="M109"/>
      <c r="N109"/>
    </row>
    <row r="110" spans="1:14" x14ac:dyDescent="0.25">
      <c r="B110" s="442"/>
      <c r="E110"/>
      <c r="J110" s="194"/>
      <c r="M110"/>
    </row>
    <row r="111" spans="1:14" x14ac:dyDescent="0.25">
      <c r="B111" s="442"/>
      <c r="E111"/>
      <c r="J111" s="194"/>
      <c r="M111"/>
    </row>
    <row r="112" spans="1:14" x14ac:dyDescent="0.25">
      <c r="B112" s="442"/>
      <c r="E112"/>
      <c r="J112" s="194"/>
      <c r="M112"/>
    </row>
    <row r="113" spans="2:13" x14ac:dyDescent="0.25">
      <c r="B113" s="442"/>
      <c r="E113"/>
      <c r="J113" s="194"/>
      <c r="M113"/>
    </row>
    <row r="114" spans="2:13" x14ac:dyDescent="0.25">
      <c r="B114" s="442"/>
      <c r="E114"/>
      <c r="J114" s="194"/>
      <c r="M114"/>
    </row>
    <row r="115" spans="2:13" x14ac:dyDescent="0.25">
      <c r="B115" s="442"/>
      <c r="E115"/>
      <c r="J115" s="194"/>
      <c r="M115"/>
    </row>
    <row r="116" spans="2:13" x14ac:dyDescent="0.25">
      <c r="B116" s="442"/>
      <c r="E116"/>
      <c r="J116" s="194"/>
      <c r="M116"/>
    </row>
    <row r="117" spans="2:13" x14ac:dyDescent="0.25">
      <c r="B117" s="442"/>
      <c r="E117"/>
      <c r="J117" s="194"/>
      <c r="M117"/>
    </row>
    <row r="118" spans="2:13" x14ac:dyDescent="0.25">
      <c r="B118" s="442"/>
      <c r="E118"/>
      <c r="J118" s="194"/>
      <c r="M118"/>
    </row>
    <row r="119" spans="2:13" x14ac:dyDescent="0.25">
      <c r="B119" s="442"/>
      <c r="J119" s="194"/>
    </row>
    <row r="120" spans="2:13" x14ac:dyDescent="0.25">
      <c r="B120" s="442"/>
      <c r="J120" s="194"/>
    </row>
    <row r="121" spans="2:13" x14ac:dyDescent="0.25">
      <c r="B121" s="442"/>
      <c r="J121" s="194"/>
    </row>
    <row r="122" spans="2:13" x14ac:dyDescent="0.25">
      <c r="B122" s="442"/>
      <c r="J122" s="194"/>
    </row>
    <row r="123" spans="2:13" x14ac:dyDescent="0.25">
      <c r="B123" s="442"/>
      <c r="J123" s="194"/>
    </row>
    <row r="124" spans="2:13" x14ac:dyDescent="0.25">
      <c r="B124" s="442"/>
      <c r="J124" s="194"/>
    </row>
    <row r="125" spans="2:13" ht="18.75" x14ac:dyDescent="0.3">
      <c r="C125" s="154"/>
      <c r="K125" s="154"/>
    </row>
  </sheetData>
  <sortState ref="A19:C26">
    <sortCondition ref="A19:A26"/>
  </sortState>
  <mergeCells count="2">
    <mergeCell ref="F90:F91"/>
    <mergeCell ref="I93:J94"/>
  </mergeCells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23"/>
  <sheetViews>
    <sheetView topLeftCell="A13" workbookViewId="0">
      <selection activeCell="E16" sqref="E16"/>
    </sheetView>
  </sheetViews>
  <sheetFormatPr baseColWidth="10" defaultRowHeight="15" x14ac:dyDescent="0.25"/>
  <cols>
    <col min="4" max="4" width="17.42578125" bestFit="1" customWidth="1"/>
    <col min="5" max="5" width="47.5703125" customWidth="1"/>
    <col min="6" max="6" width="3.42578125" customWidth="1"/>
    <col min="7" max="7" width="14.140625" bestFit="1" customWidth="1"/>
    <col min="9" max="9" width="11.42578125" style="3"/>
  </cols>
  <sheetData>
    <row r="5" spans="2:9" ht="15.75" x14ac:dyDescent="0.25">
      <c r="B5" s="454"/>
      <c r="C5" s="246"/>
      <c r="D5" s="111"/>
      <c r="E5" s="412"/>
      <c r="F5" s="111"/>
      <c r="G5" s="550"/>
    </row>
    <row r="6" spans="2:9" ht="15.75" x14ac:dyDescent="0.25">
      <c r="B6" s="454"/>
      <c r="C6" s="246"/>
      <c r="D6" s="111"/>
      <c r="E6" s="412"/>
      <c r="F6" s="111"/>
      <c r="G6" s="550"/>
    </row>
    <row r="7" spans="2:9" ht="15.75" x14ac:dyDescent="0.25">
      <c r="B7" s="454"/>
      <c r="C7" s="246"/>
      <c r="D7" s="111"/>
      <c r="E7" s="412"/>
      <c r="F7" s="111"/>
      <c r="G7" s="550"/>
    </row>
    <row r="8" spans="2:9" ht="15.75" x14ac:dyDescent="0.25">
      <c r="B8" s="454"/>
      <c r="C8" s="246"/>
      <c r="D8" s="111"/>
      <c r="E8" s="412"/>
      <c r="F8" s="111"/>
      <c r="G8" s="550"/>
    </row>
    <row r="9" spans="2:9" ht="15.75" x14ac:dyDescent="0.25">
      <c r="B9" s="454"/>
      <c r="C9" s="246"/>
      <c r="D9" s="111"/>
      <c r="E9" s="412"/>
      <c r="F9" s="111"/>
      <c r="G9" s="550"/>
    </row>
    <row r="10" spans="2:9" ht="15.75" x14ac:dyDescent="0.25">
      <c r="B10" s="454"/>
      <c r="C10" s="246"/>
      <c r="D10" s="111"/>
      <c r="E10" s="412"/>
      <c r="F10" s="111"/>
      <c r="G10" s="550"/>
    </row>
    <row r="11" spans="2:9" ht="15.75" x14ac:dyDescent="0.25">
      <c r="B11" s="454"/>
      <c r="C11" s="246"/>
      <c r="D11" s="111"/>
      <c r="E11" s="412"/>
      <c r="F11" s="111"/>
      <c r="G11" s="550"/>
    </row>
    <row r="12" spans="2:9" ht="15.75" x14ac:dyDescent="0.25">
      <c r="B12" s="454"/>
      <c r="C12" s="246"/>
      <c r="D12" s="111"/>
      <c r="E12" s="412"/>
      <c r="F12" s="111"/>
      <c r="G12" s="550"/>
    </row>
    <row r="13" spans="2:9" ht="15.75" x14ac:dyDescent="0.25">
      <c r="B13" s="454"/>
      <c r="C13" s="246"/>
      <c r="D13" s="111"/>
      <c r="E13" s="412"/>
      <c r="F13" s="111"/>
      <c r="G13" s="550"/>
    </row>
    <row r="14" spans="2:9" ht="15.75" x14ac:dyDescent="0.25">
      <c r="B14" s="454"/>
      <c r="C14" s="246"/>
      <c r="D14" s="111"/>
      <c r="E14" s="412"/>
      <c r="F14" s="111"/>
      <c r="G14" s="550"/>
    </row>
    <row r="15" spans="2:9" ht="15.75" x14ac:dyDescent="0.25">
      <c r="B15" s="454"/>
      <c r="C15" s="246"/>
      <c r="D15" s="111"/>
      <c r="E15" s="412"/>
      <c r="F15" s="111"/>
      <c r="G15" s="550"/>
    </row>
    <row r="16" spans="2:9" ht="29.25" customHeight="1" x14ac:dyDescent="0.25">
      <c r="B16" s="454">
        <v>44699</v>
      </c>
      <c r="C16" s="246" t="s">
        <v>809</v>
      </c>
      <c r="D16" s="111">
        <v>73144.72</v>
      </c>
      <c r="E16" s="412" t="s">
        <v>818</v>
      </c>
      <c r="F16" s="111"/>
      <c r="G16" s="550">
        <v>73144.72</v>
      </c>
      <c r="I16" s="3">
        <v>73144.72</v>
      </c>
    </row>
    <row r="17" spans="2:7" ht="29.25" customHeight="1" x14ac:dyDescent="0.25">
      <c r="B17" s="454">
        <v>44700</v>
      </c>
      <c r="C17" s="592" t="s">
        <v>819</v>
      </c>
      <c r="D17" s="111">
        <v>54053.32</v>
      </c>
      <c r="E17" s="412"/>
      <c r="F17" s="111"/>
      <c r="G17" s="550">
        <f>D17-F17</f>
        <v>54053.32</v>
      </c>
    </row>
    <row r="18" spans="2:7" ht="29.25" customHeight="1" x14ac:dyDescent="0.25">
      <c r="B18" s="454">
        <v>44701</v>
      </c>
      <c r="C18" s="246" t="s">
        <v>814</v>
      </c>
      <c r="D18" s="111">
        <v>101400.66</v>
      </c>
      <c r="E18" s="506"/>
      <c r="F18" s="111"/>
      <c r="G18" s="550">
        <f>D18-F18</f>
        <v>101400.66</v>
      </c>
    </row>
    <row r="19" spans="2:7" ht="29.25" customHeight="1" x14ac:dyDescent="0.25">
      <c r="B19" s="454">
        <v>44702</v>
      </c>
      <c r="C19" s="246" t="s">
        <v>815</v>
      </c>
      <c r="D19" s="111">
        <v>185753.4</v>
      </c>
      <c r="E19" s="412"/>
      <c r="F19" s="111"/>
      <c r="G19" s="550">
        <f>D19-F19</f>
        <v>185753.4</v>
      </c>
    </row>
    <row r="20" spans="2:7" ht="29.25" customHeight="1" x14ac:dyDescent="0.25">
      <c r="B20" s="454">
        <v>44705</v>
      </c>
      <c r="C20" s="246" t="s">
        <v>816</v>
      </c>
      <c r="D20" s="111">
        <v>72323.33</v>
      </c>
      <c r="E20" s="412"/>
      <c r="F20" s="111"/>
      <c r="G20" s="550">
        <f>D20-F20</f>
        <v>72323.33</v>
      </c>
    </row>
    <row r="21" spans="2:7" ht="29.25" customHeight="1" x14ac:dyDescent="0.25">
      <c r="B21" s="454">
        <v>44706</v>
      </c>
      <c r="C21" s="246" t="s">
        <v>817</v>
      </c>
      <c r="D21" s="111">
        <v>138449.44</v>
      </c>
      <c r="E21" s="412"/>
      <c r="F21" s="111"/>
      <c r="G21" s="550">
        <f>D21-F21</f>
        <v>138449.44</v>
      </c>
    </row>
    <row r="22" spans="2:7" ht="18.75" customHeight="1" x14ac:dyDescent="0.25">
      <c r="D22" s="728">
        <f t="shared" ref="D22" si="0">SUM(D16:D21)</f>
        <v>625124.87</v>
      </c>
      <c r="F22" s="728">
        <f>SUM(G5:G21)</f>
        <v>625124.87</v>
      </c>
      <c r="G22" s="728"/>
    </row>
    <row r="23" spans="2:7" ht="18.75" customHeight="1" x14ac:dyDescent="0.25">
      <c r="D23" s="730"/>
      <c r="F23" s="729"/>
      <c r="G23" s="729"/>
    </row>
  </sheetData>
  <mergeCells count="2">
    <mergeCell ref="F22:G23"/>
    <mergeCell ref="D22:D23"/>
  </mergeCells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1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66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5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632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633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topLeftCell="A22"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597"/>
      <c r="C1" s="599" t="s">
        <v>208</v>
      </c>
      <c r="D1" s="600"/>
      <c r="E1" s="600"/>
      <c r="F1" s="600"/>
      <c r="G1" s="600"/>
      <c r="H1" s="600"/>
      <c r="I1" s="600"/>
      <c r="J1" s="600"/>
      <c r="K1" s="600"/>
      <c r="L1" s="600"/>
      <c r="M1" s="600"/>
    </row>
    <row r="2" spans="1:25" ht="16.5" thickBot="1" x14ac:dyDescent="0.3">
      <c r="B2" s="598"/>
      <c r="C2" s="3"/>
      <c r="H2" s="5"/>
      <c r="I2" s="6"/>
      <c r="J2" s="7"/>
      <c r="L2" s="8"/>
      <c r="M2" s="6"/>
      <c r="N2" s="9"/>
    </row>
    <row r="3" spans="1:25" ht="21.75" thickBot="1" x14ac:dyDescent="0.35">
      <c r="B3" s="601" t="s">
        <v>0</v>
      </c>
      <c r="C3" s="602"/>
      <c r="D3" s="10"/>
      <c r="E3" s="11"/>
      <c r="F3" s="11"/>
      <c r="H3" s="603" t="s">
        <v>26</v>
      </c>
      <c r="I3" s="603"/>
      <c r="K3" s="165"/>
      <c r="L3" s="13"/>
      <c r="M3" s="14"/>
      <c r="P3" s="640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604" t="s">
        <v>2</v>
      </c>
      <c r="F4" s="605"/>
      <c r="H4" s="606" t="s">
        <v>3</v>
      </c>
      <c r="I4" s="607"/>
      <c r="J4" s="19"/>
      <c r="K4" s="166"/>
      <c r="L4" s="20"/>
      <c r="M4" s="21" t="s">
        <v>4</v>
      </c>
      <c r="N4" s="22" t="s">
        <v>5</v>
      </c>
      <c r="P4" s="641"/>
      <c r="Q4" s="286" t="s">
        <v>209</v>
      </c>
      <c r="W4" s="650" t="s">
        <v>124</v>
      </c>
      <c r="X4" s="650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650"/>
      <c r="X5" s="650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 t="shared" ref="P9:P14" si="2"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si="2"/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654">
        <f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655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656"/>
      <c r="X21" s="656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657"/>
      <c r="X23" s="657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657"/>
      <c r="X24" s="657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658"/>
      <c r="X25" s="658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658"/>
      <c r="X26" s="658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651"/>
      <c r="X27" s="652"/>
      <c r="Y27" s="653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652"/>
      <c r="X28" s="652"/>
      <c r="Y28" s="653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0"/>
      <c r="Y29" s="311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642">
        <f>SUM(M5:M35)</f>
        <v>321168.83</v>
      </c>
      <c r="N36" s="644">
        <f>SUM(N5:N35)</f>
        <v>467016</v>
      </c>
      <c r="O36" s="276"/>
      <c r="P36" s="277">
        <v>0</v>
      </c>
      <c r="Q36" s="646">
        <f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643"/>
      <c r="N37" s="645"/>
      <c r="O37" s="276"/>
      <c r="P37" s="277">
        <v>0</v>
      </c>
      <c r="Q37" s="647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619" t="s">
        <v>11</v>
      </c>
      <c r="I52" s="620"/>
      <c r="J52" s="100"/>
      <c r="K52" s="621">
        <f>I50+L50</f>
        <v>71911.59</v>
      </c>
      <c r="L52" s="648"/>
      <c r="M52" s="272"/>
      <c r="N52" s="272"/>
      <c r="P52" s="34"/>
      <c r="Q52" s="13"/>
    </row>
    <row r="53" spans="1:17" ht="16.5" thickBot="1" x14ac:dyDescent="0.3">
      <c r="D53" s="625" t="s">
        <v>12</v>
      </c>
      <c r="E53" s="625"/>
      <c r="F53" s="312">
        <f>F50-K52-C50</f>
        <v>-25952.549999999814</v>
      </c>
      <c r="I53" s="102"/>
      <c r="J53" s="103"/>
    </row>
    <row r="54" spans="1:17" ht="18.75" x14ac:dyDescent="0.3">
      <c r="D54" s="649" t="s">
        <v>95</v>
      </c>
      <c r="E54" s="649"/>
      <c r="F54" s="111">
        <v>-706888.38</v>
      </c>
      <c r="I54" s="626" t="s">
        <v>13</v>
      </c>
      <c r="J54" s="627"/>
      <c r="K54" s="628">
        <f>F56+F57+F58</f>
        <v>1308778.3500000003</v>
      </c>
      <c r="L54" s="628"/>
      <c r="M54" s="634" t="s">
        <v>211</v>
      </c>
      <c r="N54" s="635"/>
      <c r="O54" s="635"/>
      <c r="P54" s="635"/>
      <c r="Q54" s="636"/>
    </row>
    <row r="55" spans="1:17" ht="19.5" thickBot="1" x14ac:dyDescent="0.35">
      <c r="D55" s="313" t="s">
        <v>94</v>
      </c>
      <c r="E55" s="314"/>
      <c r="F55" s="315">
        <v>-164725.34</v>
      </c>
      <c r="I55" s="105"/>
      <c r="J55" s="106"/>
      <c r="K55" s="178"/>
      <c r="L55" s="107"/>
      <c r="M55" s="637"/>
      <c r="N55" s="638"/>
      <c r="O55" s="638"/>
      <c r="P55" s="638"/>
      <c r="Q55" s="639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630">
        <f>-C4</f>
        <v>-567389.35</v>
      </c>
      <c r="L56" s="631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608" t="s">
        <v>18</v>
      </c>
      <c r="E58" s="609"/>
      <c r="F58" s="113">
        <v>2142307.62</v>
      </c>
      <c r="I58" s="610" t="s">
        <v>198</v>
      </c>
      <c r="J58" s="611"/>
      <c r="K58" s="612">
        <f>K54+K56</f>
        <v>741389.00000000035</v>
      </c>
      <c r="L58" s="612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4:X5"/>
    <mergeCell ref="W27:X28"/>
    <mergeCell ref="Y27:Y28"/>
    <mergeCell ref="W19:W20"/>
    <mergeCell ref="W21:X21"/>
    <mergeCell ref="W23:X24"/>
    <mergeCell ref="W25:X25"/>
    <mergeCell ref="W26:X26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  <mergeCell ref="M54:Q55"/>
    <mergeCell ref="P3:P4"/>
    <mergeCell ref="M36:M37"/>
    <mergeCell ref="N36:N37"/>
    <mergeCell ref="Q36:Q37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A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67"/>
      <c r="M1" s="303"/>
      <c r="N1" s="304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8" t="s">
        <v>20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5"/>
      <c r="J3" s="306"/>
      <c r="K3" s="307"/>
      <c r="L3" s="369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0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0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0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0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0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0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0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0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0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0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0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0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0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0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0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0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0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0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0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0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0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0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0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0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0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0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0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0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0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0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0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0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5">
        <v>44536</v>
      </c>
      <c r="E36" s="263">
        <v>440783.04</v>
      </c>
      <c r="F36" s="364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0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0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0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0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0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0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0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0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659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660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A25" workbookViewId="0">
      <selection activeCell="E51" sqref="E5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597"/>
      <c r="C1" s="599" t="s">
        <v>208</v>
      </c>
      <c r="D1" s="600"/>
      <c r="E1" s="600"/>
      <c r="F1" s="600"/>
      <c r="G1" s="600"/>
      <c r="H1" s="600"/>
      <c r="I1" s="600"/>
      <c r="J1" s="600"/>
      <c r="K1" s="600"/>
      <c r="L1" s="600"/>
      <c r="M1" s="600"/>
    </row>
    <row r="2" spans="1:25" ht="16.5" thickBot="1" x14ac:dyDescent="0.3">
      <c r="B2" s="598"/>
      <c r="C2" s="3"/>
      <c r="H2" s="5"/>
      <c r="I2" s="6"/>
      <c r="J2" s="7"/>
      <c r="L2" s="8"/>
      <c r="M2" s="6"/>
      <c r="N2" s="9"/>
    </row>
    <row r="3" spans="1:25" ht="21.75" thickBot="1" x14ac:dyDescent="0.35">
      <c r="B3" s="601" t="s">
        <v>0</v>
      </c>
      <c r="C3" s="602"/>
      <c r="D3" s="10"/>
      <c r="E3" s="11"/>
      <c r="F3" s="11"/>
      <c r="H3" s="603" t="s">
        <v>26</v>
      </c>
      <c r="I3" s="603"/>
      <c r="K3" s="165"/>
      <c r="L3" s="13"/>
      <c r="M3" s="14"/>
      <c r="P3" s="640" t="s">
        <v>6</v>
      </c>
      <c r="R3" s="661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604" t="s">
        <v>2</v>
      </c>
      <c r="F4" s="605"/>
      <c r="H4" s="606" t="s">
        <v>3</v>
      </c>
      <c r="I4" s="607"/>
      <c r="J4" s="19"/>
      <c r="K4" s="166"/>
      <c r="L4" s="20"/>
      <c r="M4" s="21" t="s">
        <v>4</v>
      </c>
      <c r="N4" s="22" t="s">
        <v>5</v>
      </c>
      <c r="P4" s="641"/>
      <c r="Q4" s="322" t="s">
        <v>217</v>
      </c>
      <c r="R4" s="662"/>
      <c r="W4" s="650" t="s">
        <v>124</v>
      </c>
      <c r="X4" s="650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8"/>
      <c r="P5" s="34">
        <f>N5+M5+L5+I5+C5</f>
        <v>68001.14</v>
      </c>
      <c r="Q5" s="325">
        <f>P5-F5</f>
        <v>0.13999999999941792</v>
      </c>
      <c r="R5" s="323">
        <v>1146750</v>
      </c>
      <c r="S5" s="324" t="s">
        <v>213</v>
      </c>
      <c r="W5" s="650"/>
      <c r="X5" s="650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5">
        <f>P6-F6</f>
        <v>0</v>
      </c>
      <c r="R6" s="319">
        <v>0</v>
      </c>
      <c r="S6" s="147"/>
      <c r="U6" s="326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7">
        <f t="shared" ref="Q7:Q35" si="1">P7-F7</f>
        <v>0.30000000000291038</v>
      </c>
      <c r="R7" s="319">
        <v>0</v>
      </c>
      <c r="S7" s="147"/>
      <c r="U7" s="327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7">
        <f t="shared" si="1"/>
        <v>0.20999999999185093</v>
      </c>
      <c r="R8" s="319">
        <v>0</v>
      </c>
      <c r="S8" s="147"/>
      <c r="U8" s="327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 t="shared" ref="P9:P14" si="2">N9+M9+L9+I9+C9</f>
        <v>66009</v>
      </c>
      <c r="Q9" s="317">
        <f t="shared" si="1"/>
        <v>0</v>
      </c>
      <c r="R9" s="319">
        <v>0</v>
      </c>
      <c r="S9" s="147"/>
      <c r="U9" s="327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si="2"/>
        <v>71912.61</v>
      </c>
      <c r="Q10" s="317">
        <f t="shared" si="1"/>
        <v>-0.38999999999941792</v>
      </c>
      <c r="R10" s="319">
        <v>0</v>
      </c>
      <c r="S10" s="147"/>
      <c r="U10" s="327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7">
        <f t="shared" si="1"/>
        <v>0</v>
      </c>
      <c r="R11" s="319">
        <v>0</v>
      </c>
      <c r="S11" s="147"/>
      <c r="U11" s="327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8" t="s">
        <v>225</v>
      </c>
      <c r="P12" s="39">
        <f t="shared" si="2"/>
        <v>69062</v>
      </c>
      <c r="Q12" s="317">
        <f t="shared" si="1"/>
        <v>0</v>
      </c>
      <c r="R12" s="319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7">
        <f t="shared" si="1"/>
        <v>0</v>
      </c>
      <c r="R13" s="319">
        <v>0</v>
      </c>
      <c r="S13" s="316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7">
        <f t="shared" si="1"/>
        <v>-0.19999999999708962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7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0" t="s">
        <v>229</v>
      </c>
      <c r="P16" s="39">
        <f t="shared" si="0"/>
        <v>142443</v>
      </c>
      <c r="Q16" s="317">
        <f>P16-F16-49100</f>
        <v>-150</v>
      </c>
      <c r="R16" s="329">
        <v>49100</v>
      </c>
      <c r="S16" s="331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5">
        <f t="shared" si="1"/>
        <v>150.5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7">
        <f t="shared" si="1"/>
        <v>-601.5</v>
      </c>
      <c r="R19" s="319">
        <v>0</v>
      </c>
      <c r="S19" s="147"/>
      <c r="W19" s="654">
        <f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7">
        <f t="shared" si="1"/>
        <v>0</v>
      </c>
      <c r="R20" s="319">
        <v>0</v>
      </c>
      <c r="S20" s="147"/>
      <c r="W20" s="655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7">
        <f t="shared" si="1"/>
        <v>0</v>
      </c>
      <c r="R21" s="319">
        <v>0</v>
      </c>
      <c r="S21" s="147"/>
      <c r="W21" s="656"/>
      <c r="X21" s="656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7">
        <f t="shared" si="1"/>
        <v>0</v>
      </c>
      <c r="R23" s="319">
        <v>0</v>
      </c>
      <c r="S23" s="147"/>
      <c r="W23" s="657"/>
      <c r="X23" s="657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2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3" t="s">
        <v>236</v>
      </c>
      <c r="K24" s="173"/>
      <c r="L24" s="52"/>
      <c r="M24" s="334">
        <v>0</v>
      </c>
      <c r="N24" s="335">
        <v>0</v>
      </c>
      <c r="P24" s="39">
        <f t="shared" si="0"/>
        <v>0</v>
      </c>
      <c r="Q24" s="317">
        <f t="shared" si="1"/>
        <v>0</v>
      </c>
      <c r="R24" s="319">
        <v>0</v>
      </c>
      <c r="S24" s="147"/>
      <c r="W24" s="657"/>
      <c r="X24" s="657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7">
        <f t="shared" si="1"/>
        <v>0</v>
      </c>
      <c r="R25" s="319">
        <v>0</v>
      </c>
      <c r="W25" s="658"/>
      <c r="X25" s="658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7">
        <f t="shared" si="1"/>
        <v>0</v>
      </c>
      <c r="R26" s="319">
        <v>0</v>
      </c>
      <c r="W26" s="658"/>
      <c r="X26" s="658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7">
        <f t="shared" si="1"/>
        <v>0</v>
      </c>
      <c r="R27" s="319">
        <v>0</v>
      </c>
      <c r="U27" s="1">
        <v>4102</v>
      </c>
      <c r="V27" t="s">
        <v>240</v>
      </c>
      <c r="W27" s="651"/>
      <c r="X27" s="652"/>
      <c r="Y27" s="653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32">
        <f>5253+45500</f>
        <v>50753</v>
      </c>
      <c r="N28" s="33">
        <v>64936</v>
      </c>
      <c r="P28" s="34">
        <f t="shared" si="0"/>
        <v>131824</v>
      </c>
      <c r="Q28" s="337">
        <f t="shared" si="1"/>
        <v>3</v>
      </c>
      <c r="R28" s="319">
        <v>0</v>
      </c>
      <c r="U28" s="1">
        <v>60</v>
      </c>
      <c r="V28" t="s">
        <v>240</v>
      </c>
      <c r="W28" s="652"/>
      <c r="X28" s="652"/>
      <c r="Y28" s="653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7">
        <f t="shared" si="1"/>
        <v>0</v>
      </c>
      <c r="R29" s="319">
        <v>0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O30">
        <v>0</v>
      </c>
      <c r="P30" s="34">
        <f t="shared" si="0"/>
        <v>139265</v>
      </c>
      <c r="Q30" s="385">
        <f t="shared" si="1"/>
        <v>-13665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4" t="s">
        <v>236</v>
      </c>
      <c r="E31" s="338">
        <v>44562</v>
      </c>
      <c r="F31" s="345">
        <v>0</v>
      </c>
      <c r="G31" s="339"/>
      <c r="H31" s="340">
        <v>44562</v>
      </c>
      <c r="I31" s="346">
        <v>0</v>
      </c>
      <c r="J31" s="341" t="s">
        <v>236</v>
      </c>
      <c r="K31" s="342"/>
      <c r="L31" s="343"/>
      <c r="M31" s="334">
        <v>0</v>
      </c>
      <c r="N31" s="335">
        <v>0</v>
      </c>
      <c r="P31" s="34">
        <f t="shared" si="0"/>
        <v>0</v>
      </c>
      <c r="Q31" s="287">
        <f t="shared" si="1"/>
        <v>0</v>
      </c>
      <c r="R31" s="321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315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642">
        <f>SUM(M5:M35)</f>
        <v>1077791.3</v>
      </c>
      <c r="N36" s="644">
        <f>SUM(N5:N35)</f>
        <v>936398</v>
      </c>
      <c r="O36" s="276"/>
      <c r="P36" s="277">
        <v>0</v>
      </c>
      <c r="Q36" s="646">
        <f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643"/>
      <c r="N37" s="645"/>
      <c r="O37" s="276"/>
      <c r="P37" s="277">
        <v>0</v>
      </c>
      <c r="Q37" s="647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619" t="s">
        <v>11</v>
      </c>
      <c r="I52" s="620"/>
      <c r="J52" s="100"/>
      <c r="K52" s="621">
        <f>I50+L50</f>
        <v>90750.75</v>
      </c>
      <c r="L52" s="648"/>
      <c r="M52" s="272"/>
      <c r="N52" s="272"/>
      <c r="P52" s="34"/>
      <c r="Q52" s="13"/>
    </row>
    <row r="53" spans="1:17" ht="16.5" thickBot="1" x14ac:dyDescent="0.3">
      <c r="D53" s="625" t="s">
        <v>12</v>
      </c>
      <c r="E53" s="625"/>
      <c r="F53" s="312">
        <f>F50-K52-C50</f>
        <v>1739855.03</v>
      </c>
      <c r="I53" s="102"/>
      <c r="J53" s="103"/>
    </row>
    <row r="54" spans="1:17" ht="18.75" x14ac:dyDescent="0.3">
      <c r="D54" s="649" t="s">
        <v>95</v>
      </c>
      <c r="E54" s="649"/>
      <c r="F54" s="111">
        <v>-1567070.66</v>
      </c>
      <c r="I54" s="626" t="s">
        <v>13</v>
      </c>
      <c r="J54" s="627"/>
      <c r="K54" s="628">
        <f>F56+F57+F58</f>
        <v>703192.8600000001</v>
      </c>
      <c r="L54" s="628"/>
      <c r="M54" s="634" t="s">
        <v>211</v>
      </c>
      <c r="N54" s="635"/>
      <c r="O54" s="635"/>
      <c r="P54" s="635"/>
      <c r="Q54" s="636"/>
    </row>
    <row r="55" spans="1:17" ht="19.5" thickBot="1" x14ac:dyDescent="0.35">
      <c r="D55" s="313" t="s">
        <v>94</v>
      </c>
      <c r="E55" s="314"/>
      <c r="F55" s="315">
        <v>-590104.74</v>
      </c>
      <c r="I55" s="105"/>
      <c r="J55" s="106"/>
      <c r="K55" s="178"/>
      <c r="L55" s="107"/>
      <c r="M55" s="637"/>
      <c r="N55" s="638"/>
      <c r="O55" s="638"/>
      <c r="P55" s="638"/>
      <c r="Q55" s="639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630">
        <f>-C4</f>
        <v>-567389.35</v>
      </c>
      <c r="L56" s="631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608" t="s">
        <v>18</v>
      </c>
      <c r="E58" s="609"/>
      <c r="F58" s="113">
        <v>754143.23</v>
      </c>
      <c r="I58" s="610" t="s">
        <v>198</v>
      </c>
      <c r="J58" s="611"/>
      <c r="K58" s="612">
        <f>K54+K56</f>
        <v>135803.51000000013</v>
      </c>
      <c r="L58" s="612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D53:E53"/>
    <mergeCell ref="D54:E54"/>
    <mergeCell ref="I54:J54"/>
    <mergeCell ref="K54:L54"/>
    <mergeCell ref="M54:Q55"/>
    <mergeCell ref="K56:L56"/>
    <mergeCell ref="W27:X28"/>
    <mergeCell ref="Y27:Y28"/>
    <mergeCell ref="M36:M37"/>
    <mergeCell ref="N36:N37"/>
    <mergeCell ref="Q36:Q37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B1:B2"/>
    <mergeCell ref="C1:M1"/>
    <mergeCell ref="B3:C3"/>
    <mergeCell ref="H3:I3"/>
    <mergeCell ref="P3:P4"/>
    <mergeCell ref="E4:F4"/>
    <mergeCell ref="H4:I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A19" workbookViewId="0">
      <selection activeCell="F85" sqref="F8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1"/>
      <c r="E1" s="292"/>
      <c r="F1" s="378" t="s">
        <v>314</v>
      </c>
      <c r="I1" s="301" t="s">
        <v>91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54" t="s">
        <v>195</v>
      </c>
      <c r="B3" s="355" t="s">
        <v>266</v>
      </c>
      <c r="C3" s="96">
        <v>7068.6</v>
      </c>
      <c r="D3" s="372">
        <v>44560</v>
      </c>
      <c r="E3" s="96">
        <v>7068.6</v>
      </c>
      <c r="F3" s="183">
        <f>C3-E3</f>
        <v>0</v>
      </c>
      <c r="I3" s="348" t="s">
        <v>195</v>
      </c>
      <c r="J3" s="347">
        <v>7950</v>
      </c>
      <c r="K3" s="349">
        <v>563.79999999999995</v>
      </c>
      <c r="L3" s="399">
        <v>44580</v>
      </c>
      <c r="M3" s="401">
        <v>563.79999999999995</v>
      </c>
      <c r="N3" s="183">
        <f>K3-M3</f>
        <v>0</v>
      </c>
    </row>
    <row r="4" spans="1:14" ht="18.75" x14ac:dyDescent="0.3">
      <c r="A4" s="354" t="s">
        <v>195</v>
      </c>
      <c r="B4" s="355" t="s">
        <v>267</v>
      </c>
      <c r="C4" s="96">
        <v>11495.4</v>
      </c>
      <c r="D4" s="372">
        <v>44560</v>
      </c>
      <c r="E4" s="96">
        <v>11495.4</v>
      </c>
      <c r="F4" s="137">
        <f>F3+C4-E4</f>
        <v>0</v>
      </c>
      <c r="G4" s="138"/>
      <c r="I4" s="348" t="s">
        <v>195</v>
      </c>
      <c r="J4" s="347">
        <v>7944</v>
      </c>
      <c r="K4" s="349">
        <v>2032.08</v>
      </c>
      <c r="L4" s="400">
        <v>44580</v>
      </c>
      <c r="M4" s="401">
        <v>2032.08</v>
      </c>
      <c r="N4" s="137">
        <f>N3+K4-M4</f>
        <v>0</v>
      </c>
    </row>
    <row r="5" spans="1:14" ht="15.75" x14ac:dyDescent="0.25">
      <c r="A5" s="354" t="s">
        <v>247</v>
      </c>
      <c r="B5" s="355" t="s">
        <v>268</v>
      </c>
      <c r="C5" s="96">
        <v>276755.14</v>
      </c>
      <c r="D5" s="372">
        <v>44560</v>
      </c>
      <c r="E5" s="96">
        <v>276755.14</v>
      </c>
      <c r="F5" s="137">
        <f t="shared" ref="F5:F68" si="0">F4+C5-E5</f>
        <v>0</v>
      </c>
      <c r="I5" s="348" t="s">
        <v>195</v>
      </c>
      <c r="J5" s="347">
        <v>7952</v>
      </c>
      <c r="K5" s="349">
        <v>1756.48</v>
      </c>
      <c r="L5" s="400">
        <v>44580</v>
      </c>
      <c r="M5" s="401">
        <v>1756.48</v>
      </c>
      <c r="N5" s="137">
        <f t="shared" ref="N5:N56" si="1">N4+K5-M5</f>
        <v>0</v>
      </c>
    </row>
    <row r="6" spans="1:14" ht="15.75" x14ac:dyDescent="0.25">
      <c r="A6" s="354" t="s">
        <v>247</v>
      </c>
      <c r="B6" s="355" t="s">
        <v>269</v>
      </c>
      <c r="C6" s="96">
        <v>62881.4</v>
      </c>
      <c r="D6" s="372">
        <v>44560</v>
      </c>
      <c r="E6" s="96">
        <v>62881.4</v>
      </c>
      <c r="F6" s="137">
        <f t="shared" si="0"/>
        <v>0</v>
      </c>
      <c r="I6" s="348" t="s">
        <v>195</v>
      </c>
      <c r="J6" s="347">
        <v>7951</v>
      </c>
      <c r="K6" s="349">
        <v>7340.96</v>
      </c>
      <c r="L6" s="400">
        <v>44580</v>
      </c>
      <c r="M6" s="401">
        <v>7340.96</v>
      </c>
      <c r="N6" s="137">
        <f t="shared" si="1"/>
        <v>0</v>
      </c>
    </row>
    <row r="7" spans="1:14" ht="15.75" x14ac:dyDescent="0.25">
      <c r="A7" s="354" t="s">
        <v>248</v>
      </c>
      <c r="B7" s="355" t="s">
        <v>270</v>
      </c>
      <c r="C7" s="96">
        <v>7868.1</v>
      </c>
      <c r="D7" s="372">
        <v>44560</v>
      </c>
      <c r="E7" s="96">
        <v>7868.1</v>
      </c>
      <c r="F7" s="137">
        <f t="shared" si="0"/>
        <v>0</v>
      </c>
      <c r="I7" s="348" t="s">
        <v>247</v>
      </c>
      <c r="J7" s="347">
        <v>7956</v>
      </c>
      <c r="K7" s="349">
        <v>1744.64</v>
      </c>
      <c r="L7" s="400">
        <v>44580</v>
      </c>
      <c r="M7" s="401">
        <v>1744.64</v>
      </c>
      <c r="N7" s="137">
        <f t="shared" si="1"/>
        <v>0</v>
      </c>
    </row>
    <row r="8" spans="1:14" ht="15.75" x14ac:dyDescent="0.25">
      <c r="A8" s="354" t="s">
        <v>249</v>
      </c>
      <c r="B8" s="355" t="s">
        <v>271</v>
      </c>
      <c r="C8" s="96">
        <v>22425</v>
      </c>
      <c r="D8" s="372">
        <v>44560</v>
      </c>
      <c r="E8" s="96">
        <v>22425</v>
      </c>
      <c r="F8" s="137">
        <f t="shared" si="0"/>
        <v>0</v>
      </c>
      <c r="I8" s="348" t="s">
        <v>248</v>
      </c>
      <c r="J8" s="347">
        <v>7961</v>
      </c>
      <c r="K8" s="349">
        <v>6212.5</v>
      </c>
      <c r="L8" s="400">
        <v>44580</v>
      </c>
      <c r="M8" s="401">
        <v>6212.5</v>
      </c>
      <c r="N8" s="137">
        <f t="shared" si="1"/>
        <v>0</v>
      </c>
    </row>
    <row r="9" spans="1:14" ht="15.75" x14ac:dyDescent="0.25">
      <c r="A9" s="354" t="s">
        <v>250</v>
      </c>
      <c r="B9" s="355" t="s">
        <v>272</v>
      </c>
      <c r="C9" s="96">
        <v>46727.4</v>
      </c>
      <c r="D9" s="372">
        <v>44560</v>
      </c>
      <c r="E9" s="96">
        <v>46727.4</v>
      </c>
      <c r="F9" s="137">
        <f t="shared" si="0"/>
        <v>0</v>
      </c>
      <c r="I9" s="348" t="s">
        <v>249</v>
      </c>
      <c r="J9" s="347">
        <v>7971</v>
      </c>
      <c r="K9" s="349">
        <v>11903.89</v>
      </c>
      <c r="L9" s="400">
        <v>44580</v>
      </c>
      <c r="M9" s="401">
        <v>11903.89</v>
      </c>
      <c r="N9" s="137">
        <f t="shared" si="1"/>
        <v>0</v>
      </c>
    </row>
    <row r="10" spans="1:14" ht="18.75" x14ac:dyDescent="0.3">
      <c r="A10" s="354" t="s">
        <v>250</v>
      </c>
      <c r="B10" s="355" t="s">
        <v>273</v>
      </c>
      <c r="C10" s="96">
        <v>8457.5</v>
      </c>
      <c r="D10" s="372">
        <v>44560</v>
      </c>
      <c r="E10" s="96">
        <v>8457.5</v>
      </c>
      <c r="F10" s="137">
        <f t="shared" si="0"/>
        <v>0</v>
      </c>
      <c r="G10" s="138"/>
      <c r="I10" s="348" t="s">
        <v>249</v>
      </c>
      <c r="J10" s="347">
        <v>7972</v>
      </c>
      <c r="K10" s="349">
        <v>36560.6</v>
      </c>
      <c r="L10" s="400">
        <v>44580</v>
      </c>
      <c r="M10" s="401">
        <v>36560.6</v>
      </c>
      <c r="N10" s="137">
        <f t="shared" si="1"/>
        <v>0</v>
      </c>
    </row>
    <row r="11" spans="1:14" ht="15.75" x14ac:dyDescent="0.25">
      <c r="A11" s="354" t="s">
        <v>251</v>
      </c>
      <c r="B11" s="355" t="s">
        <v>274</v>
      </c>
      <c r="C11" s="96">
        <v>112011.05</v>
      </c>
      <c r="D11" s="372">
        <v>44560</v>
      </c>
      <c r="E11" s="96">
        <v>112011.05</v>
      </c>
      <c r="F11" s="137">
        <f t="shared" si="0"/>
        <v>0</v>
      </c>
      <c r="I11" s="348" t="s">
        <v>250</v>
      </c>
      <c r="J11" s="347">
        <v>7975</v>
      </c>
      <c r="K11" s="349">
        <v>3349.24</v>
      </c>
      <c r="L11" s="400">
        <v>44580</v>
      </c>
      <c r="M11" s="401">
        <v>3349.24</v>
      </c>
      <c r="N11" s="137">
        <f t="shared" si="1"/>
        <v>0</v>
      </c>
    </row>
    <row r="12" spans="1:14" ht="15.75" x14ac:dyDescent="0.25">
      <c r="A12" s="354" t="s">
        <v>275</v>
      </c>
      <c r="B12" s="355" t="s">
        <v>276</v>
      </c>
      <c r="C12" s="96">
        <v>5206.45</v>
      </c>
      <c r="D12" s="372">
        <v>44560</v>
      </c>
      <c r="E12" s="96">
        <v>5206.45</v>
      </c>
      <c r="F12" s="137">
        <f t="shared" si="0"/>
        <v>0</v>
      </c>
      <c r="I12" s="348" t="s">
        <v>250</v>
      </c>
      <c r="J12" s="347">
        <v>7979</v>
      </c>
      <c r="K12" s="349">
        <v>2755.76</v>
      </c>
      <c r="L12" s="400">
        <v>44580</v>
      </c>
      <c r="M12" s="401">
        <v>2755.76</v>
      </c>
      <c r="N12" s="137">
        <f t="shared" si="1"/>
        <v>0</v>
      </c>
    </row>
    <row r="13" spans="1:14" ht="15.75" x14ac:dyDescent="0.25">
      <c r="A13" s="354" t="s">
        <v>252</v>
      </c>
      <c r="B13" s="355" t="s">
        <v>277</v>
      </c>
      <c r="C13" s="96">
        <v>38821.5</v>
      </c>
      <c r="D13" s="372">
        <v>44560</v>
      </c>
      <c r="E13" s="96">
        <v>38821.5</v>
      </c>
      <c r="F13" s="137">
        <f t="shared" si="0"/>
        <v>0</v>
      </c>
      <c r="I13" s="348" t="s">
        <v>251</v>
      </c>
      <c r="J13" s="347">
        <v>7984</v>
      </c>
      <c r="K13" s="349">
        <v>19135.14</v>
      </c>
      <c r="L13" s="400">
        <v>44580</v>
      </c>
      <c r="M13" s="401">
        <v>19135.14</v>
      </c>
      <c r="N13" s="137">
        <f t="shared" si="1"/>
        <v>0</v>
      </c>
    </row>
    <row r="14" spans="1:14" ht="15.75" x14ac:dyDescent="0.25">
      <c r="A14" s="354" t="s">
        <v>252</v>
      </c>
      <c r="B14" s="355" t="s">
        <v>278</v>
      </c>
      <c r="C14" s="96">
        <v>14425.6</v>
      </c>
      <c r="D14" s="372">
        <v>44560</v>
      </c>
      <c r="E14" s="96">
        <v>14425.6</v>
      </c>
      <c r="F14" s="137">
        <f t="shared" si="0"/>
        <v>0</v>
      </c>
      <c r="I14" s="348" t="s">
        <v>252</v>
      </c>
      <c r="J14" s="347">
        <v>7996</v>
      </c>
      <c r="K14" s="349">
        <v>4500.16</v>
      </c>
      <c r="L14" s="400">
        <v>44580</v>
      </c>
      <c r="M14" s="401">
        <v>4500.16</v>
      </c>
      <c r="N14" s="137">
        <f t="shared" si="1"/>
        <v>0</v>
      </c>
    </row>
    <row r="15" spans="1:14" ht="15.75" x14ac:dyDescent="0.25">
      <c r="A15" s="354" t="s">
        <v>252</v>
      </c>
      <c r="B15" s="355" t="s">
        <v>279</v>
      </c>
      <c r="C15" s="96">
        <v>9421.7000000000007</v>
      </c>
      <c r="D15" s="372">
        <v>44560</v>
      </c>
      <c r="E15" s="96">
        <v>9421.7000000000007</v>
      </c>
      <c r="F15" s="137">
        <f t="shared" si="0"/>
        <v>0</v>
      </c>
      <c r="I15" s="348" t="s">
        <v>252</v>
      </c>
      <c r="J15" s="347">
        <v>8002</v>
      </c>
      <c r="K15" s="349">
        <v>7744</v>
      </c>
      <c r="L15" s="400">
        <v>44580</v>
      </c>
      <c r="M15" s="401">
        <v>7744</v>
      </c>
      <c r="N15" s="137">
        <f t="shared" si="1"/>
        <v>0</v>
      </c>
    </row>
    <row r="16" spans="1:14" ht="15.75" x14ac:dyDescent="0.25">
      <c r="A16" s="354" t="s">
        <v>252</v>
      </c>
      <c r="B16" s="355" t="s">
        <v>280</v>
      </c>
      <c r="C16" s="96">
        <v>9069.5</v>
      </c>
      <c r="D16" s="372">
        <v>44560</v>
      </c>
      <c r="E16" s="96">
        <v>9069.5</v>
      </c>
      <c r="F16" s="137">
        <f t="shared" si="0"/>
        <v>0</v>
      </c>
      <c r="I16" s="348" t="s">
        <v>253</v>
      </c>
      <c r="J16" s="347">
        <v>8009</v>
      </c>
      <c r="K16" s="349">
        <v>933.1</v>
      </c>
      <c r="L16" s="400">
        <v>44580</v>
      </c>
      <c r="M16" s="401">
        <v>933.1</v>
      </c>
      <c r="N16" s="137">
        <f t="shared" si="1"/>
        <v>0</v>
      </c>
    </row>
    <row r="17" spans="1:14" ht="15.75" x14ac:dyDescent="0.25">
      <c r="A17" s="354" t="s">
        <v>252</v>
      </c>
      <c r="B17" s="355" t="s">
        <v>281</v>
      </c>
      <c r="C17" s="96">
        <v>60</v>
      </c>
      <c r="D17" s="372">
        <v>44560</v>
      </c>
      <c r="E17" s="96">
        <v>60</v>
      </c>
      <c r="F17" s="137">
        <f t="shared" si="0"/>
        <v>0</v>
      </c>
      <c r="I17" s="348" t="s">
        <v>253</v>
      </c>
      <c r="J17" s="347">
        <v>8011</v>
      </c>
      <c r="K17" s="349">
        <v>2610</v>
      </c>
      <c r="L17" s="400">
        <v>44580</v>
      </c>
      <c r="M17" s="401">
        <v>2610</v>
      </c>
      <c r="N17" s="137">
        <f t="shared" si="1"/>
        <v>0</v>
      </c>
    </row>
    <row r="18" spans="1:14" ht="15.75" x14ac:dyDescent="0.25">
      <c r="A18" s="354" t="s">
        <v>252</v>
      </c>
      <c r="B18" s="355" t="s">
        <v>282</v>
      </c>
      <c r="C18" s="96">
        <v>16107.5</v>
      </c>
      <c r="D18" s="372">
        <v>44560</v>
      </c>
      <c r="E18" s="96">
        <v>16107.5</v>
      </c>
      <c r="F18" s="137">
        <f t="shared" si="0"/>
        <v>0</v>
      </c>
      <c r="I18" s="348" t="s">
        <v>254</v>
      </c>
      <c r="J18" s="347">
        <v>8019</v>
      </c>
      <c r="K18" s="349">
        <v>3554.2</v>
      </c>
      <c r="L18" s="400">
        <v>44580</v>
      </c>
      <c r="M18" s="401">
        <v>3554.2</v>
      </c>
      <c r="N18" s="137">
        <f t="shared" si="1"/>
        <v>0</v>
      </c>
    </row>
    <row r="19" spans="1:14" ht="15.75" x14ac:dyDescent="0.25">
      <c r="A19" s="354" t="s">
        <v>253</v>
      </c>
      <c r="B19" s="355" t="s">
        <v>283</v>
      </c>
      <c r="C19" s="96">
        <v>45709</v>
      </c>
      <c r="D19" s="372">
        <v>44560</v>
      </c>
      <c r="E19" s="96">
        <v>45709</v>
      </c>
      <c r="F19" s="137">
        <f t="shared" si="0"/>
        <v>0</v>
      </c>
      <c r="I19" s="348" t="s">
        <v>254</v>
      </c>
      <c r="J19" s="347">
        <v>8024</v>
      </c>
      <c r="K19" s="349">
        <v>92636.2</v>
      </c>
      <c r="L19" s="400">
        <v>44580</v>
      </c>
      <c r="M19" s="401">
        <v>92636.2</v>
      </c>
      <c r="N19" s="137">
        <f t="shared" si="1"/>
        <v>0</v>
      </c>
    </row>
    <row r="20" spans="1:14" ht="15.75" x14ac:dyDescent="0.25">
      <c r="A20" s="354" t="s">
        <v>254</v>
      </c>
      <c r="B20" s="355" t="s">
        <v>284</v>
      </c>
      <c r="C20" s="96">
        <v>0</v>
      </c>
      <c r="D20" s="372" t="s">
        <v>310</v>
      </c>
      <c r="E20" s="96">
        <v>0</v>
      </c>
      <c r="F20" s="137">
        <f t="shared" si="0"/>
        <v>0</v>
      </c>
      <c r="I20" s="348" t="s">
        <v>255</v>
      </c>
      <c r="J20" s="347">
        <v>8027</v>
      </c>
      <c r="K20" s="349">
        <v>9327.4</v>
      </c>
      <c r="L20" s="400">
        <v>44580</v>
      </c>
      <c r="M20" s="401">
        <v>9327.4</v>
      </c>
      <c r="N20" s="137">
        <f t="shared" si="1"/>
        <v>0</v>
      </c>
    </row>
    <row r="21" spans="1:14" ht="15.75" x14ac:dyDescent="0.25">
      <c r="A21" s="354" t="s">
        <v>254</v>
      </c>
      <c r="B21" s="355" t="s">
        <v>285</v>
      </c>
      <c r="C21" s="96">
        <v>58310.5</v>
      </c>
      <c r="D21" s="372">
        <v>44560</v>
      </c>
      <c r="E21" s="96">
        <v>58310.5</v>
      </c>
      <c r="F21" s="137">
        <f t="shared" si="0"/>
        <v>0</v>
      </c>
      <c r="I21" s="348" t="s">
        <v>255</v>
      </c>
      <c r="J21" s="347">
        <v>8028</v>
      </c>
      <c r="K21" s="349">
        <v>428.16</v>
      </c>
      <c r="L21" s="400">
        <v>44580</v>
      </c>
      <c r="M21" s="401">
        <v>428.16</v>
      </c>
      <c r="N21" s="137">
        <f t="shared" si="1"/>
        <v>0</v>
      </c>
    </row>
    <row r="22" spans="1:14" ht="18.75" x14ac:dyDescent="0.3">
      <c r="A22" s="354" t="s">
        <v>254</v>
      </c>
      <c r="B22" s="355" t="s">
        <v>286</v>
      </c>
      <c r="C22" s="96">
        <v>2844.3</v>
      </c>
      <c r="D22" s="372">
        <v>44560</v>
      </c>
      <c r="E22" s="96">
        <v>2844.3</v>
      </c>
      <c r="F22" s="137">
        <f t="shared" si="0"/>
        <v>0</v>
      </c>
      <c r="G22" s="138"/>
      <c r="I22" s="348" t="s">
        <v>256</v>
      </c>
      <c r="J22" s="347">
        <v>8044</v>
      </c>
      <c r="K22" s="349">
        <v>2709.6</v>
      </c>
      <c r="L22" s="400">
        <v>44580</v>
      </c>
      <c r="M22" s="401">
        <v>2709.6</v>
      </c>
      <c r="N22" s="137">
        <f t="shared" si="1"/>
        <v>0</v>
      </c>
    </row>
    <row r="23" spans="1:14" ht="15.75" x14ac:dyDescent="0.25">
      <c r="A23" s="354" t="s">
        <v>255</v>
      </c>
      <c r="B23" s="355" t="s">
        <v>287</v>
      </c>
      <c r="C23" s="96">
        <v>60433.2</v>
      </c>
      <c r="D23" s="372">
        <v>44560</v>
      </c>
      <c r="E23" s="96">
        <v>60433.2</v>
      </c>
      <c r="F23" s="137">
        <f t="shared" si="0"/>
        <v>0</v>
      </c>
      <c r="I23" s="348" t="s">
        <v>257</v>
      </c>
      <c r="J23" s="347">
        <v>8050</v>
      </c>
      <c r="K23" s="349">
        <v>1768.48</v>
      </c>
      <c r="L23" s="400">
        <v>44580</v>
      </c>
      <c r="M23" s="401">
        <v>1768.48</v>
      </c>
      <c r="N23" s="137">
        <f t="shared" si="1"/>
        <v>0</v>
      </c>
    </row>
    <row r="24" spans="1:14" ht="15.75" x14ac:dyDescent="0.25">
      <c r="A24" s="354" t="s">
        <v>256</v>
      </c>
      <c r="B24" s="355" t="s">
        <v>288</v>
      </c>
      <c r="C24" s="96">
        <v>78786.3</v>
      </c>
      <c r="D24" s="372">
        <v>44560</v>
      </c>
      <c r="E24" s="96">
        <v>78786.3</v>
      </c>
      <c r="F24" s="137">
        <f t="shared" si="0"/>
        <v>0</v>
      </c>
      <c r="I24" s="348" t="s">
        <v>257</v>
      </c>
      <c r="J24" s="347">
        <v>8056</v>
      </c>
      <c r="K24" s="349">
        <v>45385.8</v>
      </c>
      <c r="L24" s="400">
        <v>44580</v>
      </c>
      <c r="M24" s="401">
        <v>45385.8</v>
      </c>
      <c r="N24" s="137">
        <f t="shared" si="1"/>
        <v>0</v>
      </c>
    </row>
    <row r="25" spans="1:14" ht="15.75" x14ac:dyDescent="0.25">
      <c r="A25" s="354" t="s">
        <v>257</v>
      </c>
      <c r="B25" s="355" t="s">
        <v>289</v>
      </c>
      <c r="C25" s="96">
        <v>36160.1</v>
      </c>
      <c r="D25" s="372">
        <v>44560</v>
      </c>
      <c r="E25" s="96">
        <v>36160.1</v>
      </c>
      <c r="F25" s="137">
        <f t="shared" si="0"/>
        <v>0</v>
      </c>
      <c r="I25" s="348" t="s">
        <v>258</v>
      </c>
      <c r="J25" s="347">
        <v>8065</v>
      </c>
      <c r="K25" s="349">
        <v>6545.88</v>
      </c>
      <c r="L25" s="400">
        <v>44580</v>
      </c>
      <c r="M25" s="401">
        <v>6545.88</v>
      </c>
      <c r="N25" s="137">
        <f t="shared" si="1"/>
        <v>0</v>
      </c>
    </row>
    <row r="26" spans="1:14" ht="15.75" x14ac:dyDescent="0.25">
      <c r="A26" s="354" t="s">
        <v>257</v>
      </c>
      <c r="B26" s="355" t="s">
        <v>290</v>
      </c>
      <c r="C26" s="96">
        <v>2104.4</v>
      </c>
      <c r="D26" s="372">
        <v>44560</v>
      </c>
      <c r="E26" s="96">
        <v>2104.4</v>
      </c>
      <c r="F26" s="137">
        <f t="shared" si="0"/>
        <v>0</v>
      </c>
      <c r="I26" s="348" t="s">
        <v>258</v>
      </c>
      <c r="J26" s="347">
        <v>8073</v>
      </c>
      <c r="K26" s="349">
        <v>7998.1</v>
      </c>
      <c r="L26" s="400">
        <v>44580</v>
      </c>
      <c r="M26" s="401">
        <v>7998.1</v>
      </c>
      <c r="N26" s="137">
        <f t="shared" si="1"/>
        <v>0</v>
      </c>
    </row>
    <row r="27" spans="1:14" ht="15.75" x14ac:dyDescent="0.25">
      <c r="A27" s="354" t="s">
        <v>258</v>
      </c>
      <c r="B27" s="355" t="s">
        <v>291</v>
      </c>
      <c r="C27" s="96">
        <v>634.5</v>
      </c>
      <c r="D27" s="376">
        <v>44550</v>
      </c>
      <c r="E27" s="96">
        <v>634.5</v>
      </c>
      <c r="F27" s="137">
        <f t="shared" si="0"/>
        <v>0</v>
      </c>
      <c r="I27" s="348" t="s">
        <v>259</v>
      </c>
      <c r="J27" s="347">
        <v>8080</v>
      </c>
      <c r="K27" s="349">
        <v>887.52</v>
      </c>
      <c r="L27" s="400">
        <v>44580</v>
      </c>
      <c r="M27" s="401">
        <v>887.52</v>
      </c>
      <c r="N27" s="137">
        <f t="shared" si="1"/>
        <v>0</v>
      </c>
    </row>
    <row r="28" spans="1:14" ht="15.75" x14ac:dyDescent="0.25">
      <c r="A28" s="354" t="s">
        <v>258</v>
      </c>
      <c r="B28" s="355" t="s">
        <v>292</v>
      </c>
      <c r="C28" s="96">
        <v>47894.06</v>
      </c>
      <c r="D28" s="372">
        <v>44560</v>
      </c>
      <c r="E28" s="96">
        <v>47894.06</v>
      </c>
      <c r="F28" s="137">
        <f t="shared" si="0"/>
        <v>0</v>
      </c>
      <c r="I28" s="348" t="s">
        <v>259</v>
      </c>
      <c r="J28" s="347">
        <v>8083</v>
      </c>
      <c r="K28" s="349">
        <v>571.6</v>
      </c>
      <c r="L28" s="400">
        <v>44580</v>
      </c>
      <c r="M28" s="401">
        <v>571.6</v>
      </c>
      <c r="N28" s="137">
        <f t="shared" si="1"/>
        <v>0</v>
      </c>
    </row>
    <row r="29" spans="1:14" ht="15.75" x14ac:dyDescent="0.25">
      <c r="A29" s="354" t="s">
        <v>259</v>
      </c>
      <c r="B29" s="355" t="s">
        <v>293</v>
      </c>
      <c r="C29" s="96">
        <v>48036.26</v>
      </c>
      <c r="D29" s="372">
        <v>44560</v>
      </c>
      <c r="E29" s="96">
        <v>48036.26</v>
      </c>
      <c r="F29" s="137">
        <f t="shared" si="0"/>
        <v>0</v>
      </c>
      <c r="I29" s="348" t="s">
        <v>259</v>
      </c>
      <c r="J29" s="347">
        <v>8090</v>
      </c>
      <c r="K29" s="349">
        <v>23079</v>
      </c>
      <c r="L29" s="400">
        <v>44580</v>
      </c>
      <c r="M29" s="401">
        <v>23079</v>
      </c>
      <c r="N29" s="137">
        <f t="shared" si="1"/>
        <v>0</v>
      </c>
    </row>
    <row r="30" spans="1:14" ht="18.75" x14ac:dyDescent="0.3">
      <c r="A30" s="354" t="s">
        <v>260</v>
      </c>
      <c r="B30" s="355" t="s">
        <v>294</v>
      </c>
      <c r="C30" s="96">
        <v>61444</v>
      </c>
      <c r="D30" s="372">
        <v>44560</v>
      </c>
      <c r="E30" s="96">
        <v>61444</v>
      </c>
      <c r="F30" s="137">
        <f t="shared" si="0"/>
        <v>0</v>
      </c>
      <c r="G30" s="138"/>
      <c r="I30" s="348" t="s">
        <v>260</v>
      </c>
      <c r="J30" s="347">
        <v>8095</v>
      </c>
      <c r="K30" s="349">
        <v>0</v>
      </c>
      <c r="L30" s="400">
        <v>44580</v>
      </c>
      <c r="M30" s="401">
        <v>0</v>
      </c>
      <c r="N30" s="137">
        <f t="shared" si="1"/>
        <v>0</v>
      </c>
    </row>
    <row r="31" spans="1:14" ht="15.75" x14ac:dyDescent="0.25">
      <c r="A31" s="354" t="s">
        <v>260</v>
      </c>
      <c r="B31" s="355" t="s">
        <v>295</v>
      </c>
      <c r="C31" s="96">
        <v>134636</v>
      </c>
      <c r="D31" s="373">
        <v>44564</v>
      </c>
      <c r="E31" s="374">
        <v>134636</v>
      </c>
      <c r="F31" s="137">
        <f>F30+C31-E31</f>
        <v>0</v>
      </c>
      <c r="I31" s="348" t="s">
        <v>260</v>
      </c>
      <c r="J31" s="347">
        <v>8097</v>
      </c>
      <c r="K31" s="349">
        <v>288</v>
      </c>
      <c r="L31" s="400">
        <v>44580</v>
      </c>
      <c r="M31" s="401">
        <v>288</v>
      </c>
      <c r="N31" s="137">
        <f>N30+K31-M31</f>
        <v>0</v>
      </c>
    </row>
    <row r="32" spans="1:14" ht="15.75" x14ac:dyDescent="0.25">
      <c r="A32" s="354" t="s">
        <v>260</v>
      </c>
      <c r="B32" s="355" t="s">
        <v>296</v>
      </c>
      <c r="C32" s="96">
        <v>2496</v>
      </c>
      <c r="D32" s="373">
        <v>44564</v>
      </c>
      <c r="E32" s="374">
        <v>2496</v>
      </c>
      <c r="F32" s="137">
        <f t="shared" si="0"/>
        <v>0</v>
      </c>
      <c r="I32" s="348" t="s">
        <v>260</v>
      </c>
      <c r="J32" s="347">
        <v>8099</v>
      </c>
      <c r="K32" s="349">
        <v>0</v>
      </c>
      <c r="L32" s="400">
        <v>44580</v>
      </c>
      <c r="M32" s="401">
        <v>0</v>
      </c>
      <c r="N32" s="137">
        <f t="shared" si="1"/>
        <v>0</v>
      </c>
    </row>
    <row r="33" spans="1:14" ht="15.75" x14ac:dyDescent="0.25">
      <c r="A33" s="354" t="s">
        <v>260</v>
      </c>
      <c r="B33" s="355" t="s">
        <v>297</v>
      </c>
      <c r="C33" s="96">
        <v>1835.32</v>
      </c>
      <c r="D33" s="373">
        <v>44564</v>
      </c>
      <c r="E33" s="374">
        <v>1835.32</v>
      </c>
      <c r="F33" s="137">
        <f t="shared" si="0"/>
        <v>0</v>
      </c>
      <c r="I33" s="348" t="s">
        <v>260</v>
      </c>
      <c r="J33" s="347">
        <v>8102</v>
      </c>
      <c r="K33" s="349">
        <v>16973.12</v>
      </c>
      <c r="L33" s="400">
        <v>44580</v>
      </c>
      <c r="M33" s="401">
        <v>16973.12</v>
      </c>
      <c r="N33" s="137">
        <f t="shared" si="1"/>
        <v>0</v>
      </c>
    </row>
    <row r="34" spans="1:14" ht="15.75" x14ac:dyDescent="0.25">
      <c r="A34" s="354" t="s">
        <v>261</v>
      </c>
      <c r="B34" s="355" t="s">
        <v>298</v>
      </c>
      <c r="C34" s="96">
        <v>37820</v>
      </c>
      <c r="D34" s="373">
        <v>44564</v>
      </c>
      <c r="E34" s="374">
        <v>37820</v>
      </c>
      <c r="F34" s="137">
        <f t="shared" si="0"/>
        <v>0</v>
      </c>
      <c r="I34" s="348" t="s">
        <v>261</v>
      </c>
      <c r="J34" s="347">
        <v>8104</v>
      </c>
      <c r="K34" s="349">
        <v>614.24</v>
      </c>
      <c r="L34" s="400">
        <v>44580</v>
      </c>
      <c r="M34" s="401">
        <v>614.24</v>
      </c>
      <c r="N34" s="137">
        <f t="shared" si="1"/>
        <v>0</v>
      </c>
    </row>
    <row r="35" spans="1:14" ht="15.75" x14ac:dyDescent="0.25">
      <c r="A35" s="354" t="s">
        <v>261</v>
      </c>
      <c r="B35" s="355" t="s">
        <v>299</v>
      </c>
      <c r="C35" s="96">
        <v>20355.400000000001</v>
      </c>
      <c r="D35" s="373">
        <v>44564</v>
      </c>
      <c r="E35" s="374">
        <v>20355.400000000001</v>
      </c>
      <c r="F35" s="137">
        <f t="shared" si="0"/>
        <v>0</v>
      </c>
      <c r="I35" s="348" t="s">
        <v>261</v>
      </c>
      <c r="J35" s="347">
        <v>8105</v>
      </c>
      <c r="K35" s="349">
        <v>216</v>
      </c>
      <c r="L35" s="400">
        <v>44580</v>
      </c>
      <c r="M35" s="401">
        <v>216</v>
      </c>
      <c r="N35" s="137">
        <f t="shared" si="1"/>
        <v>0</v>
      </c>
    </row>
    <row r="36" spans="1:14" ht="15.75" x14ac:dyDescent="0.25">
      <c r="A36" s="354" t="s">
        <v>300</v>
      </c>
      <c r="B36" s="355" t="s">
        <v>301</v>
      </c>
      <c r="C36" s="96">
        <v>37968.800000000003</v>
      </c>
      <c r="D36" s="396">
        <v>44580</v>
      </c>
      <c r="E36" s="398">
        <v>37968.800000000003</v>
      </c>
      <c r="F36" s="137">
        <f t="shared" si="0"/>
        <v>0</v>
      </c>
      <c r="I36" s="348" t="s">
        <v>261</v>
      </c>
      <c r="J36" s="347">
        <v>8110</v>
      </c>
      <c r="K36" s="349">
        <v>0</v>
      </c>
      <c r="L36" s="400">
        <v>44580</v>
      </c>
      <c r="M36" s="401">
        <v>0</v>
      </c>
      <c r="N36" s="137">
        <f t="shared" si="1"/>
        <v>0</v>
      </c>
    </row>
    <row r="37" spans="1:14" ht="15.75" x14ac:dyDescent="0.25">
      <c r="A37" s="354" t="s">
        <v>262</v>
      </c>
      <c r="B37" s="355" t="s">
        <v>302</v>
      </c>
      <c r="C37" s="96">
        <v>38370.6</v>
      </c>
      <c r="D37" s="396">
        <v>44580</v>
      </c>
      <c r="E37" s="398">
        <v>38370.6</v>
      </c>
      <c r="F37" s="137">
        <f t="shared" si="0"/>
        <v>0</v>
      </c>
      <c r="I37" s="358" t="s">
        <v>261</v>
      </c>
      <c r="J37" s="359">
        <v>8114</v>
      </c>
      <c r="K37" s="360">
        <v>78024.399999999994</v>
      </c>
      <c r="L37" s="400">
        <v>44580</v>
      </c>
      <c r="M37" s="402">
        <v>78024.399999999994</v>
      </c>
      <c r="N37" s="361">
        <f t="shared" si="1"/>
        <v>0</v>
      </c>
    </row>
    <row r="38" spans="1:14" ht="15.75" x14ac:dyDescent="0.25">
      <c r="A38" s="354" t="s">
        <v>262</v>
      </c>
      <c r="B38" s="355" t="s">
        <v>303</v>
      </c>
      <c r="C38" s="96">
        <v>2250</v>
      </c>
      <c r="D38" s="396">
        <v>44580</v>
      </c>
      <c r="E38" s="398">
        <v>2250</v>
      </c>
      <c r="F38" s="137">
        <f t="shared" si="0"/>
        <v>0</v>
      </c>
      <c r="I38" s="362" t="s">
        <v>262</v>
      </c>
      <c r="J38" s="38">
        <v>8133</v>
      </c>
      <c r="K38" s="69">
        <v>7344.28</v>
      </c>
      <c r="L38" s="400">
        <v>44580</v>
      </c>
      <c r="M38" s="397">
        <v>7344.28</v>
      </c>
      <c r="N38" s="363">
        <f t="shared" si="1"/>
        <v>0</v>
      </c>
    </row>
    <row r="39" spans="1:14" ht="15" customHeight="1" thickBot="1" x14ac:dyDescent="0.3">
      <c r="A39" s="354" t="s">
        <v>263</v>
      </c>
      <c r="B39" s="355" t="s">
        <v>304</v>
      </c>
      <c r="C39" s="96">
        <v>36332.379999999997</v>
      </c>
      <c r="D39" s="396">
        <v>44580</v>
      </c>
      <c r="E39" s="398">
        <v>36332.379999999997</v>
      </c>
      <c r="F39" s="137">
        <f t="shared" si="0"/>
        <v>0</v>
      </c>
      <c r="I39" s="350" t="s">
        <v>263</v>
      </c>
      <c r="J39" s="351">
        <v>8144</v>
      </c>
      <c r="K39" s="352">
        <v>0</v>
      </c>
      <c r="L39" s="400">
        <v>44580</v>
      </c>
      <c r="M39" s="403">
        <v>0</v>
      </c>
      <c r="N39" s="353">
        <f t="shared" si="1"/>
        <v>0</v>
      </c>
    </row>
    <row r="40" spans="1:14" ht="17.25" thickTop="1" thickBot="1" x14ac:dyDescent="0.3">
      <c r="A40" s="354" t="s">
        <v>263</v>
      </c>
      <c r="B40" s="355" t="s">
        <v>305</v>
      </c>
      <c r="C40" s="96">
        <v>31011.599999999999</v>
      </c>
      <c r="D40" s="396">
        <v>44580</v>
      </c>
      <c r="E40" s="398">
        <v>31011.599999999999</v>
      </c>
      <c r="F40" s="137">
        <f t="shared" si="0"/>
        <v>0</v>
      </c>
      <c r="I40" s="348" t="s">
        <v>263</v>
      </c>
      <c r="J40" s="347">
        <v>8145</v>
      </c>
      <c r="K40" s="349">
        <v>2592.81</v>
      </c>
      <c r="L40" s="400">
        <v>44580</v>
      </c>
      <c r="M40" s="401">
        <v>2592.81</v>
      </c>
      <c r="N40" s="353">
        <f t="shared" si="1"/>
        <v>0</v>
      </c>
    </row>
    <row r="41" spans="1:14" ht="17.25" thickTop="1" thickBot="1" x14ac:dyDescent="0.3">
      <c r="A41" s="354" t="s">
        <v>306</v>
      </c>
      <c r="B41" s="355" t="s">
        <v>307</v>
      </c>
      <c r="C41" s="96">
        <v>95276.3</v>
      </c>
      <c r="D41" s="396">
        <v>44580</v>
      </c>
      <c r="E41" s="398">
        <v>95276.3</v>
      </c>
      <c r="F41" s="137">
        <f t="shared" si="0"/>
        <v>0</v>
      </c>
      <c r="I41" s="348" t="s">
        <v>263</v>
      </c>
      <c r="J41" s="347">
        <v>8148</v>
      </c>
      <c r="K41" s="349">
        <v>89838.6</v>
      </c>
      <c r="L41" s="400">
        <v>44580</v>
      </c>
      <c r="M41" s="401">
        <v>89838.6</v>
      </c>
      <c r="N41" s="353">
        <f t="shared" si="1"/>
        <v>0</v>
      </c>
    </row>
    <row r="42" spans="1:14" ht="17.25" thickTop="1" thickBot="1" x14ac:dyDescent="0.3">
      <c r="A42" s="354" t="s">
        <v>306</v>
      </c>
      <c r="B42" s="355" t="s">
        <v>308</v>
      </c>
      <c r="C42" s="96">
        <v>4262.3999999999996</v>
      </c>
      <c r="D42" s="396">
        <v>44580</v>
      </c>
      <c r="E42" s="398">
        <v>4262.3999999999996</v>
      </c>
      <c r="F42" s="137">
        <f t="shared" si="0"/>
        <v>0</v>
      </c>
      <c r="I42" s="348" t="s">
        <v>264</v>
      </c>
      <c r="J42" s="347">
        <v>8164</v>
      </c>
      <c r="K42" s="349">
        <v>10475.799999999999</v>
      </c>
      <c r="L42" s="400">
        <v>44580</v>
      </c>
      <c r="M42" s="401">
        <v>10475.799999999999</v>
      </c>
      <c r="N42" s="353">
        <f t="shared" si="1"/>
        <v>0</v>
      </c>
    </row>
    <row r="43" spans="1:14" ht="17.25" thickTop="1" thickBot="1" x14ac:dyDescent="0.3">
      <c r="A43" s="354" t="s">
        <v>264</v>
      </c>
      <c r="B43" s="355" t="s">
        <v>309</v>
      </c>
      <c r="C43" s="96">
        <v>33297.4</v>
      </c>
      <c r="D43" s="396">
        <v>44580</v>
      </c>
      <c r="E43" s="398">
        <v>33297.4</v>
      </c>
      <c r="F43" s="137">
        <f t="shared" si="0"/>
        <v>0</v>
      </c>
      <c r="I43" s="348" t="s">
        <v>264</v>
      </c>
      <c r="J43" s="347">
        <v>8169</v>
      </c>
      <c r="K43" s="349">
        <v>21719.4</v>
      </c>
      <c r="L43" s="400">
        <v>44580</v>
      </c>
      <c r="M43" s="401">
        <v>21719.4</v>
      </c>
      <c r="N43" s="353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8" t="s">
        <v>264</v>
      </c>
      <c r="J44" s="347">
        <v>8170</v>
      </c>
      <c r="K44" s="349">
        <v>57983.8</v>
      </c>
      <c r="L44" s="400">
        <v>44580</v>
      </c>
      <c r="M44" s="401">
        <v>57983.8</v>
      </c>
      <c r="N44" s="353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253"/>
      <c r="M45" s="69">
        <v>0</v>
      </c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253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253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253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253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253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253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6"/>
      <c r="J57" s="357"/>
      <c r="K57" s="34"/>
      <c r="L57" s="118"/>
      <c r="M57" s="34"/>
      <c r="N57" s="137">
        <f t="shared" ref="N57:N73" si="2">N56+K57-M57</f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6"/>
      <c r="J58" s="357"/>
      <c r="K58" s="34"/>
      <c r="L58" s="118"/>
      <c r="M58" s="34"/>
      <c r="N58" s="137">
        <f t="shared" si="2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6"/>
      <c r="J59" s="357"/>
      <c r="K59" s="34"/>
      <c r="L59" s="118"/>
      <c r="M59" s="34"/>
      <c r="N59" s="137">
        <f t="shared" si="2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6"/>
      <c r="J60" s="357"/>
      <c r="K60" s="34"/>
      <c r="L60" s="118"/>
      <c r="M60" s="34"/>
      <c r="N60" s="137">
        <f t="shared" si="2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6"/>
      <c r="J61" s="357"/>
      <c r="K61" s="34"/>
      <c r="L61" s="118"/>
      <c r="M61" s="34"/>
      <c r="N61" s="137">
        <f t="shared" si="2"/>
        <v>0</v>
      </c>
    </row>
    <row r="62" spans="1:14" ht="15.75" hidden="1" x14ac:dyDescent="0.25">
      <c r="A62" s="356"/>
      <c r="B62" s="357"/>
      <c r="C62" s="34"/>
      <c r="D62" s="118"/>
      <c r="E62" s="34"/>
      <c r="F62" s="137">
        <f t="shared" si="0"/>
        <v>0</v>
      </c>
      <c r="I62" s="356"/>
      <c r="J62" s="357"/>
      <c r="K62" s="34"/>
      <c r="L62" s="118"/>
      <c r="M62" s="34"/>
      <c r="N62" s="137">
        <f t="shared" si="2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254"/>
      <c r="M63" s="69"/>
      <c r="N63" s="137">
        <f t="shared" si="2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254"/>
      <c r="M64" s="69"/>
      <c r="N64" s="137">
        <f t="shared" si="2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254"/>
      <c r="M65" s="69"/>
      <c r="N65" s="137">
        <f t="shared" si="2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254"/>
      <c r="M66" s="69"/>
      <c r="N66" s="137">
        <f t="shared" si="2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254"/>
      <c r="M67" s="69"/>
      <c r="N67" s="137">
        <f t="shared" si="2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254"/>
      <c r="M68" s="69"/>
      <c r="N68" s="137">
        <f t="shared" si="2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>F68+C69-E69</f>
        <v>0</v>
      </c>
      <c r="I69" s="134"/>
      <c r="J69" s="139"/>
      <c r="K69" s="69"/>
      <c r="L69" s="254"/>
      <c r="M69" s="69"/>
      <c r="N69" s="137">
        <f t="shared" si="2"/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>F69+C70-E70</f>
        <v>0</v>
      </c>
      <c r="I70" s="134"/>
      <c r="J70" s="139"/>
      <c r="K70" s="69"/>
      <c r="L70" s="254"/>
      <c r="M70" s="69"/>
      <c r="N70" s="137">
        <f t="shared" si="2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>F70+C71-E71</f>
        <v>0</v>
      </c>
      <c r="I71" s="134"/>
      <c r="J71" s="139"/>
      <c r="K71" s="69"/>
      <c r="L71" s="254"/>
      <c r="M71" s="69"/>
      <c r="N71" s="137">
        <f t="shared" si="2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>F71+C72-E72</f>
        <v>0</v>
      </c>
      <c r="I72" s="134"/>
      <c r="J72" s="139"/>
      <c r="K72" s="69"/>
      <c r="L72" s="254"/>
      <c r="M72" s="69"/>
      <c r="N72" s="137">
        <f t="shared" si="2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>F72+C73-E73</f>
        <v>0</v>
      </c>
      <c r="I73" s="149"/>
      <c r="J73" s="150"/>
      <c r="K73" s="151">
        <v>0</v>
      </c>
      <c r="L73" s="255"/>
      <c r="M73" s="151">
        <v>0</v>
      </c>
      <c r="N73" s="137">
        <f t="shared" si="2"/>
        <v>0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0</v>
      </c>
      <c r="K74" s="209">
        <f>SUM(K3:K73)</f>
        <v>590104.74</v>
      </c>
      <c r="L74" s="256"/>
      <c r="M74" s="1">
        <f>SUM(M3:M73)</f>
        <v>590104.74</v>
      </c>
      <c r="N74" s="153">
        <f>K74-M74</f>
        <v>0</v>
      </c>
    </row>
    <row r="75" spans="1:14" ht="15.75" thickBot="1" x14ac:dyDescent="0.3">
      <c r="B75" s="213"/>
      <c r="C75" s="214"/>
      <c r="D75" s="256"/>
      <c r="E75" s="3"/>
      <c r="F75" s="659" t="s">
        <v>207</v>
      </c>
      <c r="K75" s="1"/>
      <c r="L75" s="256"/>
      <c r="M75" s="3"/>
      <c r="N75" s="1"/>
    </row>
    <row r="76" spans="1:14" x14ac:dyDescent="0.25">
      <c r="B76" s="98"/>
      <c r="C76" s="1"/>
      <c r="D76" s="256"/>
      <c r="E76" s="3"/>
      <c r="F76" s="660"/>
      <c r="K76" s="1"/>
      <c r="L76" s="256"/>
      <c r="M76" s="3"/>
      <c r="N76" s="1"/>
    </row>
    <row r="77" spans="1:14" x14ac:dyDescent="0.25">
      <c r="A77"/>
      <c r="B77" s="23"/>
      <c r="I77"/>
      <c r="J77" s="194"/>
    </row>
    <row r="78" spans="1:14" x14ac:dyDescent="0.25">
      <c r="A78"/>
      <c r="B78" s="23"/>
      <c r="I78"/>
      <c r="J78" s="194"/>
    </row>
    <row r="79" spans="1:14" x14ac:dyDescent="0.25">
      <c r="A79"/>
      <c r="B79" s="23"/>
      <c r="I79"/>
      <c r="J79" s="194"/>
    </row>
    <row r="80" spans="1:14" ht="15.75" x14ac:dyDescent="0.25">
      <c r="A80"/>
      <c r="B80" s="23"/>
      <c r="C80" s="96"/>
      <c r="F80"/>
      <c r="I80"/>
      <c r="J80" s="194"/>
      <c r="N80"/>
    </row>
    <row r="81" spans="1:14" ht="15.75" x14ac:dyDescent="0.25">
      <c r="A81"/>
      <c r="B81" s="23"/>
      <c r="C81" s="96"/>
      <c r="F81"/>
      <c r="I81"/>
      <c r="J81" s="194"/>
      <c r="N81"/>
    </row>
    <row r="82" spans="1:14" ht="15.75" x14ac:dyDescent="0.25">
      <c r="A82"/>
      <c r="B82" s="23"/>
      <c r="C82" s="96"/>
      <c r="F82"/>
      <c r="I82"/>
      <c r="J82" s="194"/>
      <c r="N82"/>
    </row>
    <row r="83" spans="1:14" ht="15.75" x14ac:dyDescent="0.25">
      <c r="A83"/>
      <c r="B83" s="23"/>
      <c r="C83" s="96"/>
      <c r="F83"/>
      <c r="I83"/>
      <c r="J83" s="194"/>
      <c r="N83"/>
    </row>
    <row r="84" spans="1:14" ht="15.75" x14ac:dyDescent="0.25">
      <c r="A84"/>
      <c r="B84" s="23"/>
      <c r="C84" s="96"/>
      <c r="F84"/>
      <c r="I84"/>
      <c r="J84" s="194"/>
      <c r="N84"/>
    </row>
    <row r="85" spans="1:14" ht="15.75" x14ac:dyDescent="0.25">
      <c r="A85"/>
      <c r="B85" s="23"/>
      <c r="C85" s="96"/>
      <c r="F85"/>
      <c r="I85"/>
      <c r="J85" s="194"/>
      <c r="N85"/>
    </row>
    <row r="86" spans="1:14" ht="15.75" x14ac:dyDescent="0.25">
      <c r="A86"/>
      <c r="B86" s="23"/>
      <c r="C86" s="96"/>
      <c r="F86"/>
      <c r="I86"/>
      <c r="J86" s="194"/>
      <c r="N86"/>
    </row>
    <row r="87" spans="1:14" ht="15.75" x14ac:dyDescent="0.25">
      <c r="A87"/>
      <c r="B87" s="23"/>
      <c r="C87" s="96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E89"/>
      <c r="F89"/>
      <c r="I89"/>
      <c r="J89" s="194"/>
      <c r="M89"/>
      <c r="N89"/>
    </row>
    <row r="90" spans="1:14" x14ac:dyDescent="0.25">
      <c r="A90"/>
      <c r="B90" s="23"/>
      <c r="E90"/>
      <c r="F90"/>
      <c r="I90"/>
      <c r="J90" s="194"/>
      <c r="M90"/>
      <c r="N90"/>
    </row>
    <row r="91" spans="1:14" x14ac:dyDescent="0.25">
      <c r="A91"/>
      <c r="B91" s="23"/>
      <c r="E91"/>
      <c r="F91"/>
      <c r="I91"/>
      <c r="J91" s="194"/>
      <c r="M91"/>
      <c r="N91"/>
    </row>
    <row r="92" spans="1:14" x14ac:dyDescent="0.25">
      <c r="A92"/>
      <c r="B92" s="23"/>
      <c r="E92"/>
      <c r="F92"/>
      <c r="I92"/>
      <c r="J92" s="194"/>
      <c r="M92"/>
      <c r="N92"/>
    </row>
    <row r="93" spans="1:14" x14ac:dyDescent="0.25">
      <c r="A93"/>
      <c r="B93" s="23"/>
      <c r="E93"/>
      <c r="F93"/>
      <c r="I93"/>
      <c r="J93" s="194"/>
      <c r="M93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B95" s="23"/>
      <c r="E95"/>
      <c r="J95" s="194"/>
      <c r="M95"/>
    </row>
    <row r="96" spans="1:14" x14ac:dyDescent="0.25">
      <c r="B96" s="23"/>
      <c r="E96"/>
      <c r="J96" s="194"/>
      <c r="M96"/>
    </row>
    <row r="97" spans="2:13" x14ac:dyDescent="0.25">
      <c r="B97" s="23"/>
      <c r="E97"/>
      <c r="J97" s="194"/>
      <c r="M97"/>
    </row>
    <row r="98" spans="2:13" x14ac:dyDescent="0.25">
      <c r="B98" s="23"/>
      <c r="E98"/>
      <c r="J98" s="194"/>
      <c r="M98"/>
    </row>
    <row r="99" spans="2:13" x14ac:dyDescent="0.25">
      <c r="B99" s="23"/>
      <c r="E99"/>
      <c r="J99" s="194"/>
      <c r="M99"/>
    </row>
    <row r="100" spans="2:13" x14ac:dyDescent="0.25">
      <c r="B100" s="23"/>
      <c r="E100"/>
      <c r="J100" s="194"/>
      <c r="M100"/>
    </row>
    <row r="101" spans="2:13" x14ac:dyDescent="0.25">
      <c r="B101" s="23"/>
      <c r="E101"/>
      <c r="J101" s="194"/>
      <c r="M101"/>
    </row>
    <row r="102" spans="2:13" x14ac:dyDescent="0.25">
      <c r="B102" s="23"/>
      <c r="E102"/>
      <c r="J102" s="194"/>
      <c r="M102"/>
    </row>
    <row r="103" spans="2:13" x14ac:dyDescent="0.25">
      <c r="B103" s="23"/>
      <c r="E103"/>
      <c r="J103" s="194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80"/>
  <sheetViews>
    <sheetView topLeftCell="A40" workbookViewId="0">
      <selection activeCell="F61" sqref="F6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597"/>
      <c r="C1" s="663" t="s">
        <v>316</v>
      </c>
      <c r="D1" s="664"/>
      <c r="E1" s="664"/>
      <c r="F1" s="664"/>
      <c r="G1" s="664"/>
      <c r="H1" s="664"/>
      <c r="I1" s="664"/>
      <c r="J1" s="664"/>
      <c r="K1" s="664"/>
      <c r="L1" s="664"/>
      <c r="M1" s="664"/>
    </row>
    <row r="2" spans="1:25" ht="16.5" thickBot="1" x14ac:dyDescent="0.3">
      <c r="B2" s="598"/>
      <c r="C2" s="3"/>
      <c r="H2" s="5"/>
      <c r="I2" s="6"/>
      <c r="J2" s="7"/>
      <c r="L2" s="8"/>
      <c r="M2" s="6"/>
      <c r="N2" s="9"/>
    </row>
    <row r="3" spans="1:25" ht="21.75" thickBot="1" x14ac:dyDescent="0.35">
      <c r="B3" s="601" t="s">
        <v>0</v>
      </c>
      <c r="C3" s="602"/>
      <c r="D3" s="10"/>
      <c r="E3" s="11"/>
      <c r="F3" s="11"/>
      <c r="H3" s="603" t="s">
        <v>26</v>
      </c>
      <c r="I3" s="603"/>
      <c r="K3" s="165"/>
      <c r="L3" s="13"/>
      <c r="M3" s="14"/>
      <c r="P3" s="640" t="s">
        <v>6</v>
      </c>
      <c r="R3" s="661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604" t="s">
        <v>2</v>
      </c>
      <c r="F4" s="605"/>
      <c r="H4" s="606" t="s">
        <v>3</v>
      </c>
      <c r="I4" s="607"/>
      <c r="J4" s="19"/>
      <c r="K4" s="166"/>
      <c r="L4" s="20"/>
      <c r="M4" s="21" t="s">
        <v>4</v>
      </c>
      <c r="N4" s="22" t="s">
        <v>5</v>
      </c>
      <c r="P4" s="641"/>
      <c r="Q4" s="322" t="s">
        <v>217</v>
      </c>
      <c r="R4" s="662"/>
      <c r="W4" s="650" t="s">
        <v>124</v>
      </c>
      <c r="X4" s="650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319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8"/>
      <c r="P5" s="34">
        <f>N5+M5+L5+I5+C5</f>
        <v>65610</v>
      </c>
      <c r="Q5" s="325">
        <f>P5-F5</f>
        <v>0</v>
      </c>
      <c r="R5" s="379">
        <v>0</v>
      </c>
      <c r="S5" s="324"/>
      <c r="W5" s="650"/>
      <c r="X5" s="650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320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322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321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323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 t="shared" ref="P9:P14" si="2">N9+M9+L9+I9+C9</f>
        <v>75583</v>
      </c>
      <c r="Q9" s="337">
        <f t="shared" si="1"/>
        <v>-9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324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245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si="2"/>
        <v>88583.33</v>
      </c>
      <c r="Q10" s="317">
        <v>0</v>
      </c>
      <c r="R10" s="388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7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326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8"/>
      <c r="P12" s="39">
        <f t="shared" si="2"/>
        <v>63623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327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7">
        <f t="shared" si="1"/>
        <v>0.39999999999417923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328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386">
        <f t="shared" si="1"/>
        <v>0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329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386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330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0"/>
      <c r="P16" s="39">
        <f t="shared" si="0"/>
        <v>90379</v>
      </c>
      <c r="Q16" s="317">
        <f t="shared" si="1"/>
        <v>0</v>
      </c>
      <c r="R16" s="382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325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7" t="s">
        <v>7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333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7">
        <f t="shared" si="1"/>
        <v>0</v>
      </c>
      <c r="R19" s="319">
        <v>0</v>
      </c>
      <c r="S19" s="147"/>
      <c r="W19" s="654">
        <f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>
        <v>9987.68</v>
      </c>
      <c r="D20" s="35" t="s">
        <v>334</v>
      </c>
      <c r="E20" s="27">
        <v>44579</v>
      </c>
      <c r="F20" s="28">
        <v>80067</v>
      </c>
      <c r="G20" s="2"/>
      <c r="H20" s="36">
        <v>44579</v>
      </c>
      <c r="I20" s="30">
        <v>2777</v>
      </c>
      <c r="J20" s="37"/>
      <c r="K20" s="171"/>
      <c r="L20" s="45"/>
      <c r="M20" s="32">
        <f>6300+40345</f>
        <v>46645</v>
      </c>
      <c r="N20" s="33">
        <v>20658</v>
      </c>
      <c r="P20" s="39">
        <f t="shared" si="0"/>
        <v>80067.679999999993</v>
      </c>
      <c r="Q20" s="317">
        <f t="shared" si="1"/>
        <v>0.67999999999301508</v>
      </c>
      <c r="R20" s="319">
        <v>0</v>
      </c>
      <c r="S20" s="147"/>
      <c r="W20" s="655"/>
      <c r="X20" s="268"/>
      <c r="Y20" s="233"/>
    </row>
    <row r="21" spans="1:26" ht="19.5" thickBot="1" x14ac:dyDescent="0.35">
      <c r="A21" s="23"/>
      <c r="B21" s="24">
        <v>44580</v>
      </c>
      <c r="C21" s="25">
        <v>19604</v>
      </c>
      <c r="D21" s="35" t="s">
        <v>336</v>
      </c>
      <c r="E21" s="27">
        <v>44580</v>
      </c>
      <c r="F21" s="28">
        <v>74086</v>
      </c>
      <c r="G21" s="2"/>
      <c r="H21" s="36">
        <v>44580</v>
      </c>
      <c r="I21" s="30">
        <v>3492</v>
      </c>
      <c r="J21" s="37"/>
      <c r="K21" s="48"/>
      <c r="L21" s="45"/>
      <c r="M21" s="32">
        <f>19176+306848+58407+12019.66+3238.65+2807.56</f>
        <v>402496.87</v>
      </c>
      <c r="N21" s="33">
        <v>25767</v>
      </c>
      <c r="P21" s="39">
        <f t="shared" si="0"/>
        <v>451359.87</v>
      </c>
      <c r="Q21" s="387">
        <v>0</v>
      </c>
      <c r="R21" s="389">
        <v>377273.87</v>
      </c>
      <c r="S21" s="147"/>
      <c r="W21" s="656"/>
      <c r="X21" s="656"/>
      <c r="Y21" s="233"/>
      <c r="Z21" s="128"/>
    </row>
    <row r="22" spans="1:26" ht="18" thickBot="1" x14ac:dyDescent="0.35">
      <c r="A22" s="23"/>
      <c r="B22" s="24">
        <v>44581</v>
      </c>
      <c r="C22" s="25">
        <v>7528</v>
      </c>
      <c r="D22" s="35" t="s">
        <v>335</v>
      </c>
      <c r="E22" s="27">
        <v>44581</v>
      </c>
      <c r="F22" s="28">
        <v>74975</v>
      </c>
      <c r="G22" s="2"/>
      <c r="H22" s="36">
        <v>44581</v>
      </c>
      <c r="I22" s="30">
        <v>1194</v>
      </c>
      <c r="J22" s="37"/>
      <c r="K22" s="31"/>
      <c r="L22" s="49"/>
      <c r="M22" s="32">
        <v>43604</v>
      </c>
      <c r="N22" s="33">
        <v>22649</v>
      </c>
      <c r="P22" s="39">
        <f t="shared" si="0"/>
        <v>74975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>
        <v>5287</v>
      </c>
      <c r="D23" s="35" t="s">
        <v>328</v>
      </c>
      <c r="E23" s="27">
        <v>44582</v>
      </c>
      <c r="F23" s="28">
        <v>100402</v>
      </c>
      <c r="G23" s="2"/>
      <c r="H23" s="36">
        <v>44582</v>
      </c>
      <c r="I23" s="30">
        <v>3015</v>
      </c>
      <c r="J23" s="50"/>
      <c r="K23" s="172"/>
      <c r="L23" s="45"/>
      <c r="M23" s="32">
        <f>67068+6145</f>
        <v>73213</v>
      </c>
      <c r="N23" s="33">
        <v>18887</v>
      </c>
      <c r="P23" s="39">
        <f t="shared" si="0"/>
        <v>100402</v>
      </c>
      <c r="Q23" s="317">
        <f t="shared" si="1"/>
        <v>0</v>
      </c>
      <c r="R23" s="319">
        <v>0</v>
      </c>
      <c r="S23" s="147"/>
      <c r="W23" s="657"/>
      <c r="X23" s="657"/>
      <c r="Y23" s="233"/>
      <c r="Z23" s="128"/>
    </row>
    <row r="24" spans="1:26" ht="18" thickBot="1" x14ac:dyDescent="0.35">
      <c r="A24" s="23"/>
      <c r="B24" s="24">
        <v>44583</v>
      </c>
      <c r="C24" s="25">
        <v>14793</v>
      </c>
      <c r="D24" s="42" t="s">
        <v>338</v>
      </c>
      <c r="E24" s="27">
        <v>44583</v>
      </c>
      <c r="F24" s="28">
        <v>101068</v>
      </c>
      <c r="G24" s="2"/>
      <c r="H24" s="36">
        <v>44583</v>
      </c>
      <c r="I24" s="30">
        <v>1622</v>
      </c>
      <c r="J24" s="51">
        <v>44583</v>
      </c>
      <c r="K24" s="173" t="s">
        <v>345</v>
      </c>
      <c r="L24" s="52">
        <v>12971.14</v>
      </c>
      <c r="M24" s="32">
        <v>34971</v>
      </c>
      <c r="N24" s="33">
        <v>36711</v>
      </c>
      <c r="P24" s="39">
        <f t="shared" si="0"/>
        <v>101068.14</v>
      </c>
      <c r="Q24" s="317">
        <f t="shared" si="1"/>
        <v>0.13999999999941792</v>
      </c>
      <c r="R24" s="319">
        <v>0</v>
      </c>
      <c r="S24" s="147"/>
      <c r="W24" s="657"/>
      <c r="X24" s="657"/>
      <c r="Y24" s="233"/>
      <c r="Z24" s="128"/>
    </row>
    <row r="25" spans="1:26" ht="19.5" thickBot="1" x14ac:dyDescent="0.35">
      <c r="A25" s="23"/>
      <c r="B25" s="24">
        <v>44584</v>
      </c>
      <c r="C25" s="25">
        <v>0</v>
      </c>
      <c r="D25" s="35"/>
      <c r="E25" s="27">
        <v>44584</v>
      </c>
      <c r="F25" s="28">
        <v>76044</v>
      </c>
      <c r="G25" s="2"/>
      <c r="H25" s="36">
        <v>44584</v>
      </c>
      <c r="I25" s="30">
        <v>1589</v>
      </c>
      <c r="J25" s="50"/>
      <c r="K25" s="38"/>
      <c r="L25" s="54"/>
      <c r="M25" s="32">
        <v>47007</v>
      </c>
      <c r="N25" s="33">
        <v>27448</v>
      </c>
      <c r="P25" s="283">
        <f t="shared" si="0"/>
        <v>76044</v>
      </c>
      <c r="Q25" s="317" t="s">
        <v>7</v>
      </c>
      <c r="R25" s="319">
        <v>0</v>
      </c>
      <c r="W25" s="658"/>
      <c r="X25" s="658"/>
      <c r="Y25" s="233"/>
      <c r="Z25" s="128"/>
    </row>
    <row r="26" spans="1:26" ht="19.5" thickBot="1" x14ac:dyDescent="0.35">
      <c r="A26" s="23"/>
      <c r="B26" s="24">
        <v>44585</v>
      </c>
      <c r="C26" s="25">
        <v>8574</v>
      </c>
      <c r="D26" s="35" t="s">
        <v>339</v>
      </c>
      <c r="E26" s="27">
        <v>44585</v>
      </c>
      <c r="F26" s="28">
        <v>97059</v>
      </c>
      <c r="G26" s="2"/>
      <c r="H26" s="36">
        <v>44585</v>
      </c>
      <c r="I26" s="30">
        <v>145</v>
      </c>
      <c r="J26" s="37"/>
      <c r="K26" s="173"/>
      <c r="L26" s="45"/>
      <c r="M26" s="32">
        <v>42595</v>
      </c>
      <c r="N26" s="33">
        <v>45745</v>
      </c>
      <c r="P26" s="284">
        <f t="shared" si="0"/>
        <v>97059</v>
      </c>
      <c r="Q26" s="317">
        <f t="shared" si="1"/>
        <v>0</v>
      </c>
      <c r="R26" s="319">
        <v>0</v>
      </c>
      <c r="W26" s="658"/>
      <c r="X26" s="658"/>
      <c r="Y26" s="233"/>
      <c r="Z26" s="128"/>
    </row>
    <row r="27" spans="1:26" ht="18" thickBot="1" x14ac:dyDescent="0.35">
      <c r="A27" s="23"/>
      <c r="B27" s="24">
        <v>44586</v>
      </c>
      <c r="C27" s="25">
        <v>6964.5</v>
      </c>
      <c r="D27" s="42" t="s">
        <v>340</v>
      </c>
      <c r="E27" s="27">
        <v>44586</v>
      </c>
      <c r="F27" s="28">
        <v>72776</v>
      </c>
      <c r="G27" s="2"/>
      <c r="H27" s="36">
        <v>44586</v>
      </c>
      <c r="I27" s="30">
        <v>2041</v>
      </c>
      <c r="J27" s="55"/>
      <c r="K27" s="174"/>
      <c r="L27" s="54"/>
      <c r="M27" s="32">
        <v>39912</v>
      </c>
      <c r="N27" s="33">
        <v>23859</v>
      </c>
      <c r="P27" s="39">
        <f t="shared" si="0"/>
        <v>72776.5</v>
      </c>
      <c r="Q27" s="317">
        <f t="shared" si="1"/>
        <v>0.5</v>
      </c>
      <c r="R27" s="319">
        <v>0</v>
      </c>
      <c r="U27" s="1">
        <v>4102</v>
      </c>
      <c r="V27" t="s">
        <v>240</v>
      </c>
      <c r="W27" s="651"/>
      <c r="X27" s="652"/>
      <c r="Y27" s="653"/>
      <c r="Z27" s="128"/>
    </row>
    <row r="28" spans="1:26" ht="18" thickBot="1" x14ac:dyDescent="0.35">
      <c r="A28" s="23"/>
      <c r="B28" s="24">
        <v>44587</v>
      </c>
      <c r="C28" s="25">
        <v>24487</v>
      </c>
      <c r="D28" s="42" t="s">
        <v>341</v>
      </c>
      <c r="E28" s="27">
        <v>44587</v>
      </c>
      <c r="F28" s="28">
        <v>61066</v>
      </c>
      <c r="G28" s="2"/>
      <c r="H28" s="36">
        <v>44587</v>
      </c>
      <c r="I28" s="30">
        <v>1697</v>
      </c>
      <c r="J28" s="56"/>
      <c r="K28" s="57"/>
      <c r="L28" s="54"/>
      <c r="M28" s="32">
        <f>8682+3282</f>
        <v>11964</v>
      </c>
      <c r="N28" s="33">
        <v>22918</v>
      </c>
      <c r="P28" s="34">
        <f t="shared" si="0"/>
        <v>61066</v>
      </c>
      <c r="Q28" s="317">
        <f t="shared" si="1"/>
        <v>0</v>
      </c>
      <c r="R28" s="319">
        <v>0</v>
      </c>
      <c r="U28" s="1">
        <v>60</v>
      </c>
      <c r="V28" t="s">
        <v>240</v>
      </c>
      <c r="W28" s="652"/>
      <c r="X28" s="652"/>
      <c r="Y28" s="653"/>
      <c r="Z28" s="128"/>
    </row>
    <row r="29" spans="1:26" ht="18" thickBot="1" x14ac:dyDescent="0.35">
      <c r="A29" s="23"/>
      <c r="B29" s="24">
        <v>44588</v>
      </c>
      <c r="C29" s="25">
        <v>1751</v>
      </c>
      <c r="D29" s="58" t="s">
        <v>342</v>
      </c>
      <c r="E29" s="27">
        <v>44588</v>
      </c>
      <c r="F29" s="28">
        <v>487994</v>
      </c>
      <c r="G29" s="2"/>
      <c r="H29" s="36">
        <v>44588</v>
      </c>
      <c r="I29" s="30">
        <v>1541</v>
      </c>
      <c r="J29" s="59"/>
      <c r="K29" s="175"/>
      <c r="L29" s="54"/>
      <c r="M29" s="32">
        <f>62811+1115+395460.57+7891.79</f>
        <v>467278.36</v>
      </c>
      <c r="N29" s="33">
        <v>18538</v>
      </c>
      <c r="P29" s="34">
        <f t="shared" si="0"/>
        <v>489108.36</v>
      </c>
      <c r="Q29" s="317">
        <v>0</v>
      </c>
      <c r="R29" s="388">
        <v>1115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44589</v>
      </c>
      <c r="C30" s="25">
        <v>26995.5</v>
      </c>
      <c r="D30" s="58" t="s">
        <v>343</v>
      </c>
      <c r="E30" s="27">
        <v>44589</v>
      </c>
      <c r="F30" s="28">
        <v>93818</v>
      </c>
      <c r="G30" s="2"/>
      <c r="H30" s="36">
        <v>44589</v>
      </c>
      <c r="I30" s="30">
        <v>2252.5</v>
      </c>
      <c r="J30" s="60"/>
      <c r="K30" s="41"/>
      <c r="L30" s="61"/>
      <c r="M30" s="32">
        <v>40300</v>
      </c>
      <c r="N30" s="33">
        <v>24270</v>
      </c>
      <c r="P30" s="34">
        <f t="shared" si="0"/>
        <v>93818</v>
      </c>
      <c r="Q30" s="317">
        <f t="shared" si="1"/>
        <v>0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>
        <v>5625</v>
      </c>
      <c r="D31" s="65" t="s">
        <v>328</v>
      </c>
      <c r="E31" s="27">
        <v>44590</v>
      </c>
      <c r="F31" s="383">
        <v>93087</v>
      </c>
      <c r="G31" s="2"/>
      <c r="H31" s="36">
        <v>44590</v>
      </c>
      <c r="I31" s="384">
        <v>3104.5</v>
      </c>
      <c r="J31" s="60">
        <v>44590</v>
      </c>
      <c r="K31" s="41" t="s">
        <v>344</v>
      </c>
      <c r="L31" s="63">
        <v>12295</v>
      </c>
      <c r="M31" s="32">
        <v>40509.5</v>
      </c>
      <c r="N31" s="33">
        <v>31553</v>
      </c>
      <c r="P31" s="34">
        <f t="shared" si="0"/>
        <v>93087</v>
      </c>
      <c r="Q31" s="287">
        <f t="shared" si="1"/>
        <v>0</v>
      </c>
      <c r="R31" s="321"/>
    </row>
    <row r="32" spans="1:26" ht="18" thickBot="1" x14ac:dyDescent="0.35">
      <c r="A32" s="23"/>
      <c r="B32" s="24">
        <v>44591</v>
      </c>
      <c r="C32" s="25">
        <v>7440</v>
      </c>
      <c r="D32" s="64" t="s">
        <v>347</v>
      </c>
      <c r="E32" s="27">
        <v>44591</v>
      </c>
      <c r="F32" s="28">
        <v>85273</v>
      </c>
      <c r="G32" s="2"/>
      <c r="H32" s="36">
        <v>44591</v>
      </c>
      <c r="I32" s="30">
        <v>1360</v>
      </c>
      <c r="J32" s="60"/>
      <c r="K32" s="41"/>
      <c r="L32" s="61"/>
      <c r="M32" s="32">
        <f>41306+7035</f>
        <v>48341</v>
      </c>
      <c r="N32" s="33">
        <v>28132</v>
      </c>
      <c r="P32" s="34">
        <f t="shared" si="0"/>
        <v>85273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44591</v>
      </c>
      <c r="C34" s="25">
        <v>43151.45</v>
      </c>
      <c r="D34" s="64" t="s">
        <v>577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 t="s">
        <v>119</v>
      </c>
      <c r="K36" s="250" t="s">
        <v>346</v>
      </c>
      <c r="L36" s="44">
        <v>13275.84</v>
      </c>
      <c r="M36" s="642">
        <f>SUM(M5:M35)</f>
        <v>1818445.73</v>
      </c>
      <c r="N36" s="644">
        <f>SUM(N5:N35)</f>
        <v>739014</v>
      </c>
      <c r="O36" s="276"/>
      <c r="P36" s="277">
        <v>0</v>
      </c>
      <c r="Q36" s="646">
        <f>SUM(Q5:Q35)</f>
        <v>-7.2800000000133878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119</v>
      </c>
      <c r="K37" s="41" t="s">
        <v>337</v>
      </c>
      <c r="L37" s="61">
        <v>15060.32</v>
      </c>
      <c r="M37" s="643"/>
      <c r="N37" s="645"/>
      <c r="O37" s="276"/>
      <c r="P37" s="277">
        <v>0</v>
      </c>
      <c r="Q37" s="647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575</v>
      </c>
      <c r="K39" s="177" t="s">
        <v>576</v>
      </c>
      <c r="L39" s="61">
        <v>13803.92</v>
      </c>
      <c r="M39" s="278"/>
      <c r="N39" s="278"/>
      <c r="P39" s="34">
        <f>SUM(P5:P38)</f>
        <v>2973429.28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332</v>
      </c>
      <c r="K42" s="173" t="s">
        <v>325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332</v>
      </c>
      <c r="K43" s="38" t="s">
        <v>331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355889.13</v>
      </c>
      <c r="D50" s="88"/>
      <c r="E50" s="89" t="s">
        <v>8</v>
      </c>
      <c r="F50" s="90">
        <f>SUM(F5:F49)</f>
        <v>2593158</v>
      </c>
      <c r="G50" s="88"/>
      <c r="H50" s="91" t="s">
        <v>9</v>
      </c>
      <c r="I50" s="92">
        <f>SUM(I5:I49)</f>
        <v>51099.9</v>
      </c>
      <c r="J50" s="93"/>
      <c r="K50" s="94" t="s">
        <v>10</v>
      </c>
      <c r="L50" s="95">
        <f>SUM(L5:L49)</f>
        <v>107698.22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619" t="s">
        <v>11</v>
      </c>
      <c r="I52" s="620"/>
      <c r="J52" s="100"/>
      <c r="K52" s="621">
        <f>I50+L50</f>
        <v>158798.12</v>
      </c>
      <c r="L52" s="648"/>
      <c r="M52" s="272"/>
      <c r="N52" s="272"/>
      <c r="P52" s="34"/>
      <c r="Q52" s="13"/>
    </row>
    <row r="53" spans="1:17" x14ac:dyDescent="0.25">
      <c r="D53" s="625" t="s">
        <v>12</v>
      </c>
      <c r="E53" s="625"/>
      <c r="F53" s="312">
        <f>F50-K52-C50</f>
        <v>2078470.75</v>
      </c>
      <c r="I53" s="102"/>
      <c r="J53" s="103"/>
    </row>
    <row r="54" spans="1:17" ht="18.75" x14ac:dyDescent="0.3">
      <c r="D54" s="649" t="s">
        <v>95</v>
      </c>
      <c r="E54" s="649"/>
      <c r="F54" s="111">
        <v>-1448401.2</v>
      </c>
      <c r="I54" s="626" t="s">
        <v>13</v>
      </c>
      <c r="J54" s="627"/>
      <c r="K54" s="628">
        <f>F56+F57+F58</f>
        <v>1025960.7</v>
      </c>
      <c r="L54" s="628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-909001.26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-278931.70999999996</v>
      </c>
      <c r="H56" s="23"/>
      <c r="I56" s="108" t="s">
        <v>15</v>
      </c>
      <c r="J56" s="109"/>
      <c r="K56" s="630">
        <f>-C4</f>
        <v>-754143.23</v>
      </c>
      <c r="L56" s="631"/>
    </row>
    <row r="57" spans="1:17" ht="16.5" thickBot="1" x14ac:dyDescent="0.3">
      <c r="D57" s="110" t="s">
        <v>16</v>
      </c>
      <c r="E57" s="98" t="s">
        <v>17</v>
      </c>
      <c r="F57" s="111">
        <v>155152</v>
      </c>
    </row>
    <row r="58" spans="1:17" ht="20.25" thickTop="1" thickBot="1" x14ac:dyDescent="0.35">
      <c r="C58" s="112">
        <v>44591</v>
      </c>
      <c r="D58" s="608" t="s">
        <v>18</v>
      </c>
      <c r="E58" s="609"/>
      <c r="F58" s="113">
        <v>1149740.4099999999</v>
      </c>
      <c r="I58" s="610" t="s">
        <v>198</v>
      </c>
      <c r="J58" s="611"/>
      <c r="K58" s="612">
        <f>K54+K56</f>
        <v>271817.46999999997</v>
      </c>
      <c r="L58" s="612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  <mergeCell ref="K56:L56"/>
    <mergeCell ref="H52:I52"/>
    <mergeCell ref="K52:L52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115"/>
  <sheetViews>
    <sheetView topLeftCell="C28" workbookViewId="0">
      <selection activeCell="M46" sqref="M46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6" bestFit="1" customWidth="1"/>
    <col min="13" max="13" width="15.140625" style="4" bestFit="1" customWidth="1"/>
    <col min="14" max="14" width="19.5703125" style="3" bestFit="1" customWidth="1"/>
    <col min="17" max="17" width="13.85546875" bestFit="1" customWidth="1"/>
  </cols>
  <sheetData>
    <row r="1" spans="1:14" ht="43.5" thickTop="1" thickBot="1" x14ac:dyDescent="0.3">
      <c r="A1" s="290" t="s">
        <v>317</v>
      </c>
      <c r="B1" s="291"/>
      <c r="C1" s="292"/>
      <c r="D1" s="371"/>
      <c r="E1" s="292"/>
      <c r="F1" s="378" t="s">
        <v>314</v>
      </c>
      <c r="I1" s="301" t="s">
        <v>318</v>
      </c>
      <c r="J1" s="302"/>
      <c r="K1" s="303"/>
      <c r="L1" s="468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93" t="s">
        <v>348</v>
      </c>
      <c r="B3" s="394" t="s">
        <v>374</v>
      </c>
      <c r="C3" s="392">
        <v>52139.3</v>
      </c>
      <c r="D3" s="405">
        <v>44589</v>
      </c>
      <c r="E3" s="392">
        <v>52139.3</v>
      </c>
      <c r="F3" s="392">
        <f>C3-E3</f>
        <v>0</v>
      </c>
      <c r="I3" s="390" t="s">
        <v>348</v>
      </c>
      <c r="J3" s="391">
        <v>8177</v>
      </c>
      <c r="K3" s="392">
        <v>594.17999999999995</v>
      </c>
      <c r="L3" s="469">
        <v>44593</v>
      </c>
      <c r="M3" s="392">
        <v>594.17999999999995</v>
      </c>
      <c r="N3" s="183">
        <f>K3-M3</f>
        <v>0</v>
      </c>
    </row>
    <row r="4" spans="1:14" ht="18.75" x14ac:dyDescent="0.3">
      <c r="A4" s="393" t="s">
        <v>348</v>
      </c>
      <c r="B4" s="394" t="s">
        <v>375</v>
      </c>
      <c r="C4" s="392">
        <v>22993.599999999999</v>
      </c>
      <c r="D4" s="405">
        <v>44589</v>
      </c>
      <c r="E4" s="392">
        <v>22993.599999999999</v>
      </c>
      <c r="F4" s="392">
        <f t="shared" ref="F4:F46" si="0">C4-E4</f>
        <v>0</v>
      </c>
      <c r="G4" s="138"/>
      <c r="I4" s="390" t="s">
        <v>348</v>
      </c>
      <c r="J4" s="391">
        <v>8176</v>
      </c>
      <c r="K4" s="392">
        <v>388.8</v>
      </c>
      <c r="L4" s="469">
        <v>44593</v>
      </c>
      <c r="M4" s="392">
        <v>388.8</v>
      </c>
      <c r="N4" s="137">
        <f>N3+K4-M4</f>
        <v>0</v>
      </c>
    </row>
    <row r="5" spans="1:14" ht="15.75" x14ac:dyDescent="0.25">
      <c r="A5" s="393" t="s">
        <v>350</v>
      </c>
      <c r="B5" s="394" t="s">
        <v>376</v>
      </c>
      <c r="C5" s="392">
        <v>12157.4</v>
      </c>
      <c r="D5" s="405">
        <v>44589</v>
      </c>
      <c r="E5" s="392">
        <v>12157.4</v>
      </c>
      <c r="F5" s="392">
        <f t="shared" si="0"/>
        <v>0</v>
      </c>
      <c r="I5" s="390" t="s">
        <v>348</v>
      </c>
      <c r="J5" s="391">
        <v>8179</v>
      </c>
      <c r="K5" s="392">
        <v>19510.8</v>
      </c>
      <c r="L5" s="469">
        <v>44593</v>
      </c>
      <c r="M5" s="392">
        <v>19510.8</v>
      </c>
      <c r="N5" s="137">
        <f t="shared" ref="N5:N73" si="1">N4+K5-M5</f>
        <v>0</v>
      </c>
    </row>
    <row r="6" spans="1:14" ht="15.75" x14ac:dyDescent="0.25">
      <c r="A6" s="393" t="s">
        <v>351</v>
      </c>
      <c r="B6" s="394" t="s">
        <v>377</v>
      </c>
      <c r="C6" s="392">
        <v>39663.4</v>
      </c>
      <c r="D6" s="405">
        <v>44589</v>
      </c>
      <c r="E6" s="392">
        <v>39663.4</v>
      </c>
      <c r="F6" s="392">
        <f t="shared" si="0"/>
        <v>0</v>
      </c>
      <c r="I6" s="390" t="s">
        <v>350</v>
      </c>
      <c r="J6" s="391">
        <v>8193</v>
      </c>
      <c r="K6" s="392">
        <v>1380.6</v>
      </c>
      <c r="L6" s="469">
        <v>44593</v>
      </c>
      <c r="M6" s="392">
        <v>1380.6</v>
      </c>
      <c r="N6" s="137">
        <f t="shared" si="1"/>
        <v>0</v>
      </c>
    </row>
    <row r="7" spans="1:14" ht="15.75" x14ac:dyDescent="0.25">
      <c r="A7" s="393" t="s">
        <v>351</v>
      </c>
      <c r="B7" s="394" t="s">
        <v>378</v>
      </c>
      <c r="C7" s="392">
        <v>16690</v>
      </c>
      <c r="D7" s="405">
        <v>44589</v>
      </c>
      <c r="E7" s="392">
        <v>16690</v>
      </c>
      <c r="F7" s="392">
        <f t="shared" si="0"/>
        <v>0</v>
      </c>
      <c r="I7" s="390" t="s">
        <v>350</v>
      </c>
      <c r="J7" s="391">
        <v>8194</v>
      </c>
      <c r="K7" s="392">
        <v>247.32</v>
      </c>
      <c r="L7" s="469">
        <v>44593</v>
      </c>
      <c r="M7" s="392">
        <v>247.32</v>
      </c>
      <c r="N7" s="137">
        <f t="shared" si="1"/>
        <v>0</v>
      </c>
    </row>
    <row r="8" spans="1:14" ht="15.75" x14ac:dyDescent="0.25">
      <c r="A8" s="393" t="s">
        <v>352</v>
      </c>
      <c r="B8" s="394" t="s">
        <v>379</v>
      </c>
      <c r="C8" s="392">
        <v>16161</v>
      </c>
      <c r="D8" s="405">
        <v>44589</v>
      </c>
      <c r="E8" s="392">
        <v>16161</v>
      </c>
      <c r="F8" s="392">
        <f t="shared" si="0"/>
        <v>0</v>
      </c>
      <c r="I8" s="390" t="s">
        <v>350</v>
      </c>
      <c r="J8" s="391">
        <v>8196</v>
      </c>
      <c r="K8" s="392">
        <v>80126.8</v>
      </c>
      <c r="L8" s="469">
        <v>44593</v>
      </c>
      <c r="M8" s="392">
        <v>80126.8</v>
      </c>
      <c r="N8" s="137">
        <f t="shared" si="1"/>
        <v>0</v>
      </c>
    </row>
    <row r="9" spans="1:14" ht="15.75" x14ac:dyDescent="0.25">
      <c r="A9" s="393" t="s">
        <v>352</v>
      </c>
      <c r="B9" s="394" t="s">
        <v>380</v>
      </c>
      <c r="C9" s="392">
        <v>4375</v>
      </c>
      <c r="D9" s="405">
        <v>44589</v>
      </c>
      <c r="E9" s="392">
        <v>4375</v>
      </c>
      <c r="F9" s="392">
        <f t="shared" si="0"/>
        <v>0</v>
      </c>
      <c r="I9" s="390" t="s">
        <v>351</v>
      </c>
      <c r="J9" s="391">
        <v>8200</v>
      </c>
      <c r="K9" s="392">
        <v>5165.9799999999996</v>
      </c>
      <c r="L9" s="469">
        <v>44593</v>
      </c>
      <c r="M9" s="392">
        <v>5165.9799999999996</v>
      </c>
      <c r="N9" s="137">
        <f t="shared" si="1"/>
        <v>0</v>
      </c>
    </row>
    <row r="10" spans="1:14" ht="18.75" x14ac:dyDescent="0.3">
      <c r="A10" s="393" t="s">
        <v>353</v>
      </c>
      <c r="B10" s="394" t="s">
        <v>381</v>
      </c>
      <c r="C10" s="392">
        <v>88022.6</v>
      </c>
      <c r="D10" s="405">
        <v>44589</v>
      </c>
      <c r="E10" s="392">
        <v>88022.6</v>
      </c>
      <c r="F10" s="392">
        <f t="shared" si="0"/>
        <v>0</v>
      </c>
      <c r="G10" s="138"/>
      <c r="I10" s="390" t="s">
        <v>351</v>
      </c>
      <c r="J10" s="391">
        <v>8204</v>
      </c>
      <c r="K10" s="392">
        <v>3258.1</v>
      </c>
      <c r="L10" s="469">
        <v>44593</v>
      </c>
      <c r="M10" s="392">
        <v>3258.1</v>
      </c>
      <c r="N10" s="137">
        <f t="shared" si="1"/>
        <v>0</v>
      </c>
    </row>
    <row r="11" spans="1:14" ht="15.75" x14ac:dyDescent="0.25">
      <c r="A11" s="393" t="s">
        <v>353</v>
      </c>
      <c r="B11" s="394" t="s">
        <v>382</v>
      </c>
      <c r="C11" s="392">
        <v>6223.4</v>
      </c>
      <c r="D11" s="405">
        <v>44589</v>
      </c>
      <c r="E11" s="392">
        <v>6223.4</v>
      </c>
      <c r="F11" s="392">
        <f t="shared" si="0"/>
        <v>0</v>
      </c>
      <c r="I11" s="390" t="s">
        <v>351</v>
      </c>
      <c r="J11" s="391">
        <v>8205</v>
      </c>
      <c r="K11" s="392">
        <v>472</v>
      </c>
      <c r="L11" s="469">
        <v>44593</v>
      </c>
      <c r="M11" s="392">
        <v>472</v>
      </c>
      <c r="N11" s="137">
        <f t="shared" si="1"/>
        <v>0</v>
      </c>
    </row>
    <row r="12" spans="1:14" ht="15.75" x14ac:dyDescent="0.25">
      <c r="A12" s="393" t="s">
        <v>354</v>
      </c>
      <c r="B12" s="394" t="s">
        <v>383</v>
      </c>
      <c r="C12" s="392">
        <v>1350</v>
      </c>
      <c r="D12" s="405">
        <v>44589</v>
      </c>
      <c r="E12" s="392">
        <v>1350</v>
      </c>
      <c r="F12" s="392">
        <f t="shared" si="0"/>
        <v>0</v>
      </c>
      <c r="I12" s="390" t="s">
        <v>352</v>
      </c>
      <c r="J12" s="391">
        <v>8208</v>
      </c>
      <c r="K12" s="392">
        <v>2558.1799999999998</v>
      </c>
      <c r="L12" s="469">
        <v>44593</v>
      </c>
      <c r="M12" s="392">
        <v>2558.1799999999998</v>
      </c>
      <c r="N12" s="137">
        <f t="shared" si="1"/>
        <v>0</v>
      </c>
    </row>
    <row r="13" spans="1:14" ht="15.75" x14ac:dyDescent="0.25">
      <c r="A13" s="393" t="s">
        <v>354</v>
      </c>
      <c r="B13" s="394" t="s">
        <v>384</v>
      </c>
      <c r="C13" s="392">
        <v>54930.2</v>
      </c>
      <c r="D13" s="405">
        <v>44589</v>
      </c>
      <c r="E13" s="392">
        <v>54930.2</v>
      </c>
      <c r="F13" s="392">
        <f t="shared" si="0"/>
        <v>0</v>
      </c>
      <c r="I13" s="390" t="s">
        <v>353</v>
      </c>
      <c r="J13" s="391">
        <v>8216</v>
      </c>
      <c r="K13" s="392">
        <v>11429.6</v>
      </c>
      <c r="L13" s="469">
        <v>44593</v>
      </c>
      <c r="M13" s="392">
        <v>11429.6</v>
      </c>
      <c r="N13" s="137">
        <f t="shared" si="1"/>
        <v>0</v>
      </c>
    </row>
    <row r="14" spans="1:14" ht="15.75" x14ac:dyDescent="0.25">
      <c r="A14" s="393" t="s">
        <v>354</v>
      </c>
      <c r="B14" s="394" t="s">
        <v>385</v>
      </c>
      <c r="C14" s="392">
        <v>381</v>
      </c>
      <c r="D14" s="405">
        <v>44589</v>
      </c>
      <c r="E14" s="392">
        <v>381</v>
      </c>
      <c r="F14" s="392">
        <f t="shared" si="0"/>
        <v>0</v>
      </c>
      <c r="I14" s="390" t="s">
        <v>354</v>
      </c>
      <c r="J14" s="391">
        <v>8228</v>
      </c>
      <c r="K14" s="392">
        <v>1470</v>
      </c>
      <c r="L14" s="469">
        <v>44593</v>
      </c>
      <c r="M14" s="392">
        <v>1470</v>
      </c>
      <c r="N14" s="137">
        <f t="shared" si="1"/>
        <v>0</v>
      </c>
    </row>
    <row r="15" spans="1:14" ht="15.75" x14ac:dyDescent="0.25">
      <c r="A15" s="393" t="s">
        <v>354</v>
      </c>
      <c r="B15" s="394" t="s">
        <v>386</v>
      </c>
      <c r="C15" s="392">
        <v>32571.32</v>
      </c>
      <c r="D15" s="405">
        <v>44589</v>
      </c>
      <c r="E15" s="392">
        <v>32571.32</v>
      </c>
      <c r="F15" s="392">
        <f t="shared" si="0"/>
        <v>0</v>
      </c>
      <c r="I15" s="390" t="s">
        <v>355</v>
      </c>
      <c r="J15" s="391">
        <v>8240</v>
      </c>
      <c r="K15" s="392">
        <v>1407</v>
      </c>
      <c r="L15" s="469">
        <v>44593</v>
      </c>
      <c r="M15" s="392">
        <v>1407</v>
      </c>
      <c r="N15" s="137">
        <f t="shared" si="1"/>
        <v>0</v>
      </c>
    </row>
    <row r="16" spans="1:14" ht="15.75" x14ac:dyDescent="0.25">
      <c r="A16" s="393" t="s">
        <v>355</v>
      </c>
      <c r="B16" s="394" t="s">
        <v>387</v>
      </c>
      <c r="C16" s="392">
        <v>40306.14</v>
      </c>
      <c r="D16" s="405">
        <v>44589</v>
      </c>
      <c r="E16" s="392">
        <v>40306.14</v>
      </c>
      <c r="F16" s="392">
        <f t="shared" si="0"/>
        <v>0</v>
      </c>
      <c r="I16" s="390" t="s">
        <v>355</v>
      </c>
      <c r="J16" s="391">
        <v>8245</v>
      </c>
      <c r="K16" s="392">
        <v>120922.4</v>
      </c>
      <c r="L16" s="469">
        <v>44593</v>
      </c>
      <c r="M16" s="392">
        <v>120922.4</v>
      </c>
      <c r="N16" s="137">
        <f t="shared" si="1"/>
        <v>0</v>
      </c>
    </row>
    <row r="17" spans="1:17" ht="15.75" x14ac:dyDescent="0.25">
      <c r="A17" s="393" t="s">
        <v>356</v>
      </c>
      <c r="B17" s="394" t="s">
        <v>388</v>
      </c>
      <c r="C17" s="392">
        <v>0</v>
      </c>
      <c r="D17" s="406" t="s">
        <v>412</v>
      </c>
      <c r="E17" s="392">
        <v>0</v>
      </c>
      <c r="F17" s="392">
        <f t="shared" si="0"/>
        <v>0</v>
      </c>
      <c r="I17" s="390" t="s">
        <v>355</v>
      </c>
      <c r="J17" s="391">
        <v>8247</v>
      </c>
      <c r="K17" s="392">
        <v>4686.3999999999996</v>
      </c>
      <c r="L17" s="469">
        <v>44593</v>
      </c>
      <c r="M17" s="392">
        <v>4686.3999999999996</v>
      </c>
      <c r="N17" s="137">
        <f t="shared" si="1"/>
        <v>0</v>
      </c>
    </row>
    <row r="18" spans="1:17" ht="15.75" x14ac:dyDescent="0.25">
      <c r="A18" s="393" t="s">
        <v>356</v>
      </c>
      <c r="B18" s="394" t="s">
        <v>389</v>
      </c>
      <c r="C18" s="392">
        <v>87756.3</v>
      </c>
      <c r="D18" s="405">
        <v>44589</v>
      </c>
      <c r="E18" s="392">
        <v>87756.3</v>
      </c>
      <c r="F18" s="392">
        <f t="shared" si="0"/>
        <v>0</v>
      </c>
      <c r="I18" s="390" t="s">
        <v>356</v>
      </c>
      <c r="J18" s="391">
        <v>8249</v>
      </c>
      <c r="K18" s="392">
        <v>5822.6</v>
      </c>
      <c r="L18" s="469">
        <v>44593</v>
      </c>
      <c r="M18" s="392">
        <v>5822.6</v>
      </c>
      <c r="N18" s="137">
        <f t="shared" si="1"/>
        <v>0</v>
      </c>
    </row>
    <row r="19" spans="1:17" ht="15.75" x14ac:dyDescent="0.25">
      <c r="A19" s="393" t="s">
        <v>357</v>
      </c>
      <c r="B19" s="394" t="s">
        <v>390</v>
      </c>
      <c r="C19" s="392">
        <v>92082.85</v>
      </c>
      <c r="D19" s="405">
        <v>44589</v>
      </c>
      <c r="E19" s="392">
        <v>92082.85</v>
      </c>
      <c r="F19" s="392">
        <f t="shared" si="0"/>
        <v>0</v>
      </c>
      <c r="I19" s="390" t="s">
        <v>356</v>
      </c>
      <c r="J19" s="391">
        <v>8251</v>
      </c>
      <c r="K19" s="392">
        <v>1530.8</v>
      </c>
      <c r="L19" s="469">
        <v>44593</v>
      </c>
      <c r="M19" s="392">
        <v>1530.8</v>
      </c>
      <c r="N19" s="137">
        <f t="shared" si="1"/>
        <v>0</v>
      </c>
    </row>
    <row r="20" spans="1:17" ht="15.75" x14ac:dyDescent="0.25">
      <c r="A20" s="393" t="s">
        <v>358</v>
      </c>
      <c r="B20" s="394" t="s">
        <v>391</v>
      </c>
      <c r="C20" s="392">
        <v>28628.81</v>
      </c>
      <c r="D20" s="405">
        <v>44589</v>
      </c>
      <c r="E20" s="392">
        <v>28628.81</v>
      </c>
      <c r="F20" s="392">
        <f t="shared" si="0"/>
        <v>0</v>
      </c>
      <c r="I20" s="390" t="s">
        <v>357</v>
      </c>
      <c r="J20" s="391">
        <v>8256</v>
      </c>
      <c r="K20" s="392">
        <v>10637</v>
      </c>
      <c r="L20" s="469">
        <v>44593</v>
      </c>
      <c r="M20" s="392">
        <v>10637</v>
      </c>
      <c r="N20" s="137">
        <f t="shared" si="1"/>
        <v>0</v>
      </c>
    </row>
    <row r="21" spans="1:17" ht="15.75" x14ac:dyDescent="0.25">
      <c r="A21" s="393" t="s">
        <v>358</v>
      </c>
      <c r="B21" s="394" t="s">
        <v>392</v>
      </c>
      <c r="C21" s="392">
        <v>214.8</v>
      </c>
      <c r="D21" s="405">
        <v>44589</v>
      </c>
      <c r="E21" s="392">
        <v>214.8</v>
      </c>
      <c r="F21" s="392">
        <f t="shared" si="0"/>
        <v>0</v>
      </c>
      <c r="I21" s="390" t="s">
        <v>358</v>
      </c>
      <c r="J21" s="391">
        <v>8270</v>
      </c>
      <c r="K21" s="392">
        <v>1146.2</v>
      </c>
      <c r="L21" s="469">
        <v>44593</v>
      </c>
      <c r="M21" s="392">
        <v>1146.2</v>
      </c>
      <c r="N21" s="137">
        <f t="shared" si="1"/>
        <v>0</v>
      </c>
    </row>
    <row r="22" spans="1:17" ht="18.75" x14ac:dyDescent="0.3">
      <c r="A22" s="393" t="s">
        <v>359</v>
      </c>
      <c r="B22" s="394" t="s">
        <v>393</v>
      </c>
      <c r="C22" s="392">
        <v>53381.2</v>
      </c>
      <c r="D22" s="405">
        <v>44589</v>
      </c>
      <c r="E22" s="392">
        <v>53381.2</v>
      </c>
      <c r="F22" s="392">
        <f t="shared" si="0"/>
        <v>0</v>
      </c>
      <c r="G22" s="138"/>
      <c r="I22" s="390" t="s">
        <v>358</v>
      </c>
      <c r="J22" s="391">
        <v>8273</v>
      </c>
      <c r="K22" s="392">
        <v>141067.6</v>
      </c>
      <c r="L22" s="469">
        <v>44593</v>
      </c>
      <c r="M22" s="392">
        <v>141067.6</v>
      </c>
      <c r="N22" s="137">
        <f t="shared" si="1"/>
        <v>0</v>
      </c>
    </row>
    <row r="23" spans="1:17" ht="15.75" x14ac:dyDescent="0.25">
      <c r="A23" s="393" t="s">
        <v>359</v>
      </c>
      <c r="B23" s="394" t="s">
        <v>394</v>
      </c>
      <c r="C23" s="392">
        <v>558</v>
      </c>
      <c r="D23" s="405">
        <v>44589</v>
      </c>
      <c r="E23" s="392">
        <v>558</v>
      </c>
      <c r="F23" s="392">
        <f t="shared" si="0"/>
        <v>0</v>
      </c>
      <c r="I23" s="390" t="s">
        <v>358</v>
      </c>
      <c r="J23" s="391">
        <v>8274</v>
      </c>
      <c r="K23" s="392">
        <v>5205.2</v>
      </c>
      <c r="L23" s="469">
        <v>44593</v>
      </c>
      <c r="M23" s="392">
        <v>5205.2</v>
      </c>
      <c r="N23" s="137">
        <f t="shared" si="1"/>
        <v>0</v>
      </c>
    </row>
    <row r="24" spans="1:17" ht="15.75" x14ac:dyDescent="0.25">
      <c r="A24" s="393" t="s">
        <v>360</v>
      </c>
      <c r="B24" s="394" t="s">
        <v>395</v>
      </c>
      <c r="C24" s="392">
        <v>81629.2</v>
      </c>
      <c r="D24" s="405">
        <v>44589</v>
      </c>
      <c r="E24" s="392">
        <v>81629.2</v>
      </c>
      <c r="F24" s="392">
        <f t="shared" si="0"/>
        <v>0</v>
      </c>
      <c r="I24" s="390" t="s">
        <v>359</v>
      </c>
      <c r="J24" s="391">
        <v>8279</v>
      </c>
      <c r="K24" s="392">
        <v>1487</v>
      </c>
      <c r="L24" s="469">
        <v>44593</v>
      </c>
      <c r="M24" s="392">
        <v>1487</v>
      </c>
      <c r="N24" s="137">
        <f t="shared" si="1"/>
        <v>0</v>
      </c>
    </row>
    <row r="25" spans="1:17" ht="15.75" x14ac:dyDescent="0.25">
      <c r="A25" s="393" t="s">
        <v>361</v>
      </c>
      <c r="B25" s="394" t="s">
        <v>396</v>
      </c>
      <c r="C25" s="392">
        <v>6085</v>
      </c>
      <c r="D25" s="405">
        <v>44589</v>
      </c>
      <c r="E25" s="392">
        <v>6085</v>
      </c>
      <c r="F25" s="392">
        <f t="shared" si="0"/>
        <v>0</v>
      </c>
      <c r="I25" s="390" t="s">
        <v>359</v>
      </c>
      <c r="J25" s="391">
        <v>8283</v>
      </c>
      <c r="K25" s="392">
        <v>71469.2</v>
      </c>
      <c r="L25" s="469">
        <v>44593</v>
      </c>
      <c r="M25" s="392">
        <v>71469.2</v>
      </c>
      <c r="N25" s="137">
        <f t="shared" si="1"/>
        <v>0</v>
      </c>
    </row>
    <row r="26" spans="1:17" ht="15.75" x14ac:dyDescent="0.25">
      <c r="A26" s="393" t="s">
        <v>362</v>
      </c>
      <c r="B26" s="394" t="s">
        <v>397</v>
      </c>
      <c r="C26" s="392">
        <v>42951.199999999997</v>
      </c>
      <c r="D26" s="405">
        <v>44589</v>
      </c>
      <c r="E26" s="392">
        <v>42951.199999999997</v>
      </c>
      <c r="F26" s="392">
        <f t="shared" si="0"/>
        <v>0</v>
      </c>
      <c r="I26" s="390" t="s">
        <v>360</v>
      </c>
      <c r="J26" s="391">
        <v>8284</v>
      </c>
      <c r="K26" s="392">
        <v>2041.4</v>
      </c>
      <c r="L26" s="469">
        <v>44593</v>
      </c>
      <c r="M26" s="392">
        <v>2041.4</v>
      </c>
      <c r="N26" s="137">
        <f t="shared" si="1"/>
        <v>0</v>
      </c>
    </row>
    <row r="27" spans="1:17" ht="15.75" x14ac:dyDescent="0.25">
      <c r="A27" s="393" t="s">
        <v>363</v>
      </c>
      <c r="B27" s="394" t="s">
        <v>398</v>
      </c>
      <c r="C27" s="392">
        <v>0</v>
      </c>
      <c r="D27" s="406" t="s">
        <v>412</v>
      </c>
      <c r="E27" s="392">
        <v>0</v>
      </c>
      <c r="F27" s="392">
        <f t="shared" si="0"/>
        <v>0</v>
      </c>
      <c r="I27" s="390" t="s">
        <v>361</v>
      </c>
      <c r="J27" s="391">
        <v>8300</v>
      </c>
      <c r="K27" s="392">
        <v>5828</v>
      </c>
      <c r="L27" s="469">
        <v>44593</v>
      </c>
      <c r="M27" s="392">
        <v>5828</v>
      </c>
      <c r="N27" s="137">
        <f t="shared" si="1"/>
        <v>0</v>
      </c>
    </row>
    <row r="28" spans="1:17" ht="15.75" x14ac:dyDescent="0.25">
      <c r="A28" s="393" t="s">
        <v>363</v>
      </c>
      <c r="B28" s="394" t="s">
        <v>399</v>
      </c>
      <c r="C28" s="392">
        <v>40814.9</v>
      </c>
      <c r="D28" s="405">
        <v>44589</v>
      </c>
      <c r="E28" s="392">
        <v>40814.9</v>
      </c>
      <c r="F28" s="392">
        <f t="shared" si="0"/>
        <v>0</v>
      </c>
      <c r="I28" s="390" t="s">
        <v>362</v>
      </c>
      <c r="J28" s="391">
        <v>8312</v>
      </c>
      <c r="K28" s="392">
        <v>2464</v>
      </c>
      <c r="L28" s="469">
        <v>44593</v>
      </c>
      <c r="M28" s="392">
        <v>2464</v>
      </c>
      <c r="N28" s="137">
        <f t="shared" si="1"/>
        <v>0</v>
      </c>
    </row>
    <row r="29" spans="1:17" ht="15.75" x14ac:dyDescent="0.25">
      <c r="A29" s="393" t="s">
        <v>364</v>
      </c>
      <c r="B29" s="394" t="s">
        <v>400</v>
      </c>
      <c r="C29" s="392">
        <v>84819.68</v>
      </c>
      <c r="D29" s="405">
        <v>44589</v>
      </c>
      <c r="E29" s="392">
        <v>84819.68</v>
      </c>
      <c r="F29" s="392">
        <f t="shared" si="0"/>
        <v>0</v>
      </c>
      <c r="I29" s="390" t="s">
        <v>363</v>
      </c>
      <c r="J29" s="391">
        <v>8338</v>
      </c>
      <c r="K29" s="392">
        <v>2056.8000000000002</v>
      </c>
      <c r="L29" s="469">
        <v>44593</v>
      </c>
      <c r="M29" s="392">
        <v>2056.8000000000002</v>
      </c>
      <c r="N29" s="137">
        <f t="shared" si="1"/>
        <v>0</v>
      </c>
    </row>
    <row r="30" spans="1:17" ht="18.75" x14ac:dyDescent="0.3">
      <c r="A30" s="393" t="s">
        <v>365</v>
      </c>
      <c r="B30" s="394" t="s">
        <v>401</v>
      </c>
      <c r="C30" s="392">
        <v>74257.8</v>
      </c>
      <c r="D30" s="405">
        <v>44589</v>
      </c>
      <c r="E30" s="392">
        <v>74257.8</v>
      </c>
      <c r="F30" s="392">
        <f t="shared" si="0"/>
        <v>0</v>
      </c>
      <c r="G30" s="138"/>
      <c r="I30" s="390" t="s">
        <v>363</v>
      </c>
      <c r="J30" s="465">
        <v>8340</v>
      </c>
      <c r="K30" s="392">
        <v>219199.6</v>
      </c>
      <c r="L30" s="470">
        <v>44643</v>
      </c>
      <c r="M30" s="480">
        <v>219199.6</v>
      </c>
      <c r="N30" s="137">
        <f t="shared" si="1"/>
        <v>0</v>
      </c>
      <c r="Q30" s="392"/>
    </row>
    <row r="31" spans="1:17" ht="15.75" x14ac:dyDescent="0.25">
      <c r="A31" s="393" t="s">
        <v>366</v>
      </c>
      <c r="B31" s="394" t="s">
        <v>402</v>
      </c>
      <c r="C31" s="392">
        <v>115953.8</v>
      </c>
      <c r="D31" s="405">
        <v>44589</v>
      </c>
      <c r="E31" s="392">
        <v>115953.8</v>
      </c>
      <c r="F31" s="392">
        <f t="shared" si="0"/>
        <v>0</v>
      </c>
      <c r="I31" s="390" t="s">
        <v>364</v>
      </c>
      <c r="J31" s="465">
        <v>8342</v>
      </c>
      <c r="K31" s="392">
        <v>1605</v>
      </c>
      <c r="L31" s="470">
        <v>44643</v>
      </c>
      <c r="M31" s="480">
        <v>1605</v>
      </c>
      <c r="N31" s="137">
        <f t="shared" si="1"/>
        <v>0</v>
      </c>
      <c r="Q31" s="392"/>
    </row>
    <row r="32" spans="1:17" ht="15.75" x14ac:dyDescent="0.25">
      <c r="A32" s="393" t="s">
        <v>366</v>
      </c>
      <c r="B32" s="394" t="s">
        <v>403</v>
      </c>
      <c r="C32" s="392">
        <v>420</v>
      </c>
      <c r="D32" s="405">
        <v>44589</v>
      </c>
      <c r="E32" s="392">
        <v>420</v>
      </c>
      <c r="F32" s="392">
        <f t="shared" si="0"/>
        <v>0</v>
      </c>
      <c r="I32" s="390" t="s">
        <v>365</v>
      </c>
      <c r="J32" s="465">
        <v>8359</v>
      </c>
      <c r="K32" s="392">
        <v>16970.400000000001</v>
      </c>
      <c r="L32" s="470">
        <v>44643</v>
      </c>
      <c r="M32" s="480">
        <v>16970.400000000001</v>
      </c>
      <c r="N32" s="137">
        <f t="shared" si="1"/>
        <v>0</v>
      </c>
      <c r="Q32" s="392"/>
    </row>
    <row r="33" spans="1:17" ht="15.75" x14ac:dyDescent="0.25">
      <c r="A33" s="393" t="s">
        <v>367</v>
      </c>
      <c r="B33" s="394" t="s">
        <v>404</v>
      </c>
      <c r="C33" s="392">
        <v>12359.2</v>
      </c>
      <c r="D33" s="405">
        <v>44589</v>
      </c>
      <c r="E33" s="392">
        <v>12359.2</v>
      </c>
      <c r="F33" s="392">
        <f t="shared" si="0"/>
        <v>0</v>
      </c>
      <c r="I33" s="390" t="s">
        <v>366</v>
      </c>
      <c r="J33" s="465">
        <v>8363</v>
      </c>
      <c r="K33" s="392">
        <v>1544.6</v>
      </c>
      <c r="L33" s="470">
        <v>44643</v>
      </c>
      <c r="M33" s="480">
        <v>1544.6</v>
      </c>
      <c r="N33" s="137">
        <f t="shared" si="1"/>
        <v>0</v>
      </c>
      <c r="Q33" s="392"/>
    </row>
    <row r="34" spans="1:17" ht="15.75" x14ac:dyDescent="0.25">
      <c r="A34" s="393" t="s">
        <v>368</v>
      </c>
      <c r="B34" s="394" t="s">
        <v>405</v>
      </c>
      <c r="C34" s="392">
        <v>66416.800000000003</v>
      </c>
      <c r="D34" s="405">
        <v>44589</v>
      </c>
      <c r="E34" s="392">
        <v>66416.800000000003</v>
      </c>
      <c r="F34" s="392">
        <f t="shared" si="0"/>
        <v>0</v>
      </c>
      <c r="I34" s="390" t="s">
        <v>366</v>
      </c>
      <c r="J34" s="465">
        <v>8365</v>
      </c>
      <c r="K34" s="392">
        <v>1161</v>
      </c>
      <c r="L34" s="470">
        <v>44643</v>
      </c>
      <c r="M34" s="480">
        <v>1161</v>
      </c>
      <c r="N34" s="137">
        <f t="shared" si="1"/>
        <v>0</v>
      </c>
      <c r="Q34" s="392"/>
    </row>
    <row r="35" spans="1:17" ht="15.75" x14ac:dyDescent="0.25">
      <c r="A35" s="393" t="s">
        <v>368</v>
      </c>
      <c r="B35" s="394" t="s">
        <v>406</v>
      </c>
      <c r="C35" s="392">
        <v>10750</v>
      </c>
      <c r="D35" s="405">
        <v>44589</v>
      </c>
      <c r="E35" s="392">
        <v>10750</v>
      </c>
      <c r="F35" s="392">
        <f t="shared" si="0"/>
        <v>0</v>
      </c>
      <c r="I35" s="390" t="s">
        <v>367</v>
      </c>
      <c r="J35" s="465">
        <v>8375</v>
      </c>
      <c r="K35" s="392">
        <v>3838.8</v>
      </c>
      <c r="L35" s="470">
        <v>44643</v>
      </c>
      <c r="M35" s="480">
        <v>3838.8</v>
      </c>
      <c r="N35" s="137">
        <f t="shared" si="1"/>
        <v>0</v>
      </c>
      <c r="Q35" s="392"/>
    </row>
    <row r="36" spans="1:17" ht="15.75" x14ac:dyDescent="0.25">
      <c r="A36" s="393" t="s">
        <v>368</v>
      </c>
      <c r="B36" s="394" t="s">
        <v>407</v>
      </c>
      <c r="C36" s="392">
        <v>28322</v>
      </c>
      <c r="D36" s="405">
        <v>44589</v>
      </c>
      <c r="E36" s="392">
        <v>28322</v>
      </c>
      <c r="F36" s="392">
        <f t="shared" si="0"/>
        <v>0</v>
      </c>
      <c r="I36" s="390" t="s">
        <v>367</v>
      </c>
      <c r="J36" s="465">
        <v>8379</v>
      </c>
      <c r="K36" s="392">
        <v>1696</v>
      </c>
      <c r="L36" s="470">
        <v>44643</v>
      </c>
      <c r="M36" s="480">
        <v>1696</v>
      </c>
      <c r="N36" s="137">
        <f t="shared" si="1"/>
        <v>0</v>
      </c>
      <c r="Q36" s="392"/>
    </row>
    <row r="37" spans="1:17" ht="15.75" x14ac:dyDescent="0.25">
      <c r="A37" s="393" t="s">
        <v>369</v>
      </c>
      <c r="B37" s="394" t="s">
        <v>408</v>
      </c>
      <c r="C37" s="392">
        <v>61861.4</v>
      </c>
      <c r="D37" s="405">
        <v>44589</v>
      </c>
      <c r="E37" s="392">
        <v>61861.4</v>
      </c>
      <c r="F37" s="392">
        <f t="shared" si="0"/>
        <v>0</v>
      </c>
      <c r="I37" s="390" t="s">
        <v>368</v>
      </c>
      <c r="J37" s="465">
        <v>8386</v>
      </c>
      <c r="K37" s="392">
        <v>953.6</v>
      </c>
      <c r="L37" s="470">
        <v>44643</v>
      </c>
      <c r="M37" s="480">
        <v>953.6</v>
      </c>
      <c r="N37" s="137">
        <f t="shared" si="1"/>
        <v>0</v>
      </c>
      <c r="Q37" s="392"/>
    </row>
    <row r="38" spans="1:17" ht="15.75" x14ac:dyDescent="0.25">
      <c r="A38" s="393" t="s">
        <v>370</v>
      </c>
      <c r="B38" s="394" t="s">
        <v>409</v>
      </c>
      <c r="C38" s="392">
        <v>78773.820000000007</v>
      </c>
      <c r="D38" s="443">
        <v>44617</v>
      </c>
      <c r="E38" s="444">
        <v>78773.820000000007</v>
      </c>
      <c r="F38" s="392">
        <f t="shared" si="0"/>
        <v>0</v>
      </c>
      <c r="I38" s="390" t="s">
        <v>369</v>
      </c>
      <c r="J38" s="465">
        <v>8393</v>
      </c>
      <c r="K38" s="392">
        <v>5587.4</v>
      </c>
      <c r="L38" s="470">
        <v>44643</v>
      </c>
      <c r="M38" s="480">
        <v>5587.4</v>
      </c>
      <c r="N38" s="137">
        <f t="shared" si="1"/>
        <v>0</v>
      </c>
      <c r="Q38" s="392"/>
    </row>
    <row r="39" spans="1:17" ht="15.75" x14ac:dyDescent="0.25">
      <c r="A39" s="393" t="s">
        <v>371</v>
      </c>
      <c r="B39" s="394" t="s">
        <v>410</v>
      </c>
      <c r="C39" s="392">
        <v>38574.800000000003</v>
      </c>
      <c r="D39" s="443">
        <v>44617</v>
      </c>
      <c r="E39" s="444">
        <v>38574.800000000003</v>
      </c>
      <c r="F39" s="392">
        <f t="shared" si="0"/>
        <v>0</v>
      </c>
      <c r="I39" s="390" t="s">
        <v>370</v>
      </c>
      <c r="J39" s="465">
        <v>8403</v>
      </c>
      <c r="K39" s="392">
        <v>2021.2</v>
      </c>
      <c r="L39" s="470">
        <v>44643</v>
      </c>
      <c r="M39" s="480">
        <v>2021.2</v>
      </c>
      <c r="N39" s="137">
        <f t="shared" si="1"/>
        <v>0</v>
      </c>
      <c r="Q39" s="392"/>
    </row>
    <row r="40" spans="1:17" ht="15.75" x14ac:dyDescent="0.25">
      <c r="A40" s="393" t="s">
        <v>372</v>
      </c>
      <c r="B40" s="394" t="s">
        <v>411</v>
      </c>
      <c r="C40" s="392">
        <v>53825.279999999999</v>
      </c>
      <c r="D40" s="443">
        <v>44617</v>
      </c>
      <c r="E40" s="444">
        <v>53825.279999999999</v>
      </c>
      <c r="F40" s="392">
        <f t="shared" si="0"/>
        <v>0</v>
      </c>
      <c r="I40" s="390" t="s">
        <v>370</v>
      </c>
      <c r="J40" s="465">
        <v>8404</v>
      </c>
      <c r="K40" s="392">
        <v>175</v>
      </c>
      <c r="L40" s="470">
        <v>44643</v>
      </c>
      <c r="M40" s="480">
        <v>175</v>
      </c>
      <c r="N40" s="137">
        <f t="shared" si="1"/>
        <v>0</v>
      </c>
      <c r="Q40" s="392"/>
    </row>
    <row r="41" spans="1:17" ht="15.75" x14ac:dyDescent="0.25">
      <c r="A41" s="393"/>
      <c r="B41" s="394"/>
      <c r="C41" s="392"/>
      <c r="D41" s="443"/>
      <c r="E41" s="444"/>
      <c r="F41" s="392">
        <f t="shared" si="0"/>
        <v>0</v>
      </c>
      <c r="I41" s="390" t="s">
        <v>370</v>
      </c>
      <c r="J41" s="465">
        <v>8405</v>
      </c>
      <c r="K41" s="392">
        <v>118474.8</v>
      </c>
      <c r="L41" s="470">
        <v>44643</v>
      </c>
      <c r="M41" s="480">
        <v>118474.8</v>
      </c>
      <c r="N41" s="137">
        <f t="shared" si="1"/>
        <v>0</v>
      </c>
      <c r="Q41" s="392"/>
    </row>
    <row r="42" spans="1:17" ht="15.75" x14ac:dyDescent="0.25">
      <c r="A42" s="245"/>
      <c r="B42" s="246"/>
      <c r="C42" s="111"/>
      <c r="D42" s="253"/>
      <c r="E42" s="69"/>
      <c r="F42" s="392">
        <f t="shared" si="0"/>
        <v>0</v>
      </c>
      <c r="I42" s="390" t="s">
        <v>371</v>
      </c>
      <c r="J42" s="465">
        <v>8422</v>
      </c>
      <c r="K42" s="392">
        <v>27106.9</v>
      </c>
      <c r="L42" s="470">
        <v>44643</v>
      </c>
      <c r="M42" s="480">
        <v>27106.9</v>
      </c>
      <c r="N42" s="137">
        <f t="shared" si="1"/>
        <v>0</v>
      </c>
      <c r="Q42" s="392"/>
    </row>
    <row r="43" spans="1:17" ht="15.75" x14ac:dyDescent="0.25">
      <c r="A43" s="245"/>
      <c r="B43" s="665" t="s">
        <v>413</v>
      </c>
      <c r="C43" s="666"/>
      <c r="D43" s="666"/>
      <c r="E43" s="667"/>
      <c r="F43" s="392">
        <f t="shared" si="0"/>
        <v>0</v>
      </c>
      <c r="I43" s="390" t="s">
        <v>371</v>
      </c>
      <c r="J43" s="465">
        <v>8423</v>
      </c>
      <c r="K43" s="392">
        <v>1096.2</v>
      </c>
      <c r="L43" s="470">
        <v>44643</v>
      </c>
      <c r="M43" s="480">
        <v>1096.2</v>
      </c>
      <c r="N43" s="137">
        <f t="shared" si="1"/>
        <v>0</v>
      </c>
      <c r="Q43" s="392"/>
    </row>
    <row r="44" spans="1:17" ht="15" customHeight="1" x14ac:dyDescent="0.25">
      <c r="A44" s="245"/>
      <c r="B44" s="668"/>
      <c r="C44" s="669"/>
      <c r="D44" s="669"/>
      <c r="E44" s="670"/>
      <c r="F44" s="392">
        <f t="shared" si="0"/>
        <v>0</v>
      </c>
      <c r="I44" s="390" t="s">
        <v>372</v>
      </c>
      <c r="J44" s="465">
        <v>8434</v>
      </c>
      <c r="K44" s="392">
        <v>1609</v>
      </c>
      <c r="L44" s="470">
        <v>44643</v>
      </c>
      <c r="M44" s="480">
        <v>1609</v>
      </c>
      <c r="N44" s="137">
        <f t="shared" si="1"/>
        <v>0</v>
      </c>
      <c r="Q44" s="392"/>
    </row>
    <row r="45" spans="1:17" ht="15.75" x14ac:dyDescent="0.25">
      <c r="A45" s="245"/>
      <c r="B45" s="671"/>
      <c r="C45" s="672"/>
      <c r="D45" s="672"/>
      <c r="E45" s="673"/>
      <c r="F45" s="392">
        <f t="shared" si="0"/>
        <v>0</v>
      </c>
      <c r="I45" s="390"/>
      <c r="J45" s="391"/>
      <c r="K45" s="392"/>
      <c r="L45" s="470" t="s">
        <v>310</v>
      </c>
      <c r="M45" s="143"/>
      <c r="N45" s="137">
        <f t="shared" si="1"/>
        <v>0</v>
      </c>
      <c r="Q45" s="392"/>
    </row>
    <row r="46" spans="1:17" ht="15.75" x14ac:dyDescent="0.25">
      <c r="A46" s="245"/>
      <c r="B46" s="246"/>
      <c r="C46" s="111"/>
      <c r="D46" s="253"/>
      <c r="E46" s="69"/>
      <c r="F46" s="392">
        <f t="shared" si="0"/>
        <v>0</v>
      </c>
      <c r="I46" s="390"/>
      <c r="J46" s="391"/>
      <c r="K46" s="392"/>
      <c r="L46" s="470" t="s">
        <v>310</v>
      </c>
      <c r="M46" s="143"/>
      <c r="N46" s="137">
        <f t="shared" si="1"/>
        <v>0</v>
      </c>
      <c r="Q46" s="392"/>
    </row>
    <row r="47" spans="1:17" ht="16.5" thickBot="1" x14ac:dyDescent="0.3">
      <c r="A47" s="245"/>
      <c r="B47" s="680" t="s">
        <v>593</v>
      </c>
      <c r="C47" s="681"/>
      <c r="D47" s="253"/>
      <c r="E47" s="69"/>
      <c r="F47" s="137">
        <f t="shared" ref="F47:F73" si="2">F46+C47-E47</f>
        <v>0</v>
      </c>
      <c r="I47" s="348"/>
      <c r="J47" s="359"/>
      <c r="K47" s="360">
        <v>0</v>
      </c>
      <c r="L47" s="466"/>
      <c r="M47" s="143"/>
      <c r="N47" s="137">
        <f t="shared" si="1"/>
        <v>0</v>
      </c>
      <c r="Q47" s="457"/>
    </row>
    <row r="48" spans="1:17" ht="15.75" x14ac:dyDescent="0.25">
      <c r="A48" s="245"/>
      <c r="B48" s="682"/>
      <c r="C48" s="683"/>
      <c r="D48" s="253"/>
      <c r="E48" s="69"/>
      <c r="F48" s="137">
        <f t="shared" si="2"/>
        <v>0</v>
      </c>
      <c r="I48" s="348"/>
      <c r="J48" s="674" t="s">
        <v>414</v>
      </c>
      <c r="K48" s="675"/>
      <c r="L48" s="676"/>
      <c r="M48" s="206"/>
      <c r="N48" s="137">
        <f>N47+K48-M48</f>
        <v>0</v>
      </c>
    </row>
    <row r="49" spans="1:14" ht="16.5" thickBot="1" x14ac:dyDescent="0.3">
      <c r="A49" s="134"/>
      <c r="B49" s="139"/>
      <c r="C49" s="69"/>
      <c r="D49" s="253"/>
      <c r="E49" s="69"/>
      <c r="F49" s="137">
        <f t="shared" si="2"/>
        <v>0</v>
      </c>
      <c r="I49" s="348"/>
      <c r="J49" s="677"/>
      <c r="K49" s="678"/>
      <c r="L49" s="679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684" t="s">
        <v>594</v>
      </c>
      <c r="J50" s="685"/>
      <c r="K50" s="215">
        <v>0</v>
      </c>
      <c r="L50" s="467"/>
      <c r="M50" s="69"/>
      <c r="N50" s="137">
        <f t="shared" si="1"/>
        <v>0</v>
      </c>
    </row>
    <row r="51" spans="1:14" ht="15.75" hidden="1" customHeight="1" x14ac:dyDescent="0.25">
      <c r="A51" s="134"/>
      <c r="B51" s="139"/>
      <c r="C51" s="69"/>
      <c r="D51" s="253"/>
      <c r="E51" s="69"/>
      <c r="F51" s="137">
        <f t="shared" si="2"/>
        <v>0</v>
      </c>
      <c r="I51" s="684"/>
      <c r="J51" s="685"/>
      <c r="K51" s="69"/>
      <c r="L51" s="253"/>
      <c r="M51" s="69"/>
      <c r="N51" s="137">
        <f t="shared" si="1"/>
        <v>0</v>
      </c>
    </row>
    <row r="52" spans="1:14" ht="15.75" hidden="1" customHeight="1" x14ac:dyDescent="0.25">
      <c r="A52" s="134"/>
      <c r="B52" s="139"/>
      <c r="C52" s="69"/>
      <c r="D52" s="253"/>
      <c r="E52" s="69"/>
      <c r="F52" s="137">
        <f t="shared" si="2"/>
        <v>0</v>
      </c>
      <c r="I52" s="684"/>
      <c r="J52" s="685"/>
      <c r="K52" s="69"/>
      <c r="L52" s="253"/>
      <c r="M52" s="69"/>
      <c r="N52" s="137">
        <f t="shared" si="1"/>
        <v>0</v>
      </c>
    </row>
    <row r="53" spans="1:14" ht="15.75" hidden="1" customHeight="1" x14ac:dyDescent="0.25">
      <c r="A53" s="134"/>
      <c r="B53" s="139"/>
      <c r="C53" s="69"/>
      <c r="D53" s="253"/>
      <c r="E53" s="69"/>
      <c r="F53" s="137">
        <f t="shared" si="2"/>
        <v>0</v>
      </c>
      <c r="I53" s="684"/>
      <c r="J53" s="685"/>
      <c r="K53" s="69"/>
      <c r="L53" s="253"/>
      <c r="M53" s="69"/>
      <c r="N53" s="137">
        <f t="shared" si="1"/>
        <v>0</v>
      </c>
    </row>
    <row r="54" spans="1:14" ht="15.75" hidden="1" customHeight="1" x14ac:dyDescent="0.25">
      <c r="A54" s="134"/>
      <c r="B54" s="139"/>
      <c r="C54" s="69"/>
      <c r="D54" s="253"/>
      <c r="E54" s="69"/>
      <c r="F54" s="137">
        <f t="shared" si="2"/>
        <v>0</v>
      </c>
      <c r="I54" s="684"/>
      <c r="J54" s="685"/>
      <c r="K54" s="69"/>
      <c r="L54" s="253"/>
      <c r="M54" s="69"/>
      <c r="N54" s="137">
        <f t="shared" si="1"/>
        <v>0</v>
      </c>
    </row>
    <row r="55" spans="1:14" ht="15.75" hidden="1" customHeight="1" x14ac:dyDescent="0.25">
      <c r="A55" s="134"/>
      <c r="B55" s="139"/>
      <c r="C55" s="69"/>
      <c r="D55" s="253"/>
      <c r="E55" s="69"/>
      <c r="F55" s="137">
        <f t="shared" si="2"/>
        <v>0</v>
      </c>
      <c r="I55" s="684"/>
      <c r="J55" s="685"/>
      <c r="K55" s="69"/>
      <c r="L55" s="253"/>
      <c r="M55" s="69"/>
      <c r="N55" s="137">
        <f t="shared" si="1"/>
        <v>0</v>
      </c>
    </row>
    <row r="56" spans="1:14" ht="15.75" hidden="1" customHeight="1" x14ac:dyDescent="0.25">
      <c r="A56" s="134"/>
      <c r="B56" s="139"/>
      <c r="C56" s="69"/>
      <c r="D56" s="253"/>
      <c r="E56" s="69"/>
      <c r="F56" s="137">
        <f t="shared" si="2"/>
        <v>0</v>
      </c>
      <c r="I56" s="684"/>
      <c r="J56" s="685"/>
      <c r="K56" s="69"/>
      <c r="L56" s="253"/>
      <c r="M56" s="69"/>
      <c r="N56" s="137">
        <f t="shared" si="1"/>
        <v>0</v>
      </c>
    </row>
    <row r="57" spans="1:14" ht="15.75" hidden="1" customHeight="1" x14ac:dyDescent="0.25">
      <c r="A57" s="134"/>
      <c r="B57" s="139"/>
      <c r="C57" s="69"/>
      <c r="D57" s="253"/>
      <c r="E57" s="69"/>
      <c r="F57" s="137">
        <f t="shared" si="2"/>
        <v>0</v>
      </c>
      <c r="I57" s="684"/>
      <c r="J57" s="685"/>
      <c r="K57" s="69"/>
      <c r="L57" s="253"/>
      <c r="M57" s="69"/>
      <c r="N57" s="137">
        <f t="shared" si="1"/>
        <v>0</v>
      </c>
    </row>
    <row r="58" spans="1:14" ht="15.75" hidden="1" customHeight="1" x14ac:dyDescent="0.25">
      <c r="A58" s="134"/>
      <c r="B58" s="139"/>
      <c r="C58" s="69"/>
      <c r="D58" s="253"/>
      <c r="E58" s="69"/>
      <c r="F58" s="137">
        <f t="shared" si="2"/>
        <v>0</v>
      </c>
      <c r="I58" s="684"/>
      <c r="J58" s="685"/>
      <c r="K58" s="69"/>
      <c r="L58" s="253"/>
      <c r="M58" s="69"/>
      <c r="N58" s="137">
        <f t="shared" si="1"/>
        <v>0</v>
      </c>
    </row>
    <row r="59" spans="1:14" ht="15.75" hidden="1" customHeight="1" x14ac:dyDescent="0.25">
      <c r="A59" s="134"/>
      <c r="B59" s="139"/>
      <c r="C59" s="69"/>
      <c r="D59" s="253"/>
      <c r="E59" s="69"/>
      <c r="F59" s="137">
        <f t="shared" si="2"/>
        <v>0</v>
      </c>
      <c r="I59" s="684"/>
      <c r="J59" s="685"/>
      <c r="K59" s="69"/>
      <c r="L59" s="253"/>
      <c r="M59" s="69"/>
      <c r="N59" s="137">
        <f t="shared" si="1"/>
        <v>0</v>
      </c>
    </row>
    <row r="60" spans="1:14" ht="15.75" hidden="1" customHeight="1" x14ac:dyDescent="0.25">
      <c r="A60" s="134"/>
      <c r="B60" s="139"/>
      <c r="C60" s="69"/>
      <c r="D60" s="253"/>
      <c r="E60" s="69"/>
      <c r="F60" s="137">
        <f t="shared" si="2"/>
        <v>0</v>
      </c>
      <c r="I60" s="684"/>
      <c r="J60" s="685"/>
      <c r="K60" s="69"/>
      <c r="L60" s="253"/>
      <c r="M60" s="69"/>
      <c r="N60" s="137">
        <f t="shared" si="1"/>
        <v>0</v>
      </c>
    </row>
    <row r="61" spans="1:14" ht="15.75" hidden="1" customHeight="1" x14ac:dyDescent="0.25">
      <c r="A61" s="134"/>
      <c r="B61" s="139"/>
      <c r="C61" s="69"/>
      <c r="D61" s="253"/>
      <c r="E61" s="69"/>
      <c r="F61" s="137">
        <f t="shared" si="2"/>
        <v>0</v>
      </c>
      <c r="I61" s="684"/>
      <c r="J61" s="685"/>
      <c r="K61" s="69"/>
      <c r="L61" s="253"/>
      <c r="M61" s="69"/>
      <c r="N61" s="137">
        <f t="shared" si="1"/>
        <v>0</v>
      </c>
    </row>
    <row r="62" spans="1:14" ht="15.75" hidden="1" customHeight="1" x14ac:dyDescent="0.25">
      <c r="A62" s="134"/>
      <c r="B62" s="139"/>
      <c r="C62" s="69"/>
      <c r="D62" s="254"/>
      <c r="E62" s="69"/>
      <c r="F62" s="137">
        <f t="shared" si="2"/>
        <v>0</v>
      </c>
      <c r="I62" s="684"/>
      <c r="J62" s="685"/>
      <c r="K62" s="34"/>
      <c r="L62" s="118"/>
      <c r="M62" s="34"/>
      <c r="N62" s="137">
        <f t="shared" si="1"/>
        <v>0</v>
      </c>
    </row>
    <row r="63" spans="1:14" ht="15.75" hidden="1" customHeight="1" x14ac:dyDescent="0.25">
      <c r="A63" s="134"/>
      <c r="B63" s="139"/>
      <c r="C63" s="69"/>
      <c r="D63" s="254"/>
      <c r="E63" s="69"/>
      <c r="F63" s="137">
        <f t="shared" si="2"/>
        <v>0</v>
      </c>
      <c r="I63" s="684"/>
      <c r="J63" s="685"/>
      <c r="K63" s="34"/>
      <c r="L63" s="118"/>
      <c r="M63" s="34"/>
      <c r="N63" s="137">
        <f t="shared" si="1"/>
        <v>0</v>
      </c>
    </row>
    <row r="64" spans="1:14" ht="15.75" hidden="1" customHeight="1" x14ac:dyDescent="0.25">
      <c r="A64" s="134"/>
      <c r="B64" s="139"/>
      <c r="C64" s="69"/>
      <c r="D64" s="254"/>
      <c r="E64" s="69"/>
      <c r="F64" s="137">
        <f t="shared" si="2"/>
        <v>0</v>
      </c>
      <c r="I64" s="684"/>
      <c r="J64" s="685"/>
      <c r="K64" s="34"/>
      <c r="L64" s="118"/>
      <c r="M64" s="34"/>
      <c r="N64" s="137">
        <f t="shared" si="1"/>
        <v>0</v>
      </c>
    </row>
    <row r="65" spans="1:14" ht="15.75" hidden="1" customHeight="1" x14ac:dyDescent="0.25">
      <c r="A65" s="134"/>
      <c r="B65" s="139"/>
      <c r="C65" s="69"/>
      <c r="D65" s="254"/>
      <c r="E65" s="69"/>
      <c r="F65" s="137">
        <f t="shared" si="2"/>
        <v>0</v>
      </c>
      <c r="I65" s="684"/>
      <c r="J65" s="685"/>
      <c r="K65" s="34"/>
      <c r="L65" s="118"/>
      <c r="M65" s="34"/>
      <c r="N65" s="137">
        <f t="shared" si="1"/>
        <v>0</v>
      </c>
    </row>
    <row r="66" spans="1:14" ht="15.75" hidden="1" customHeight="1" x14ac:dyDescent="0.25">
      <c r="A66" s="134"/>
      <c r="B66" s="139"/>
      <c r="C66" s="69"/>
      <c r="D66" s="254"/>
      <c r="E66" s="69"/>
      <c r="F66" s="137">
        <f t="shared" si="2"/>
        <v>0</v>
      </c>
      <c r="I66" s="684"/>
      <c r="J66" s="685"/>
      <c r="K66" s="34"/>
      <c r="L66" s="118"/>
      <c r="M66" s="34"/>
      <c r="N66" s="137">
        <f t="shared" si="1"/>
        <v>0</v>
      </c>
    </row>
    <row r="67" spans="1:14" ht="15.75" hidden="1" customHeight="1" x14ac:dyDescent="0.25">
      <c r="A67" s="356"/>
      <c r="B67" s="357"/>
      <c r="C67" s="34"/>
      <c r="D67" s="118"/>
      <c r="E67" s="34"/>
      <c r="F67" s="137">
        <f t="shared" si="2"/>
        <v>0</v>
      </c>
      <c r="I67" s="684"/>
      <c r="J67" s="685"/>
      <c r="K67" s="34"/>
      <c r="L67" s="118"/>
      <c r="M67" s="34"/>
      <c r="N67" s="137">
        <f t="shared" si="1"/>
        <v>0</v>
      </c>
    </row>
    <row r="68" spans="1:14" ht="15.75" hidden="1" customHeight="1" x14ac:dyDescent="0.25">
      <c r="A68" s="134"/>
      <c r="B68" s="139"/>
      <c r="C68" s="69"/>
      <c r="D68" s="254"/>
      <c r="E68" s="69"/>
      <c r="F68" s="137">
        <f t="shared" si="2"/>
        <v>0</v>
      </c>
      <c r="I68" s="684"/>
      <c r="J68" s="685"/>
      <c r="K68" s="69"/>
      <c r="L68" s="254"/>
      <c r="M68" s="69"/>
      <c r="N68" s="137">
        <f t="shared" si="1"/>
        <v>0</v>
      </c>
    </row>
    <row r="69" spans="1:14" ht="15.75" hidden="1" customHeight="1" x14ac:dyDescent="0.25">
      <c r="A69" s="134"/>
      <c r="B69" s="139"/>
      <c r="C69" s="69"/>
      <c r="D69" s="254"/>
      <c r="E69" s="69"/>
      <c r="F69" s="137">
        <f t="shared" si="2"/>
        <v>0</v>
      </c>
      <c r="I69" s="684"/>
      <c r="J69" s="685"/>
      <c r="K69" s="69"/>
      <c r="L69" s="254"/>
      <c r="M69" s="69"/>
      <c r="N69" s="137">
        <f t="shared" si="1"/>
        <v>0</v>
      </c>
    </row>
    <row r="70" spans="1:14" ht="15.75" hidden="1" customHeight="1" x14ac:dyDescent="0.25">
      <c r="A70" s="134"/>
      <c r="B70" s="139"/>
      <c r="C70" s="69"/>
      <c r="D70" s="254"/>
      <c r="E70" s="69"/>
      <c r="F70" s="137">
        <f t="shared" si="2"/>
        <v>0</v>
      </c>
      <c r="I70" s="684"/>
      <c r="J70" s="685"/>
      <c r="K70" s="69"/>
      <c r="L70" s="254"/>
      <c r="M70" s="69"/>
      <c r="N70" s="137">
        <f t="shared" si="1"/>
        <v>0</v>
      </c>
    </row>
    <row r="71" spans="1:14" ht="15.75" hidden="1" customHeight="1" x14ac:dyDescent="0.25">
      <c r="A71" s="134"/>
      <c r="B71" s="139"/>
      <c r="C71" s="69"/>
      <c r="D71" s="254"/>
      <c r="E71" s="69"/>
      <c r="F71" s="137">
        <f t="shared" si="2"/>
        <v>0</v>
      </c>
      <c r="I71" s="684"/>
      <c r="J71" s="685"/>
      <c r="K71" s="69"/>
      <c r="L71" s="254"/>
      <c r="M71" s="69"/>
      <c r="N71" s="137">
        <f t="shared" si="1"/>
        <v>0</v>
      </c>
    </row>
    <row r="72" spans="1:14" ht="15.75" hidden="1" customHeight="1" x14ac:dyDescent="0.25">
      <c r="A72" s="134"/>
      <c r="B72" s="139"/>
      <c r="C72" s="69"/>
      <c r="D72" s="254"/>
      <c r="E72" s="69"/>
      <c r="F72" s="137">
        <f t="shared" si="2"/>
        <v>0</v>
      </c>
      <c r="I72" s="684"/>
      <c r="J72" s="685"/>
      <c r="K72" s="69"/>
      <c r="L72" s="254"/>
      <c r="M72" s="69"/>
      <c r="N72" s="137">
        <f t="shared" si="1"/>
        <v>0</v>
      </c>
    </row>
    <row r="73" spans="1:14" ht="15.75" hidden="1" customHeight="1" x14ac:dyDescent="0.25">
      <c r="A73" s="134"/>
      <c r="B73" s="139"/>
      <c r="C73" s="69"/>
      <c r="D73" s="254"/>
      <c r="E73" s="69"/>
      <c r="F73" s="137">
        <f t="shared" si="2"/>
        <v>0</v>
      </c>
      <c r="I73" s="684"/>
      <c r="J73" s="685"/>
      <c r="K73" s="69"/>
      <c r="L73" s="254"/>
      <c r="M73" s="69"/>
      <c r="N73" s="137">
        <f t="shared" si="1"/>
        <v>0</v>
      </c>
    </row>
    <row r="74" spans="1:14" ht="15.75" hidden="1" customHeight="1" x14ac:dyDescent="0.25">
      <c r="A74" s="134"/>
      <c r="B74" s="139"/>
      <c r="C74" s="69"/>
      <c r="D74" s="254"/>
      <c r="E74" s="69"/>
      <c r="F74" s="137">
        <f>F73+C74-E74</f>
        <v>0</v>
      </c>
      <c r="I74" s="684"/>
      <c r="J74" s="685"/>
      <c r="K74" s="69"/>
      <c r="L74" s="254"/>
      <c r="M74" s="69"/>
      <c r="N74" s="137">
        <f>N73+K74-M74</f>
        <v>0</v>
      </c>
    </row>
    <row r="75" spans="1:14" ht="15.75" hidden="1" customHeight="1" x14ac:dyDescent="0.25">
      <c r="A75" s="134"/>
      <c r="B75" s="139"/>
      <c r="C75" s="69"/>
      <c r="D75" s="254"/>
      <c r="E75" s="69"/>
      <c r="F75" s="137">
        <f>F74+C75-E75</f>
        <v>0</v>
      </c>
      <c r="I75" s="684"/>
      <c r="J75" s="685"/>
      <c r="K75" s="69"/>
      <c r="L75" s="254"/>
      <c r="M75" s="69"/>
      <c r="N75" s="137">
        <f>N74+K75-M75</f>
        <v>0</v>
      </c>
    </row>
    <row r="76" spans="1:14" ht="15.75" hidden="1" customHeight="1" x14ac:dyDescent="0.25">
      <c r="A76" s="134"/>
      <c r="B76" s="139"/>
      <c r="C76" s="69"/>
      <c r="D76" s="254"/>
      <c r="E76" s="69"/>
      <c r="F76" s="137">
        <f>F75+C76-E76</f>
        <v>0</v>
      </c>
      <c r="I76" s="684"/>
      <c r="J76" s="685"/>
      <c r="K76" s="69"/>
      <c r="L76" s="254"/>
      <c r="M76" s="69"/>
      <c r="N76" s="137">
        <f>N75+K76-M76</f>
        <v>0</v>
      </c>
    </row>
    <row r="77" spans="1:14" ht="15.75" hidden="1" customHeight="1" x14ac:dyDescent="0.25">
      <c r="A77" s="134"/>
      <c r="B77" s="139"/>
      <c r="C77" s="69"/>
      <c r="D77" s="254"/>
      <c r="E77" s="69"/>
      <c r="F77" s="137">
        <f>F76+C77-E77</f>
        <v>0</v>
      </c>
      <c r="I77" s="684"/>
      <c r="J77" s="685"/>
      <c r="K77" s="69"/>
      <c r="L77" s="254"/>
      <c r="M77" s="69"/>
      <c r="N77" s="137">
        <f>N76+K77-M77</f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>F77+C78-E78</f>
        <v>0</v>
      </c>
      <c r="I78" s="686"/>
      <c r="J78" s="687"/>
      <c r="K78" s="151">
        <v>0</v>
      </c>
      <c r="L78" s="255"/>
      <c r="M78" s="151"/>
      <c r="N78" s="137">
        <f>N77+K78-M78</f>
        <v>0</v>
      </c>
    </row>
    <row r="79" spans="1:14" ht="19.5" thickTop="1" x14ac:dyDescent="0.3">
      <c r="B79" s="211"/>
      <c r="C79" s="212">
        <f>SUM(C3:C78)</f>
        <v>1448401.2000000002</v>
      </c>
      <c r="D79" s="407"/>
      <c r="E79" s="395">
        <f>SUM(E3:E78)</f>
        <v>1448401.2000000002</v>
      </c>
      <c r="F79" s="153">
        <f>SUM(F3:F78)</f>
        <v>0</v>
      </c>
      <c r="K79" s="209">
        <f>SUM(K3:K78)</f>
        <v>907413.46000000008</v>
      </c>
      <c r="L79" s="471"/>
      <c r="M79" s="209">
        <f>SUM(M3:M78)</f>
        <v>907413.46000000008</v>
      </c>
      <c r="N79" s="153">
        <f>N78</f>
        <v>0</v>
      </c>
    </row>
    <row r="80" spans="1:14" ht="15.75" thickBot="1" x14ac:dyDescent="0.3">
      <c r="B80" s="213"/>
      <c r="C80" s="214"/>
      <c r="D80" s="256"/>
      <c r="E80" s="3"/>
      <c r="F80" s="659" t="s">
        <v>207</v>
      </c>
      <c r="K80" s="1"/>
      <c r="M80" s="3"/>
      <c r="N80" s="1"/>
    </row>
    <row r="81" spans="1:14" x14ac:dyDescent="0.25">
      <c r="B81" s="98"/>
      <c r="C81" s="1"/>
      <c r="D81" s="256"/>
      <c r="E81" s="3"/>
      <c r="F81" s="660"/>
      <c r="K81" s="1"/>
      <c r="M81" s="3"/>
      <c r="N81" s="1"/>
    </row>
    <row r="82" spans="1:14" x14ac:dyDescent="0.25">
      <c r="A82"/>
      <c r="B82" s="23"/>
      <c r="I82"/>
      <c r="J82" s="194"/>
    </row>
    <row r="83" spans="1:14" x14ac:dyDescent="0.25">
      <c r="A83"/>
      <c r="B83" s="23"/>
      <c r="I83"/>
      <c r="J83" s="194"/>
    </row>
    <row r="84" spans="1:14" x14ac:dyDescent="0.25">
      <c r="A84"/>
      <c r="B84" s="23"/>
      <c r="I84"/>
      <c r="J84" s="194"/>
    </row>
    <row r="85" spans="1:14" x14ac:dyDescent="0.25">
      <c r="A85"/>
      <c r="B85" s="23"/>
      <c r="F85"/>
      <c r="I85"/>
      <c r="J85" s="194"/>
      <c r="N85"/>
    </row>
    <row r="86" spans="1:14" x14ac:dyDescent="0.25">
      <c r="A86"/>
      <c r="B86" s="23"/>
      <c r="F86"/>
      <c r="I86"/>
      <c r="J86" s="194"/>
      <c r="N86"/>
    </row>
    <row r="87" spans="1:14" x14ac:dyDescent="0.25">
      <c r="A87"/>
      <c r="B87" s="23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F89"/>
      <c r="I89"/>
      <c r="J89" s="194"/>
      <c r="N89"/>
    </row>
    <row r="90" spans="1:14" x14ac:dyDescent="0.25">
      <c r="A90"/>
      <c r="B90" s="23"/>
      <c r="F90"/>
      <c r="I90"/>
      <c r="J90" s="194"/>
      <c r="N90"/>
    </row>
    <row r="91" spans="1:14" x14ac:dyDescent="0.25">
      <c r="A91"/>
      <c r="B91" s="23"/>
      <c r="F91"/>
      <c r="I91"/>
      <c r="J91" s="194"/>
      <c r="N91"/>
    </row>
    <row r="92" spans="1:14" x14ac:dyDescent="0.25">
      <c r="A92"/>
      <c r="B92" s="23"/>
      <c r="F92"/>
      <c r="I92"/>
      <c r="J92" s="194"/>
      <c r="N92"/>
    </row>
    <row r="93" spans="1:14" x14ac:dyDescent="0.25">
      <c r="A93"/>
      <c r="B93" s="23"/>
      <c r="F93"/>
      <c r="I93"/>
      <c r="J93" s="194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A95"/>
      <c r="B95" s="23"/>
      <c r="E95"/>
      <c r="F95"/>
      <c r="I95"/>
      <c r="J95" s="194"/>
      <c r="M95"/>
      <c r="N95"/>
    </row>
    <row r="96" spans="1:14" x14ac:dyDescent="0.25">
      <c r="A96"/>
      <c r="B96" s="23"/>
      <c r="E96"/>
      <c r="F96"/>
      <c r="I96"/>
      <c r="J96" s="194"/>
      <c r="M96"/>
      <c r="N96"/>
    </row>
    <row r="97" spans="1:14" x14ac:dyDescent="0.25">
      <c r="A97"/>
      <c r="B97" s="23"/>
      <c r="E97"/>
      <c r="F97"/>
      <c r="I97"/>
      <c r="J97" s="194"/>
      <c r="M97"/>
      <c r="N97"/>
    </row>
    <row r="98" spans="1:14" x14ac:dyDescent="0.25">
      <c r="A98"/>
      <c r="B98" s="23"/>
      <c r="E98"/>
      <c r="F98"/>
      <c r="I98"/>
      <c r="J98" s="194"/>
      <c r="M98"/>
      <c r="N98"/>
    </row>
    <row r="99" spans="1:14" x14ac:dyDescent="0.25">
      <c r="A99"/>
      <c r="B99" s="23"/>
      <c r="E99"/>
      <c r="F99"/>
      <c r="I99"/>
      <c r="J99" s="194"/>
      <c r="M99"/>
      <c r="N99"/>
    </row>
    <row r="100" spans="1:14" x14ac:dyDescent="0.25">
      <c r="B100" s="23"/>
      <c r="E100"/>
      <c r="J100" s="194"/>
      <c r="M100"/>
    </row>
    <row r="101" spans="1:14" x14ac:dyDescent="0.25">
      <c r="B101" s="23"/>
      <c r="E101"/>
      <c r="J101" s="194"/>
      <c r="M101"/>
    </row>
    <row r="102" spans="1:14" x14ac:dyDescent="0.25">
      <c r="B102" s="23"/>
      <c r="E102"/>
      <c r="J102" s="194"/>
      <c r="M102"/>
    </row>
    <row r="103" spans="1:14" x14ac:dyDescent="0.25">
      <c r="B103" s="23"/>
      <c r="E103"/>
      <c r="J103" s="194"/>
      <c r="M103"/>
    </row>
    <row r="104" spans="1:14" x14ac:dyDescent="0.25">
      <c r="B104" s="23"/>
      <c r="E104"/>
      <c r="J104" s="194"/>
      <c r="M104"/>
    </row>
    <row r="105" spans="1:14" x14ac:dyDescent="0.25">
      <c r="B105" s="23"/>
      <c r="E105"/>
      <c r="J105" s="194"/>
      <c r="M105"/>
    </row>
    <row r="106" spans="1:14" x14ac:dyDescent="0.25">
      <c r="B106" s="23"/>
      <c r="E106"/>
      <c r="J106" s="194"/>
      <c r="M106"/>
    </row>
    <row r="107" spans="1:14" x14ac:dyDescent="0.25">
      <c r="B107" s="23"/>
      <c r="E107"/>
      <c r="J107" s="194"/>
      <c r="M107"/>
    </row>
    <row r="108" spans="1:14" x14ac:dyDescent="0.25">
      <c r="B108" s="23"/>
      <c r="E108"/>
      <c r="J108" s="194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5">
    <mergeCell ref="F80:F81"/>
    <mergeCell ref="B43:E45"/>
    <mergeCell ref="J48:L49"/>
    <mergeCell ref="B47:C48"/>
    <mergeCell ref="I50:J78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80"/>
  <sheetViews>
    <sheetView topLeftCell="A28" workbookViewId="0">
      <selection activeCell="C2" sqref="C2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597"/>
      <c r="C1" s="663" t="s">
        <v>646</v>
      </c>
      <c r="D1" s="664"/>
      <c r="E1" s="664"/>
      <c r="F1" s="664"/>
      <c r="G1" s="664"/>
      <c r="H1" s="664"/>
      <c r="I1" s="664"/>
      <c r="J1" s="664"/>
      <c r="K1" s="664"/>
      <c r="L1" s="664"/>
      <c r="M1" s="664"/>
    </row>
    <row r="2" spans="1:25" ht="16.5" thickBot="1" x14ac:dyDescent="0.3">
      <c r="B2" s="598"/>
      <c r="C2" s="3"/>
      <c r="H2" s="5"/>
      <c r="I2" s="6"/>
      <c r="J2" s="7"/>
      <c r="L2" s="8"/>
      <c r="M2" s="6"/>
      <c r="N2" s="9"/>
    </row>
    <row r="3" spans="1:25" ht="21.75" thickBot="1" x14ac:dyDescent="0.35">
      <c r="B3" s="601" t="s">
        <v>0</v>
      </c>
      <c r="C3" s="602"/>
      <c r="D3" s="10"/>
      <c r="E3" s="11"/>
      <c r="F3" s="11"/>
      <c r="H3" s="603" t="s">
        <v>26</v>
      </c>
      <c r="I3" s="603"/>
      <c r="K3" s="165"/>
      <c r="L3" s="13"/>
      <c r="M3" s="14"/>
      <c r="P3" s="640" t="s">
        <v>6</v>
      </c>
      <c r="R3" s="661" t="s">
        <v>216</v>
      </c>
    </row>
    <row r="4" spans="1:25" ht="32.25" thickTop="1" thickBot="1" x14ac:dyDescent="0.35">
      <c r="A4" s="15" t="s">
        <v>1</v>
      </c>
      <c r="B4" s="16"/>
      <c r="C4" s="17">
        <v>1149740.4099999999</v>
      </c>
      <c r="D4" s="18">
        <v>44591</v>
      </c>
      <c r="E4" s="604" t="s">
        <v>2</v>
      </c>
      <c r="F4" s="605"/>
      <c r="H4" s="606" t="s">
        <v>3</v>
      </c>
      <c r="I4" s="607"/>
      <c r="J4" s="19"/>
      <c r="K4" s="166"/>
      <c r="L4" s="20"/>
      <c r="M4" s="21" t="s">
        <v>4</v>
      </c>
      <c r="N4" s="22" t="s">
        <v>5</v>
      </c>
      <c r="P4" s="641"/>
      <c r="Q4" s="322" t="s">
        <v>217</v>
      </c>
      <c r="R4" s="662"/>
      <c r="W4" s="650" t="s">
        <v>124</v>
      </c>
      <c r="X4" s="650"/>
      <c r="Y4" s="227"/>
    </row>
    <row r="5" spans="1:25" ht="18" thickBot="1" x14ac:dyDescent="0.35">
      <c r="A5" s="23" t="s">
        <v>7</v>
      </c>
      <c r="B5" s="24">
        <v>44592</v>
      </c>
      <c r="C5" s="25">
        <v>8981.5</v>
      </c>
      <c r="D5" s="26" t="s">
        <v>415</v>
      </c>
      <c r="E5" s="27">
        <v>44592</v>
      </c>
      <c r="F5" s="28">
        <v>85750</v>
      </c>
      <c r="G5" s="2"/>
      <c r="H5" s="29">
        <v>44592</v>
      </c>
      <c r="I5" s="30">
        <v>510</v>
      </c>
      <c r="J5" s="37"/>
      <c r="K5" s="31"/>
      <c r="L5" s="9"/>
      <c r="M5" s="32">
        <v>45686.5</v>
      </c>
      <c r="N5" s="33">
        <v>30572</v>
      </c>
      <c r="O5" s="318"/>
      <c r="P5" s="34">
        <f>N5+M5+L5+I5+C5</f>
        <v>85750</v>
      </c>
      <c r="Q5" s="325">
        <f>P5-F5</f>
        <v>0</v>
      </c>
      <c r="R5" s="379">
        <v>0</v>
      </c>
      <c r="S5" s="324"/>
      <c r="W5" s="650"/>
      <c r="X5" s="650"/>
      <c r="Y5" s="233"/>
    </row>
    <row r="6" spans="1:25" ht="18" thickBot="1" x14ac:dyDescent="0.35">
      <c r="A6" s="23"/>
      <c r="B6" s="24">
        <v>44593</v>
      </c>
      <c r="C6" s="25">
        <v>9273</v>
      </c>
      <c r="D6" s="35" t="s">
        <v>416</v>
      </c>
      <c r="E6" s="27">
        <v>44593</v>
      </c>
      <c r="F6" s="28">
        <v>94833</v>
      </c>
      <c r="G6" s="2"/>
      <c r="H6" s="36">
        <v>44593</v>
      </c>
      <c r="I6" s="30">
        <v>1459</v>
      </c>
      <c r="J6" s="37"/>
      <c r="K6" s="38"/>
      <c r="L6" s="39"/>
      <c r="M6" s="32">
        <v>96069</v>
      </c>
      <c r="N6" s="33">
        <v>32598</v>
      </c>
      <c r="O6" s="2"/>
      <c r="P6" s="39">
        <f>N6+M6+L6+I6+C6</f>
        <v>139399</v>
      </c>
      <c r="Q6" s="325">
        <v>0</v>
      </c>
      <c r="R6" s="388">
        <v>44566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44594</v>
      </c>
      <c r="C7" s="25">
        <v>31778</v>
      </c>
      <c r="D7" s="40" t="s">
        <v>417</v>
      </c>
      <c r="E7" s="27">
        <v>44594</v>
      </c>
      <c r="F7" s="28">
        <v>89368</v>
      </c>
      <c r="G7" s="2"/>
      <c r="H7" s="36">
        <v>44594</v>
      </c>
      <c r="I7" s="30">
        <v>2943.5</v>
      </c>
      <c r="J7" s="37"/>
      <c r="K7" s="38"/>
      <c r="L7" s="39"/>
      <c r="M7" s="32">
        <v>15870.5</v>
      </c>
      <c r="N7" s="33">
        <v>38776</v>
      </c>
      <c r="O7" s="224"/>
      <c r="P7" s="39">
        <f t="shared" ref="P7:P32" si="0">N7+M7+L7+I7+C7</f>
        <v>89368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44595</v>
      </c>
      <c r="C8" s="25">
        <v>32229</v>
      </c>
      <c r="D8" s="42" t="s">
        <v>418</v>
      </c>
      <c r="E8" s="27">
        <v>44595</v>
      </c>
      <c r="F8" s="28">
        <v>60473</v>
      </c>
      <c r="G8" s="2"/>
      <c r="H8" s="36">
        <v>44595</v>
      </c>
      <c r="I8" s="30">
        <v>1185</v>
      </c>
      <c r="J8" s="43"/>
      <c r="K8" s="38"/>
      <c r="L8" s="39"/>
      <c r="M8" s="32">
        <v>11161</v>
      </c>
      <c r="N8" s="33">
        <v>15898</v>
      </c>
      <c r="O8" s="2"/>
      <c r="P8" s="39">
        <f t="shared" si="0"/>
        <v>60473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44596</v>
      </c>
      <c r="C9" s="25">
        <v>3029</v>
      </c>
      <c r="D9" s="42" t="s">
        <v>419</v>
      </c>
      <c r="E9" s="27">
        <v>44596</v>
      </c>
      <c r="F9" s="28">
        <v>92390</v>
      </c>
      <c r="G9" s="2"/>
      <c r="H9" s="36">
        <v>44596</v>
      </c>
      <c r="I9" s="30">
        <v>2606.5</v>
      </c>
      <c r="J9" s="37"/>
      <c r="K9" s="223"/>
      <c r="L9" s="39"/>
      <c r="M9" s="32">
        <v>66431.5</v>
      </c>
      <c r="N9" s="33">
        <v>20323</v>
      </c>
      <c r="O9" s="2"/>
      <c r="P9" s="39">
        <f t="shared" ref="P9:P14" si="2">N9+M9+L9+I9+C9</f>
        <v>92390</v>
      </c>
      <c r="Q9" s="317">
        <f t="shared" si="1"/>
        <v>0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44597</v>
      </c>
      <c r="C10" s="25">
        <v>15656</v>
      </c>
      <c r="D10" s="40" t="s">
        <v>420</v>
      </c>
      <c r="E10" s="27">
        <v>44597</v>
      </c>
      <c r="F10" s="28">
        <v>97034</v>
      </c>
      <c r="G10" s="2"/>
      <c r="H10" s="36">
        <v>44597</v>
      </c>
      <c r="I10" s="30">
        <v>3824</v>
      </c>
      <c r="J10" s="37">
        <v>44597</v>
      </c>
      <c r="K10" s="167" t="s">
        <v>421</v>
      </c>
      <c r="L10" s="45">
        <v>9659.41</v>
      </c>
      <c r="M10" s="32">
        <v>21600</v>
      </c>
      <c r="N10" s="33">
        <v>46252</v>
      </c>
      <c r="O10" s="2"/>
      <c r="P10" s="39">
        <f>N10+M10+L10+I10+C10</f>
        <v>96991.41</v>
      </c>
      <c r="Q10" s="317">
        <f t="shared" si="1"/>
        <v>-42.589999999996508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44598</v>
      </c>
      <c r="C11" s="25">
        <v>4784</v>
      </c>
      <c r="D11" s="35" t="s">
        <v>424</v>
      </c>
      <c r="E11" s="27">
        <v>44598</v>
      </c>
      <c r="F11" s="28">
        <v>75320</v>
      </c>
      <c r="G11" s="2"/>
      <c r="H11" s="36">
        <v>44598</v>
      </c>
      <c r="I11" s="30">
        <v>2399</v>
      </c>
      <c r="J11" s="43"/>
      <c r="K11" s="168"/>
      <c r="L11" s="39"/>
      <c r="M11" s="32">
        <v>42682</v>
      </c>
      <c r="N11" s="33">
        <v>25499</v>
      </c>
      <c r="O11" s="2"/>
      <c r="P11" s="39">
        <f t="shared" si="2"/>
        <v>75364</v>
      </c>
      <c r="Q11" s="325">
        <f t="shared" si="1"/>
        <v>44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44599</v>
      </c>
      <c r="C12" s="25">
        <v>15387</v>
      </c>
      <c r="D12" s="35" t="s">
        <v>425</v>
      </c>
      <c r="E12" s="27">
        <v>44599</v>
      </c>
      <c r="F12" s="28">
        <v>87730</v>
      </c>
      <c r="G12" s="2"/>
      <c r="H12" s="36">
        <v>44599</v>
      </c>
      <c r="I12" s="30">
        <v>410.5</v>
      </c>
      <c r="J12" s="37"/>
      <c r="K12" s="169"/>
      <c r="L12" s="39"/>
      <c r="M12" s="32">
        <f>7964+42823.5</f>
        <v>50787.5</v>
      </c>
      <c r="N12" s="33">
        <v>21145</v>
      </c>
      <c r="O12" s="328"/>
      <c r="P12" s="39">
        <f t="shared" si="2"/>
        <v>87730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44600</v>
      </c>
      <c r="C13" s="25">
        <v>8670</v>
      </c>
      <c r="D13" s="42" t="s">
        <v>428</v>
      </c>
      <c r="E13" s="27">
        <v>44600</v>
      </c>
      <c r="F13" s="28">
        <v>98373</v>
      </c>
      <c r="G13" s="2"/>
      <c r="H13" s="36">
        <v>44600</v>
      </c>
      <c r="I13" s="30">
        <v>1328</v>
      </c>
      <c r="J13" s="37"/>
      <c r="K13" s="38"/>
      <c r="L13" s="39"/>
      <c r="M13" s="32">
        <v>61009</v>
      </c>
      <c r="N13" s="33">
        <v>27366</v>
      </c>
      <c r="O13" s="2"/>
      <c r="P13" s="39">
        <f t="shared" si="2"/>
        <v>98373</v>
      </c>
      <c r="Q13" s="317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44601</v>
      </c>
      <c r="C14" s="25">
        <v>15994</v>
      </c>
      <c r="D14" s="40" t="s">
        <v>426</v>
      </c>
      <c r="E14" s="27">
        <v>44601</v>
      </c>
      <c r="F14" s="28">
        <v>147661</v>
      </c>
      <c r="G14" s="2"/>
      <c r="H14" s="36">
        <v>44601</v>
      </c>
      <c r="I14" s="30">
        <v>3417</v>
      </c>
      <c r="J14" s="37"/>
      <c r="K14" s="38"/>
      <c r="L14" s="39"/>
      <c r="M14" s="32">
        <v>108127</v>
      </c>
      <c r="N14" s="33">
        <v>20123</v>
      </c>
      <c r="O14" s="2"/>
      <c r="P14" s="39">
        <f t="shared" si="2"/>
        <v>147661</v>
      </c>
      <c r="Q14" s="317" t="s">
        <v>427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44602</v>
      </c>
      <c r="C15" s="25">
        <v>5420</v>
      </c>
      <c r="D15" s="40" t="s">
        <v>429</v>
      </c>
      <c r="E15" s="27">
        <v>44602</v>
      </c>
      <c r="F15" s="28">
        <v>93319</v>
      </c>
      <c r="G15" s="2"/>
      <c r="H15" s="36">
        <v>44602</v>
      </c>
      <c r="I15" s="30">
        <v>2651</v>
      </c>
      <c r="J15" s="37"/>
      <c r="K15" s="38"/>
      <c r="L15" s="39"/>
      <c r="M15" s="32">
        <f>37988+10000+3340</f>
        <v>51328</v>
      </c>
      <c r="N15" s="33">
        <v>35435</v>
      </c>
      <c r="P15" s="39">
        <f t="shared" si="0"/>
        <v>94834</v>
      </c>
      <c r="Q15" s="418">
        <f t="shared" si="1"/>
        <v>1515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44603</v>
      </c>
      <c r="C16" s="25">
        <v>9368</v>
      </c>
      <c r="D16" s="35" t="s">
        <v>430</v>
      </c>
      <c r="E16" s="27">
        <v>44603</v>
      </c>
      <c r="F16" s="28">
        <v>98105</v>
      </c>
      <c r="G16" s="2"/>
      <c r="H16" s="36">
        <v>44603</v>
      </c>
      <c r="I16" s="30">
        <v>472.5</v>
      </c>
      <c r="J16" s="37"/>
      <c r="K16" s="169"/>
      <c r="L16" s="9"/>
      <c r="M16" s="32">
        <f>53682.5+10000+100</f>
        <v>63782.5</v>
      </c>
      <c r="N16" s="33">
        <v>24582</v>
      </c>
      <c r="O16" s="330"/>
      <c r="P16" s="39">
        <f t="shared" si="0"/>
        <v>98205</v>
      </c>
      <c r="Q16" s="325">
        <f t="shared" si="1"/>
        <v>100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44604</v>
      </c>
      <c r="C17" s="25">
        <v>16691</v>
      </c>
      <c r="D17" s="42" t="s">
        <v>432</v>
      </c>
      <c r="E17" s="27">
        <v>44604</v>
      </c>
      <c r="F17" s="28">
        <v>124649</v>
      </c>
      <c r="G17" s="2"/>
      <c r="H17" s="36">
        <v>44604</v>
      </c>
      <c r="I17" s="30">
        <v>2742</v>
      </c>
      <c r="J17" s="37">
        <v>44604</v>
      </c>
      <c r="K17" s="38" t="s">
        <v>433</v>
      </c>
      <c r="L17" s="45">
        <v>13699.71</v>
      </c>
      <c r="M17" s="32">
        <v>43768</v>
      </c>
      <c r="N17" s="33">
        <v>47548</v>
      </c>
      <c r="P17" s="39">
        <f t="shared" si="0"/>
        <v>124448.70999999999</v>
      </c>
      <c r="Q17" s="317">
        <f t="shared" si="1"/>
        <v>-200.29000000000815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44605</v>
      </c>
      <c r="C18" s="25">
        <v>0</v>
      </c>
      <c r="D18" s="35"/>
      <c r="E18" s="27">
        <v>44605</v>
      </c>
      <c r="F18" s="28">
        <v>89703</v>
      </c>
      <c r="G18" s="2"/>
      <c r="H18" s="36">
        <v>44605</v>
      </c>
      <c r="I18" s="30">
        <v>1050</v>
      </c>
      <c r="J18" s="37"/>
      <c r="K18" s="170"/>
      <c r="L18" s="39"/>
      <c r="M18" s="32">
        <v>59160</v>
      </c>
      <c r="N18" s="33">
        <v>29493</v>
      </c>
      <c r="P18" s="39">
        <f t="shared" si="0"/>
        <v>89703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44606</v>
      </c>
      <c r="C19" s="25">
        <v>17472</v>
      </c>
      <c r="D19" s="35" t="s">
        <v>434</v>
      </c>
      <c r="E19" s="27">
        <v>44606</v>
      </c>
      <c r="F19" s="28">
        <v>132950</v>
      </c>
      <c r="G19" s="2"/>
      <c r="H19" s="36">
        <v>44606</v>
      </c>
      <c r="I19" s="30">
        <v>3720</v>
      </c>
      <c r="J19" s="37"/>
      <c r="K19" s="46"/>
      <c r="L19" s="47"/>
      <c r="M19" s="32">
        <v>72650</v>
      </c>
      <c r="N19" s="33">
        <v>39309</v>
      </c>
      <c r="P19" s="39">
        <f t="shared" si="0"/>
        <v>133151</v>
      </c>
      <c r="Q19" s="325">
        <f t="shared" si="1"/>
        <v>201</v>
      </c>
      <c r="R19" s="319">
        <v>0</v>
      </c>
      <c r="S19" s="147"/>
      <c r="W19" s="654">
        <f>SUM(W6:W18)</f>
        <v>0</v>
      </c>
      <c r="X19" s="240"/>
      <c r="Y19" s="233"/>
    </row>
    <row r="20" spans="1:26" ht="18" thickBot="1" x14ac:dyDescent="0.35">
      <c r="A20" s="23"/>
      <c r="B20" s="24">
        <v>44607</v>
      </c>
      <c r="C20" s="25">
        <v>36451</v>
      </c>
      <c r="D20" s="35" t="s">
        <v>435</v>
      </c>
      <c r="E20" s="27">
        <v>44607</v>
      </c>
      <c r="F20" s="28">
        <v>72030</v>
      </c>
      <c r="G20" s="2"/>
      <c r="H20" s="36">
        <v>44607</v>
      </c>
      <c r="I20" s="30">
        <v>4564.5</v>
      </c>
      <c r="J20" s="37"/>
      <c r="K20" s="171"/>
      <c r="L20" s="45"/>
      <c r="M20" s="32">
        <v>13632.5</v>
      </c>
      <c r="N20" s="33">
        <v>17382</v>
      </c>
      <c r="P20" s="39">
        <f t="shared" si="0"/>
        <v>72030</v>
      </c>
      <c r="Q20" s="325">
        <f t="shared" si="1"/>
        <v>0</v>
      </c>
      <c r="R20" s="319">
        <v>0</v>
      </c>
      <c r="S20" s="147"/>
      <c r="W20" s="655"/>
      <c r="X20" s="268"/>
      <c r="Y20" s="233"/>
    </row>
    <row r="21" spans="1:26" ht="18" thickBot="1" x14ac:dyDescent="0.35">
      <c r="A21" s="23"/>
      <c r="B21" s="24">
        <v>44608</v>
      </c>
      <c r="C21" s="25">
        <v>13737</v>
      </c>
      <c r="D21" s="35" t="s">
        <v>426</v>
      </c>
      <c r="E21" s="27">
        <v>44608</v>
      </c>
      <c r="F21" s="28">
        <v>88777</v>
      </c>
      <c r="G21" s="2"/>
      <c r="H21" s="36">
        <v>44608</v>
      </c>
      <c r="I21" s="30">
        <v>778.5</v>
      </c>
      <c r="J21" s="37"/>
      <c r="K21" s="48"/>
      <c r="L21" s="45"/>
      <c r="M21" s="32">
        <f>3529+18072+51674.5</f>
        <v>73275.5</v>
      </c>
      <c r="N21" s="33">
        <v>17543</v>
      </c>
      <c r="P21" s="39">
        <f t="shared" si="0"/>
        <v>105334</v>
      </c>
      <c r="Q21" s="417">
        <v>-1515</v>
      </c>
      <c r="R21" s="388">
        <v>18072</v>
      </c>
      <c r="S21" s="147"/>
      <c r="W21" s="656"/>
      <c r="X21" s="656"/>
      <c r="Y21" s="233"/>
      <c r="Z21" s="128"/>
    </row>
    <row r="22" spans="1:26" ht="18" thickBot="1" x14ac:dyDescent="0.35">
      <c r="A22" s="23"/>
      <c r="B22" s="24">
        <v>44609</v>
      </c>
      <c r="C22" s="25">
        <v>39620</v>
      </c>
      <c r="D22" s="35" t="s">
        <v>436</v>
      </c>
      <c r="E22" s="27">
        <v>44609</v>
      </c>
      <c r="F22" s="28">
        <v>78137</v>
      </c>
      <c r="G22" s="2"/>
      <c r="H22" s="36">
        <v>44609</v>
      </c>
      <c r="I22" s="30">
        <v>1308.5</v>
      </c>
      <c r="J22" s="37"/>
      <c r="K22" s="31"/>
      <c r="L22" s="49"/>
      <c r="M22" s="32">
        <v>14143.5</v>
      </c>
      <c r="N22" s="33">
        <v>23065</v>
      </c>
      <c r="P22" s="39">
        <f t="shared" si="0"/>
        <v>78137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44610</v>
      </c>
      <c r="C23" s="25">
        <v>12767</v>
      </c>
      <c r="D23" s="35" t="s">
        <v>437</v>
      </c>
      <c r="E23" s="27">
        <v>44610</v>
      </c>
      <c r="F23" s="28">
        <v>103716</v>
      </c>
      <c r="G23" s="2"/>
      <c r="H23" s="36">
        <v>44610</v>
      </c>
      <c r="I23" s="30">
        <v>7591</v>
      </c>
      <c r="J23" s="50"/>
      <c r="K23" s="172"/>
      <c r="L23" s="45"/>
      <c r="M23" s="32">
        <v>51898</v>
      </c>
      <c r="N23" s="33">
        <v>31460</v>
      </c>
      <c r="P23" s="39">
        <f t="shared" si="0"/>
        <v>103716</v>
      </c>
      <c r="Q23" s="325">
        <f t="shared" si="1"/>
        <v>0</v>
      </c>
      <c r="R23" s="319">
        <v>0</v>
      </c>
      <c r="S23" s="147"/>
      <c r="W23" s="657"/>
      <c r="X23" s="657"/>
      <c r="Y23" s="233"/>
      <c r="Z23" s="128"/>
    </row>
    <row r="24" spans="1:26" ht="18" thickBot="1" x14ac:dyDescent="0.35">
      <c r="A24" s="23"/>
      <c r="B24" s="24">
        <v>44611</v>
      </c>
      <c r="C24" s="25">
        <v>18706</v>
      </c>
      <c r="D24" s="42" t="s">
        <v>438</v>
      </c>
      <c r="E24" s="27">
        <v>44611</v>
      </c>
      <c r="F24" s="28">
        <v>167635</v>
      </c>
      <c r="G24" s="2"/>
      <c r="H24" s="36">
        <v>44611</v>
      </c>
      <c r="I24" s="30">
        <v>4947</v>
      </c>
      <c r="J24" s="51">
        <v>44611</v>
      </c>
      <c r="K24" s="173" t="s">
        <v>439</v>
      </c>
      <c r="L24" s="52">
        <v>12038</v>
      </c>
      <c r="M24" s="32">
        <v>79954</v>
      </c>
      <c r="N24" s="33">
        <v>51990</v>
      </c>
      <c r="P24" s="39">
        <f>N24+M24+L24+I24+C24</f>
        <v>167635</v>
      </c>
      <c r="Q24" s="325">
        <f t="shared" si="1"/>
        <v>0</v>
      </c>
      <c r="R24" s="319">
        <v>0</v>
      </c>
      <c r="S24" s="147"/>
      <c r="W24" s="657"/>
      <c r="X24" s="657"/>
      <c r="Y24" s="233"/>
      <c r="Z24" s="128"/>
    </row>
    <row r="25" spans="1:26" ht="19.5" thickBot="1" x14ac:dyDescent="0.35">
      <c r="A25" s="23"/>
      <c r="B25" s="24">
        <v>44612</v>
      </c>
      <c r="C25" s="25">
        <v>22985.5</v>
      </c>
      <c r="D25" s="35" t="s">
        <v>441</v>
      </c>
      <c r="E25" s="27">
        <v>44612</v>
      </c>
      <c r="F25" s="28">
        <v>78991</v>
      </c>
      <c r="G25" s="2"/>
      <c r="H25" s="36">
        <v>44612</v>
      </c>
      <c r="I25" s="30">
        <v>2120</v>
      </c>
      <c r="J25" s="50"/>
      <c r="K25" s="38"/>
      <c r="L25" s="54"/>
      <c r="M25" s="32">
        <v>28600</v>
      </c>
      <c r="N25" s="33">
        <v>25290</v>
      </c>
      <c r="P25" s="283">
        <f t="shared" si="0"/>
        <v>78995.5</v>
      </c>
      <c r="Q25" s="325">
        <f t="shared" si="1"/>
        <v>4.5</v>
      </c>
      <c r="R25" s="319">
        <v>0</v>
      </c>
      <c r="W25" s="658"/>
      <c r="X25" s="658"/>
      <c r="Y25" s="233"/>
      <c r="Z25" s="128"/>
    </row>
    <row r="26" spans="1:26" ht="19.5" thickBot="1" x14ac:dyDescent="0.35">
      <c r="A26" s="23"/>
      <c r="B26" s="24">
        <v>44613</v>
      </c>
      <c r="C26" s="25">
        <v>9006</v>
      </c>
      <c r="D26" s="35" t="s">
        <v>442</v>
      </c>
      <c r="E26" s="27">
        <v>44613</v>
      </c>
      <c r="F26" s="28">
        <v>97381</v>
      </c>
      <c r="G26" s="2"/>
      <c r="H26" s="36">
        <v>44613</v>
      </c>
      <c r="I26" s="30">
        <v>1027</v>
      </c>
      <c r="J26" s="37"/>
      <c r="K26" s="173"/>
      <c r="L26" s="45"/>
      <c r="M26" s="32">
        <v>42345</v>
      </c>
      <c r="N26" s="33">
        <v>45003</v>
      </c>
      <c r="P26" s="284">
        <f t="shared" si="0"/>
        <v>97381</v>
      </c>
      <c r="Q26" s="325">
        <f t="shared" si="1"/>
        <v>0</v>
      </c>
      <c r="R26" s="319">
        <v>0</v>
      </c>
      <c r="W26" s="658"/>
      <c r="X26" s="658"/>
      <c r="Y26" s="233"/>
      <c r="Z26" s="128"/>
    </row>
    <row r="27" spans="1:26" ht="18" thickBot="1" x14ac:dyDescent="0.35">
      <c r="A27" s="23"/>
      <c r="B27" s="24">
        <v>44614</v>
      </c>
      <c r="C27" s="25">
        <v>7975.9</v>
      </c>
      <c r="D27" s="42" t="s">
        <v>443</v>
      </c>
      <c r="E27" s="27">
        <v>44614</v>
      </c>
      <c r="F27" s="28">
        <v>55967</v>
      </c>
      <c r="G27" s="2"/>
      <c r="H27" s="36">
        <v>44614</v>
      </c>
      <c r="I27" s="30">
        <v>1430.5</v>
      </c>
      <c r="J27" s="55"/>
      <c r="K27" s="174"/>
      <c r="L27" s="54"/>
      <c r="M27" s="32">
        <v>26862</v>
      </c>
      <c r="N27" s="33">
        <v>19699</v>
      </c>
      <c r="P27" s="39">
        <f t="shared" si="0"/>
        <v>55967.4</v>
      </c>
      <c r="Q27" s="325">
        <f t="shared" si="1"/>
        <v>0.40000000000145519</v>
      </c>
      <c r="R27" s="319">
        <v>0</v>
      </c>
      <c r="W27" s="651"/>
      <c r="X27" s="652"/>
      <c r="Y27" s="653"/>
      <c r="Z27" s="128"/>
    </row>
    <row r="28" spans="1:26" ht="18" thickBot="1" x14ac:dyDescent="0.35">
      <c r="A28" s="23"/>
      <c r="B28" s="24">
        <v>44615</v>
      </c>
      <c r="C28" s="25">
        <v>14054</v>
      </c>
      <c r="D28" s="42" t="s">
        <v>444</v>
      </c>
      <c r="E28" s="27">
        <v>44615</v>
      </c>
      <c r="F28" s="28">
        <v>75249</v>
      </c>
      <c r="G28" s="2"/>
      <c r="H28" s="36">
        <v>44615</v>
      </c>
      <c r="I28" s="30">
        <v>2110</v>
      </c>
      <c r="J28" s="56"/>
      <c r="K28" s="57"/>
      <c r="L28" s="54"/>
      <c r="M28" s="32">
        <f>1001+259+46764</f>
        <v>48024</v>
      </c>
      <c r="N28" s="33">
        <v>11061</v>
      </c>
      <c r="P28" s="34">
        <f t="shared" si="0"/>
        <v>75249</v>
      </c>
      <c r="Q28" s="325">
        <f t="shared" si="1"/>
        <v>0</v>
      </c>
      <c r="R28" s="319">
        <v>0</v>
      </c>
      <c r="W28" s="652"/>
      <c r="X28" s="652"/>
      <c r="Y28" s="653"/>
      <c r="Z28" s="128"/>
    </row>
    <row r="29" spans="1:26" ht="18" thickBot="1" x14ac:dyDescent="0.35">
      <c r="A29" s="23"/>
      <c r="B29" s="24">
        <v>44616</v>
      </c>
      <c r="C29" s="25">
        <v>6774</v>
      </c>
      <c r="D29" s="58" t="s">
        <v>445</v>
      </c>
      <c r="E29" s="27">
        <v>44616</v>
      </c>
      <c r="F29" s="28">
        <v>65978</v>
      </c>
      <c r="G29" s="2"/>
      <c r="H29" s="36">
        <v>44616</v>
      </c>
      <c r="I29" s="30">
        <v>1660</v>
      </c>
      <c r="J29" s="59"/>
      <c r="K29" s="175"/>
      <c r="L29" s="54"/>
      <c r="M29" s="32">
        <f>3507.28+46135</f>
        <v>49642.28</v>
      </c>
      <c r="N29" s="33">
        <f>7491+411</f>
        <v>7902</v>
      </c>
      <c r="O29" s="421" t="s">
        <v>461</v>
      </c>
      <c r="P29" s="34">
        <f t="shared" si="0"/>
        <v>65978.28</v>
      </c>
      <c r="Q29" s="325">
        <f t="shared" si="1"/>
        <v>0.27999999999883585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44617</v>
      </c>
      <c r="C30" s="25">
        <v>10378</v>
      </c>
      <c r="D30" s="58" t="s">
        <v>446</v>
      </c>
      <c r="E30" s="27">
        <v>44617</v>
      </c>
      <c r="F30" s="28">
        <v>749838</v>
      </c>
      <c r="G30" s="2"/>
      <c r="H30" s="36">
        <v>44617</v>
      </c>
      <c r="I30" s="30">
        <v>1490</v>
      </c>
      <c r="J30" s="60"/>
      <c r="K30" s="41"/>
      <c r="L30" s="61"/>
      <c r="M30" s="32">
        <f>680259.73+69394+54204.48</f>
        <v>803858.21</v>
      </c>
      <c r="N30" s="33">
        <v>26626</v>
      </c>
      <c r="O30" s="422" t="s">
        <v>462</v>
      </c>
      <c r="P30" s="34">
        <f t="shared" si="0"/>
        <v>842352.21</v>
      </c>
      <c r="Q30" s="325">
        <v>0</v>
      </c>
      <c r="R30" s="420">
        <v>92514</v>
      </c>
      <c r="T30" s="423">
        <v>26626</v>
      </c>
      <c r="X30" s="225"/>
      <c r="Y30" s="227"/>
    </row>
    <row r="31" spans="1:26" ht="18" thickBot="1" x14ac:dyDescent="0.35">
      <c r="A31" s="23"/>
      <c r="B31" s="24">
        <v>44618</v>
      </c>
      <c r="C31" s="25">
        <v>6319</v>
      </c>
      <c r="D31" s="65" t="s">
        <v>447</v>
      </c>
      <c r="E31" s="27">
        <v>44618</v>
      </c>
      <c r="F31" s="28">
        <v>107356</v>
      </c>
      <c r="G31" s="2"/>
      <c r="H31" s="36">
        <v>44618</v>
      </c>
      <c r="I31" s="30">
        <v>4829</v>
      </c>
      <c r="J31" s="60">
        <v>44618</v>
      </c>
      <c r="K31" s="41" t="s">
        <v>448</v>
      </c>
      <c r="L31" s="63">
        <v>16621.14</v>
      </c>
      <c r="M31" s="32">
        <f>998+41741</f>
        <v>42739</v>
      </c>
      <c r="N31" s="33">
        <f>10137+26711</f>
        <v>36848</v>
      </c>
      <c r="O31" s="421" t="s">
        <v>463</v>
      </c>
      <c r="P31" s="34">
        <f t="shared" si="0"/>
        <v>107356.14</v>
      </c>
      <c r="Q31" s="111">
        <f t="shared" si="1"/>
        <v>0.13999999999941792</v>
      </c>
      <c r="R31" s="321">
        <v>0</v>
      </c>
      <c r="T31" s="423">
        <v>10137</v>
      </c>
    </row>
    <row r="32" spans="1:26" ht="18" thickBot="1" x14ac:dyDescent="0.35">
      <c r="A32" s="23"/>
      <c r="B32" s="24">
        <v>44619</v>
      </c>
      <c r="C32" s="25">
        <v>3900</v>
      </c>
      <c r="D32" s="64" t="s">
        <v>450</v>
      </c>
      <c r="E32" s="27">
        <v>44619</v>
      </c>
      <c r="F32" s="28">
        <v>86103</v>
      </c>
      <c r="G32" s="2"/>
      <c r="H32" s="36">
        <v>44619</v>
      </c>
      <c r="I32" s="30">
        <v>1109</v>
      </c>
      <c r="J32" s="60"/>
      <c r="K32" s="41"/>
      <c r="L32" s="61"/>
      <c r="M32" s="32">
        <f>51650+7128</f>
        <v>58778</v>
      </c>
      <c r="N32" s="33">
        <v>22320</v>
      </c>
      <c r="P32" s="34">
        <f t="shared" si="0"/>
        <v>86107</v>
      </c>
      <c r="Q32" s="111">
        <f t="shared" si="1"/>
        <v>4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111">
        <f t="shared" si="1"/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44602</v>
      </c>
      <c r="C34" s="25">
        <v>808.83</v>
      </c>
      <c r="D34" s="64" t="s">
        <v>572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111">
        <f t="shared" si="1"/>
        <v>0</v>
      </c>
      <c r="R34" s="228"/>
    </row>
    <row r="35" spans="1:20" ht="18" thickBot="1" x14ac:dyDescent="0.35">
      <c r="A35" s="23"/>
      <c r="B35" s="24">
        <v>44604</v>
      </c>
      <c r="C35" s="25">
        <v>622709.4</v>
      </c>
      <c r="D35" s="64" t="s">
        <v>570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419">
        <f t="shared" si="1"/>
        <v>0</v>
      </c>
      <c r="R35" s="228"/>
    </row>
    <row r="36" spans="1:20" ht="18" customHeight="1" thickBot="1" x14ac:dyDescent="0.3">
      <c r="A36" s="23"/>
      <c r="B36" s="24">
        <v>44609</v>
      </c>
      <c r="C36" s="25">
        <v>18633.96</v>
      </c>
      <c r="D36" s="65" t="s">
        <v>571</v>
      </c>
      <c r="E36" s="27"/>
      <c r="F36" s="28"/>
      <c r="G36" s="2"/>
      <c r="H36" s="36"/>
      <c r="I36" s="30"/>
      <c r="J36" s="266"/>
      <c r="K36" s="250"/>
      <c r="L36" s="44"/>
      <c r="M36" s="642">
        <f>SUM(M5:M35)</f>
        <v>2143864.4900000002</v>
      </c>
      <c r="N36" s="644">
        <f>SUM(N5:N35)</f>
        <v>791108</v>
      </c>
      <c r="O36" s="276"/>
      <c r="P36" s="277">
        <v>0</v>
      </c>
      <c r="Q36" s="688">
        <f>SUM(Q5:Q35)</f>
        <v>111.43999999999505</v>
      </c>
      <c r="R36" s="228"/>
    </row>
    <row r="37" spans="1:20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422</v>
      </c>
      <c r="K37" s="41" t="s">
        <v>423</v>
      </c>
      <c r="L37" s="61">
        <v>16518.78</v>
      </c>
      <c r="M37" s="643"/>
      <c r="N37" s="645"/>
      <c r="O37" s="276"/>
      <c r="P37" s="277">
        <v>0</v>
      </c>
      <c r="Q37" s="689"/>
      <c r="R37" s="227" t="s">
        <v>7</v>
      </c>
    </row>
    <row r="38" spans="1:20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 t="s">
        <v>422</v>
      </c>
      <c r="K38" s="177" t="s">
        <v>431</v>
      </c>
      <c r="L38" s="61">
        <v>17618.78</v>
      </c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422</v>
      </c>
      <c r="K39" s="177" t="s">
        <v>440</v>
      </c>
      <c r="L39" s="61">
        <v>14981.03</v>
      </c>
      <c r="M39" s="690">
        <f>M36+N36</f>
        <v>2934972.49</v>
      </c>
      <c r="N39" s="691"/>
      <c r="P39" s="34">
        <f>SUM(P5:P38)</f>
        <v>3450079.65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 t="s">
        <v>422</v>
      </c>
      <c r="K40" s="41" t="s">
        <v>449</v>
      </c>
      <c r="L40" s="61">
        <v>13372.77</v>
      </c>
      <c r="M40" s="278"/>
      <c r="N40" s="278"/>
      <c r="P40" s="34"/>
      <c r="Q40" s="13"/>
    </row>
    <row r="41" spans="1:20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20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/>
      <c r="K42" s="173"/>
      <c r="L42" s="52"/>
      <c r="M42" s="269"/>
      <c r="N42" s="269"/>
      <c r="P42" s="34"/>
      <c r="Q42" s="13"/>
    </row>
    <row r="43" spans="1:20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20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20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458" t="s">
        <v>573</v>
      </c>
      <c r="K49" s="164" t="s">
        <v>574</v>
      </c>
      <c r="L49" s="9">
        <v>17279.18</v>
      </c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1039558.0900000001</v>
      </c>
      <c r="D50" s="88"/>
      <c r="E50" s="89" t="s">
        <v>8</v>
      </c>
      <c r="F50" s="90">
        <f>SUM(F5:F49)</f>
        <v>3294816</v>
      </c>
      <c r="G50" s="88"/>
      <c r="H50" s="91" t="s">
        <v>9</v>
      </c>
      <c r="I50" s="92">
        <f>SUM(I5:I49)</f>
        <v>65683</v>
      </c>
      <c r="J50" s="93"/>
      <c r="K50" s="94" t="s">
        <v>10</v>
      </c>
      <c r="L50" s="95">
        <f>SUM(L5:L49)</f>
        <v>131788.79999999999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619" t="s">
        <v>11</v>
      </c>
      <c r="I52" s="620"/>
      <c r="J52" s="100"/>
      <c r="K52" s="621">
        <f>I50+L50</f>
        <v>197471.8</v>
      </c>
      <c r="L52" s="648"/>
      <c r="M52" s="272"/>
      <c r="N52" s="272"/>
      <c r="P52" s="34"/>
      <c r="Q52" s="13"/>
    </row>
    <row r="53" spans="1:17" x14ac:dyDescent="0.25">
      <c r="D53" s="625" t="s">
        <v>12</v>
      </c>
      <c r="E53" s="625"/>
      <c r="F53" s="312">
        <f>F50-K52-C50</f>
        <v>2057786.11</v>
      </c>
      <c r="I53" s="102"/>
      <c r="J53" s="103"/>
    </row>
    <row r="54" spans="1:17" ht="18.75" x14ac:dyDescent="0.3">
      <c r="D54" s="649" t="s">
        <v>95</v>
      </c>
      <c r="E54" s="649"/>
      <c r="F54" s="111">
        <v>-1702928.14</v>
      </c>
      <c r="I54" s="626" t="s">
        <v>13</v>
      </c>
      <c r="J54" s="627"/>
      <c r="K54" s="628">
        <f>F56+F57+F58</f>
        <v>1147965.3400000003</v>
      </c>
      <c r="L54" s="628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-553174.07999999996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-198316.10999999975</v>
      </c>
      <c r="H56" s="23"/>
      <c r="I56" s="108" t="s">
        <v>15</v>
      </c>
      <c r="J56" s="109"/>
      <c r="K56" s="630">
        <f>-C4</f>
        <v>-1149740.4099999999</v>
      </c>
      <c r="L56" s="631"/>
    </row>
    <row r="57" spans="1:17" ht="16.5" thickBot="1" x14ac:dyDescent="0.3">
      <c r="D57" s="110" t="s">
        <v>16</v>
      </c>
      <c r="E57" s="98" t="s">
        <v>17</v>
      </c>
      <c r="F57" s="111">
        <v>79713</v>
      </c>
    </row>
    <row r="58" spans="1:17" ht="20.25" thickTop="1" thickBot="1" x14ac:dyDescent="0.35">
      <c r="C58" s="112">
        <v>44619</v>
      </c>
      <c r="D58" s="608" t="s">
        <v>18</v>
      </c>
      <c r="E58" s="609"/>
      <c r="F58" s="113">
        <v>1266568.45</v>
      </c>
      <c r="I58" s="610" t="s">
        <v>97</v>
      </c>
      <c r="J58" s="611"/>
      <c r="K58" s="612">
        <f>K54+K56</f>
        <v>-1775.0699999995995</v>
      </c>
      <c r="L58" s="612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W27:X28"/>
    <mergeCell ref="Y27:Y28"/>
    <mergeCell ref="M36:M37"/>
    <mergeCell ref="N36:N37"/>
    <mergeCell ref="Q36:Q37"/>
    <mergeCell ref="H52:I52"/>
    <mergeCell ref="K52:L52"/>
    <mergeCell ref="D53:E53"/>
    <mergeCell ref="D54:E54"/>
    <mergeCell ref="I54:J54"/>
    <mergeCell ref="K54:L54"/>
    <mergeCell ref="K56:L56"/>
    <mergeCell ref="M39:N39"/>
    <mergeCell ref="W26:X26"/>
    <mergeCell ref="B1:B2"/>
    <mergeCell ref="C1:M1"/>
    <mergeCell ref="B3:C3"/>
    <mergeCell ref="H3:I3"/>
    <mergeCell ref="P3:P4"/>
    <mergeCell ref="R3:R4"/>
    <mergeCell ref="E4:F4"/>
    <mergeCell ref="H4:I4"/>
    <mergeCell ref="W4:X5"/>
    <mergeCell ref="W19:W20"/>
    <mergeCell ref="W21:X21"/>
    <mergeCell ref="W23:X24"/>
    <mergeCell ref="W25:X25"/>
  </mergeCells>
  <pageMargins left="0.23" right="0.23" top="0.4" bottom="0.28000000000000003" header="0.3" footer="0.3"/>
  <pageSetup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FEBRERO       2 0 2 2      </vt:lpstr>
      <vt:lpstr>COMPRAS   FEBRERO    2 0  2 2  </vt:lpstr>
      <vt:lpstr>    M A R Z O     2 0 2 2      </vt:lpstr>
      <vt:lpstr>COMPRAS     MARZO     2022    </vt:lpstr>
      <vt:lpstr>     A B R I L     2 0 2 2     </vt:lpstr>
      <vt:lpstr>   COMPRAS    ABRIL    2 02 2 2</vt:lpstr>
      <vt:lpstr>DEPOSITOS A NLP</vt:lpstr>
      <vt:lpstr>    MAYO     2022    </vt:lpstr>
      <vt:lpstr>COMPRAS     MAYO   2022   </vt:lpstr>
      <vt:lpstr>Hoja5</vt:lpstr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2022-05-19T14:36:05Z</cp:lastPrinted>
  <dcterms:created xsi:type="dcterms:W3CDTF">2021-11-04T19:08:42Z</dcterms:created>
  <dcterms:modified xsi:type="dcterms:W3CDTF">2022-05-25T20:29:38Z</dcterms:modified>
</cp:coreProperties>
</file>