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2  FEBRERO 2022\"/>
    </mc:Choice>
  </mc:AlternateContent>
  <bookViews>
    <workbookView xWindow="0" yWindow="0" windowWidth="16710" windowHeight="10305" firstSheet="1" activeTab="2"/>
  </bookViews>
  <sheets>
    <sheet name="E N E R O    2 0 2 2         " sheetId="1" r:id="rId1"/>
    <sheet name="REMISIONES    ENERO    2 0 2 2 " sheetId="2" r:id="rId2"/>
    <sheet name="F E B R E R O      2 0 2 2     " sheetId="3" r:id="rId3"/>
    <sheet name="REMISIONES  FEBRERO   2 0 2 2  " sheetId="4" r:id="rId4"/>
    <sheet name="Hoja5" sheetId="5" r:id="rId5"/>
    <sheet name="Hoja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9" i="3" l="1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 l="1"/>
  <c r="E100" i="4" l="1"/>
  <c r="C100" i="4"/>
  <c r="F3" i="4"/>
  <c r="F4" i="4" s="1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F67" i="4" s="1"/>
  <c r="F68" i="4" s="1"/>
  <c r="F69" i="4" s="1"/>
  <c r="F70" i="4" s="1"/>
  <c r="F71" i="4" s="1"/>
  <c r="F72" i="4" s="1"/>
  <c r="F73" i="4" s="1"/>
  <c r="F74" i="4" s="1"/>
  <c r="F75" i="4" s="1"/>
  <c r="F76" i="4" s="1"/>
  <c r="F77" i="4" s="1"/>
  <c r="F78" i="4" s="1"/>
  <c r="F79" i="4" s="1"/>
  <c r="F80" i="4" s="1"/>
  <c r="F81" i="4" s="1"/>
  <c r="F82" i="4" s="1"/>
  <c r="F83" i="4" s="1"/>
  <c r="F84" i="4" s="1"/>
  <c r="F85" i="4" s="1"/>
  <c r="F86" i="4" s="1"/>
  <c r="F87" i="4" s="1"/>
  <c r="F88" i="4" s="1"/>
  <c r="F89" i="4" s="1"/>
  <c r="F90" i="4" s="1"/>
  <c r="F91" i="4" s="1"/>
  <c r="F92" i="4" s="1"/>
  <c r="F93" i="4" s="1"/>
  <c r="F94" i="4" s="1"/>
  <c r="F95" i="4" s="1"/>
  <c r="F96" i="4" s="1"/>
  <c r="F97" i="4" s="1"/>
  <c r="F98" i="4" s="1"/>
  <c r="F99" i="4" s="1"/>
  <c r="F100" i="4" s="1"/>
  <c r="K57" i="3"/>
  <c r="I51" i="3"/>
  <c r="F51" i="3"/>
  <c r="C51" i="3"/>
  <c r="N40" i="3"/>
  <c r="Q39" i="3"/>
  <c r="P39" i="3"/>
  <c r="Q38" i="3"/>
  <c r="P38" i="3"/>
  <c r="Q37" i="3"/>
  <c r="P37" i="3"/>
  <c r="Q36" i="3"/>
  <c r="P36" i="3"/>
  <c r="P35" i="3"/>
  <c r="Q35" i="3" s="1"/>
  <c r="P34" i="3"/>
  <c r="Q34" i="3" s="1"/>
  <c r="Q33" i="3"/>
  <c r="P33" i="3"/>
  <c r="P32" i="3"/>
  <c r="Q32" i="3" s="1"/>
  <c r="P31" i="3"/>
  <c r="Q31" i="3" s="1"/>
  <c r="L51" i="3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P11" i="3"/>
  <c r="Q11" i="3" s="1"/>
  <c r="P10" i="3"/>
  <c r="Q10" i="3" s="1"/>
  <c r="P9" i="3"/>
  <c r="Q9" i="3" s="1"/>
  <c r="P8" i="3"/>
  <c r="Q8" i="3" s="1"/>
  <c r="P7" i="3"/>
  <c r="P6" i="3"/>
  <c r="P5" i="3"/>
  <c r="M40" i="3"/>
  <c r="K53" i="3" l="1"/>
  <c r="F54" i="3" s="1"/>
  <c r="F57" i="3" s="1"/>
  <c r="K55" i="3" s="1"/>
  <c r="K59" i="3" s="1"/>
  <c r="P40" i="3"/>
  <c r="Q40" i="3"/>
  <c r="M53" i="3"/>
  <c r="F3" i="2"/>
  <c r="M32" i="1"/>
  <c r="M31" i="1" l="1"/>
  <c r="L31" i="1"/>
  <c r="M30" i="1"/>
  <c r="M29" i="1" l="1"/>
  <c r="M28" i="1"/>
  <c r="M27" i="1" l="1"/>
  <c r="M26" i="1" l="1"/>
  <c r="M25" i="1"/>
  <c r="M24" i="1"/>
  <c r="M23" i="1"/>
  <c r="M22" i="1"/>
  <c r="M21" i="1"/>
  <c r="M20" i="1"/>
  <c r="M19" i="1"/>
  <c r="M18" i="1"/>
  <c r="M17" i="1"/>
  <c r="M16" i="1"/>
  <c r="M15" i="1"/>
  <c r="M13" i="1" l="1"/>
  <c r="M12" i="1"/>
  <c r="M11" i="1"/>
  <c r="M10" i="1"/>
  <c r="M9" i="1" l="1"/>
  <c r="M8" i="1"/>
  <c r="M7" i="1"/>
  <c r="M6" i="1" l="1"/>
  <c r="M5" i="1" l="1"/>
  <c r="F4" i="2" l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E100" i="2"/>
  <c r="C100" i="2"/>
  <c r="K57" i="1"/>
  <c r="L51" i="1"/>
  <c r="I51" i="1"/>
  <c r="F51" i="1"/>
  <c r="N40" i="1"/>
  <c r="P39" i="1"/>
  <c r="Q39" i="1" s="1"/>
  <c r="P38" i="1"/>
  <c r="Q38" i="1" s="1"/>
  <c r="P37" i="1"/>
  <c r="Q37" i="1" s="1"/>
  <c r="P36" i="1"/>
  <c r="Q36" i="1" s="1"/>
  <c r="P35" i="1"/>
  <c r="Q35" i="1" s="1"/>
  <c r="P34" i="1"/>
  <c r="Q34" i="1" s="1"/>
  <c r="P33" i="1"/>
  <c r="Q33" i="1" s="1"/>
  <c r="P32" i="1"/>
  <c r="Q32" i="1" s="1"/>
  <c r="P31" i="1"/>
  <c r="Q31" i="1" s="1"/>
  <c r="P30" i="1"/>
  <c r="Q30" i="1" s="1"/>
  <c r="P29" i="1"/>
  <c r="Q29" i="1" s="1"/>
  <c r="P28" i="1"/>
  <c r="Q28" i="1" s="1"/>
  <c r="P27" i="1"/>
  <c r="Q27" i="1" s="1"/>
  <c r="P26" i="1"/>
  <c r="Q26" i="1" s="1"/>
  <c r="P25" i="1"/>
  <c r="Q25" i="1" s="1"/>
  <c r="P24" i="1"/>
  <c r="Q24" i="1" s="1"/>
  <c r="P23" i="1"/>
  <c r="Q23" i="1" s="1"/>
  <c r="P22" i="1"/>
  <c r="Q22" i="1" s="1"/>
  <c r="P21" i="1"/>
  <c r="Q21" i="1" s="1"/>
  <c r="C51" i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P14" i="1"/>
  <c r="Q14" i="1" s="1"/>
  <c r="P13" i="1"/>
  <c r="Q13" i="1" s="1"/>
  <c r="P12" i="1"/>
  <c r="Q12" i="1" s="1"/>
  <c r="P11" i="1"/>
  <c r="Q11" i="1" s="1"/>
  <c r="P10" i="1"/>
  <c r="Q10" i="1" s="1"/>
  <c r="P9" i="1"/>
  <c r="Q9" i="1" s="1"/>
  <c r="P8" i="1"/>
  <c r="Q8" i="1" s="1"/>
  <c r="P7" i="1"/>
  <c r="P6" i="1"/>
  <c r="P5" i="1"/>
  <c r="K53" i="1" l="1"/>
  <c r="F54" i="1" s="1"/>
  <c r="F57" i="1" s="1"/>
  <c r="K55" i="1" s="1"/>
  <c r="K59" i="1" s="1"/>
  <c r="P40" i="1"/>
  <c r="Q5" i="1"/>
  <c r="Q40" i="1" s="1"/>
  <c r="M40" i="1"/>
  <c r="M53" i="1" s="1"/>
</calcChain>
</file>

<file path=xl/comments1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<sst xmlns="http://schemas.openxmlformats.org/spreadsheetml/2006/main" count="216" uniqueCount="135">
  <si>
    <t>COMPRAS</t>
  </si>
  <si>
    <t>MARISOL ORTIZ</t>
  </si>
  <si>
    <t>INVENTARIO INICIAL</t>
  </si>
  <si>
    <t xml:space="preserve">VENTAS  </t>
  </si>
  <si>
    <t>GASTOS</t>
  </si>
  <si>
    <t>DEPOSITOS</t>
  </si>
  <si>
    <t>TARJETA</t>
  </si>
  <si>
    <t xml:space="preserve">CUADRE CON VENTA </t>
  </si>
  <si>
    <t xml:space="preserve"> </t>
  </si>
  <si>
    <t>TOTAL</t>
  </si>
  <si>
    <t>TOTAL 1</t>
  </si>
  <si>
    <t>TOTAL  2</t>
  </si>
  <si>
    <t>GRAN TOTAL GASTOS</t>
  </si>
  <si>
    <t>VENTAS NETAS</t>
  </si>
  <si>
    <t xml:space="preserve">PROVEEDOREES ODELPA </t>
  </si>
  <si>
    <t>SUB TOTAL</t>
  </si>
  <si>
    <t>Sub Total 1</t>
  </si>
  <si>
    <t>INVENTARIO  INICIAL</t>
  </si>
  <si>
    <t>MAS</t>
  </si>
  <si>
    <t>CREDITOS</t>
  </si>
  <si>
    <t>INVENTARIO FINAL</t>
  </si>
  <si>
    <t xml:space="preserve">HERRADURA </t>
  </si>
  <si>
    <t>FECHA</t>
  </si>
  <si>
    <t>#</t>
  </si>
  <si>
    <t>IMPORTE</t>
  </si>
  <si>
    <t xml:space="preserve">Fecha </t>
  </si>
  <si>
    <t>PAGOS</t>
  </si>
  <si>
    <t>REMISIONES  ABASTO 4 CARNES       2 0 2 2</t>
  </si>
  <si>
    <t>BALANCE      ABASTO 4 CARNES    H E R R A D U R A    ENERO           2 0 2 2</t>
  </si>
  <si>
    <t>Vacaciones Marisol</t>
  </si>
  <si>
    <t>RETAZO-BOLA RES-PAPA</t>
  </si>
  <si>
    <t>SALAMI</t>
  </si>
  <si>
    <t>BOLA RES-ROASBEEF-BOLSA</t>
  </si>
  <si>
    <t>NOMINA # 2</t>
  </si>
  <si>
    <t>ARABE</t>
  </si>
  <si>
    <t>PAPA-BOLA RES-SALCHICHA-ARRACHERACHAMBARETE</t>
  </si>
  <si>
    <t>CHORIZO--ARABE</t>
  </si>
  <si>
    <t>JAMON-RETAZO-BOLA RES</t>
  </si>
  <si>
    <t>CREDITO MES ANTERIOR</t>
  </si>
  <si>
    <t>SALSAS--CHAMBARETE</t>
  </si>
  <si>
    <t>LONGANIZA ECO</t>
  </si>
  <si>
    <t>NOMINA # 3</t>
  </si>
  <si>
    <t>QUESO--ENCHILADA-BOLSA-SALCHICHA-BOLA RES</t>
  </si>
  <si>
    <t>BOLA RES--SALCHICHA-PAPA-CHAMBARETE-RETAZO-ROASBEEF</t>
  </si>
  <si>
    <t>LONGANIZA--ARABE</t>
  </si>
  <si>
    <t>NOMIINA # 4</t>
  </si>
  <si>
    <t>JAMON-QUESO-PAN</t>
  </si>
  <si>
    <t>LONGANIZA</t>
  </si>
  <si>
    <t>NOMINA # 5 Y vacaciones</t>
  </si>
  <si>
    <t>COMPRAS CENTRAL</t>
  </si>
  <si>
    <t>03/01/2022</t>
  </si>
  <si>
    <t>C-7470</t>
  </si>
  <si>
    <t>07/01/2022</t>
  </si>
  <si>
    <t>C-7494</t>
  </si>
  <si>
    <t>C-7523</t>
  </si>
  <si>
    <t>04/01/2022</t>
  </si>
  <si>
    <t>C-7593</t>
  </si>
  <si>
    <t>C-7600</t>
  </si>
  <si>
    <t>C-7621</t>
  </si>
  <si>
    <t>05/01/2022</t>
  </si>
  <si>
    <t>C-7767</t>
  </si>
  <si>
    <t>06/01/2022</t>
  </si>
  <si>
    <t>C-7802</t>
  </si>
  <si>
    <t>C-7841</t>
  </si>
  <si>
    <t>C-7989</t>
  </si>
  <si>
    <t>14/01/2022</t>
  </si>
  <si>
    <t>C-7990</t>
  </si>
  <si>
    <t>C-8004</t>
  </si>
  <si>
    <t>C-8005</t>
  </si>
  <si>
    <t>08/01/2022</t>
  </si>
  <si>
    <t>C-8009</t>
  </si>
  <si>
    <t>C-8106</t>
  </si>
  <si>
    <t>C-8123</t>
  </si>
  <si>
    <t>10/01/2022</t>
  </si>
  <si>
    <t>C-8289</t>
  </si>
  <si>
    <t>C-8296</t>
  </si>
  <si>
    <t>C-8297</t>
  </si>
  <si>
    <t>11/01/2022</t>
  </si>
  <si>
    <t>C-8368</t>
  </si>
  <si>
    <t>/  /</t>
  </si>
  <si>
    <t>C-8369</t>
  </si>
  <si>
    <t>C-8392</t>
  </si>
  <si>
    <t>12/01/2022</t>
  </si>
  <si>
    <t>C-8454</t>
  </si>
  <si>
    <t>C-8665</t>
  </si>
  <si>
    <t>C-8765</t>
  </si>
  <si>
    <t>21/01/2022</t>
  </si>
  <si>
    <t>15/01/2022</t>
  </si>
  <si>
    <t>C-8826</t>
  </si>
  <si>
    <t>C-8868</t>
  </si>
  <si>
    <t>17/01/2022</t>
  </si>
  <si>
    <t>C-9068</t>
  </si>
  <si>
    <t>18/01/2022</t>
  </si>
  <si>
    <t>C-9105</t>
  </si>
  <si>
    <t>C-9166</t>
  </si>
  <si>
    <t>C-9169</t>
  </si>
  <si>
    <t>19/01/2022</t>
  </si>
  <si>
    <t>C-9206</t>
  </si>
  <si>
    <t>C-9219</t>
  </si>
  <si>
    <t>20/01/2022</t>
  </si>
  <si>
    <t>C-9378</t>
  </si>
  <si>
    <t>C-9479</t>
  </si>
  <si>
    <t>C-9552</t>
  </si>
  <si>
    <t>28/01/2022</t>
  </si>
  <si>
    <t>22/01/2022</t>
  </si>
  <si>
    <t>C-9626</t>
  </si>
  <si>
    <t>C-9669</t>
  </si>
  <si>
    <t>24/01/2022</t>
  </si>
  <si>
    <t>C-9769</t>
  </si>
  <si>
    <t>C-9775</t>
  </si>
  <si>
    <t>26/01/2022</t>
  </si>
  <si>
    <t>C-9973</t>
  </si>
  <si>
    <t>C-9975</t>
  </si>
  <si>
    <t>27/01/2022</t>
  </si>
  <si>
    <t>C-10140</t>
  </si>
  <si>
    <t>C-10149</t>
  </si>
  <si>
    <t>C-10150</t>
  </si>
  <si>
    <t>C-10184</t>
  </si>
  <si>
    <t>29/01/2022</t>
  </si>
  <si>
    <t>C-10325</t>
  </si>
  <si>
    <t>C-10326</t>
  </si>
  <si>
    <t>C-10335</t>
  </si>
  <si>
    <t>31/01/2022</t>
  </si>
  <si>
    <t>C-10529</t>
  </si>
  <si>
    <t>CANCELADA</t>
  </si>
  <si>
    <t>PERDIDA</t>
  </si>
  <si>
    <t>ENERO</t>
  </si>
  <si>
    <t>TELEFONO</t>
  </si>
  <si>
    <t>BALANCE      ABASTO 4 CARNES    H E R R A D U R A    FEBRERO          2 0 2 2</t>
  </si>
  <si>
    <t>JAMON-VARIOS</t>
  </si>
  <si>
    <t>NOMINA # 6</t>
  </si>
  <si>
    <t>TOCINO-BOLA-RETAZO-QUESOS-JAMON</t>
  </si>
  <si>
    <t>LONGANIZA-ARABE-JAMON</t>
  </si>
  <si>
    <t>NOMINA # 7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</si>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</sst>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3"/>
      <color rgb="FF990033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9933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99003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rgb="FF990099"/>
      <name val="Calibri"/>
      <family val="2"/>
      <scheme val="minor"/>
    </font>
    <font>
      <b/>
      <sz val="12"/>
      <color rgb="FF99009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FF"/>
      <name val="Calibri Light"/>
      <family val="1"/>
      <scheme val="maj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6">
    <xf numFmtId="0" fontId="0" fillId="0" borderId="0" xfId="0"/>
    <xf numFmtId="44" fontId="2" fillId="0" borderId="0" xfId="1" applyFont="1"/>
    <xf numFmtId="0" fontId="0" fillId="0" borderId="0" xfId="0" applyFill="1"/>
    <xf numFmtId="44" fontId="0" fillId="0" borderId="0" xfId="1" applyFont="1"/>
    <xf numFmtId="44" fontId="1" fillId="0" borderId="0" xfId="1"/>
    <xf numFmtId="0" fontId="3" fillId="0" borderId="0" xfId="0" applyFont="1"/>
    <xf numFmtId="44" fontId="1" fillId="0" borderId="0" xfId="1" applyFill="1"/>
    <xf numFmtId="165" fontId="2" fillId="0" borderId="0" xfId="1" applyNumberFormat="1" applyFont="1" applyFill="1"/>
    <xf numFmtId="44" fontId="0" fillId="0" borderId="0" xfId="1" applyFont="1" applyFill="1"/>
    <xf numFmtId="44" fontId="2" fillId="0" borderId="0" xfId="1" applyFont="1" applyFill="1"/>
    <xf numFmtId="0" fontId="6" fillId="0" borderId="0" xfId="0" applyFont="1" applyAlignment="1">
      <alignment horizontal="center"/>
    </xf>
    <xf numFmtId="0" fontId="7" fillId="0" borderId="5" xfId="0" applyFont="1" applyBorder="1" applyAlignment="1">
      <alignment vertical="center" wrapText="1"/>
    </xf>
    <xf numFmtId="165" fontId="2" fillId="0" borderId="0" xfId="1" applyNumberFormat="1" applyFont="1"/>
    <xf numFmtId="44" fontId="3" fillId="0" borderId="0" xfId="1" applyFont="1" applyFill="1"/>
    <xf numFmtId="0" fontId="3" fillId="0" borderId="0" xfId="0" applyFont="1" applyFill="1"/>
    <xf numFmtId="0" fontId="9" fillId="0" borderId="7" xfId="0" applyFont="1" applyBorder="1"/>
    <xf numFmtId="164" fontId="10" fillId="0" borderId="8" xfId="0" applyNumberFormat="1" applyFont="1" applyBorder="1" applyAlignment="1">
      <alignment horizontal="center"/>
    </xf>
    <xf numFmtId="44" fontId="11" fillId="0" borderId="9" xfId="1" applyFont="1" applyBorder="1"/>
    <xf numFmtId="165" fontId="3" fillId="3" borderId="10" xfId="0" applyNumberFormat="1" applyFont="1" applyFill="1" applyBorder="1" applyAlignment="1">
      <alignment horizontal="left"/>
    </xf>
    <xf numFmtId="165" fontId="13" fillId="0" borderId="9" xfId="0" applyNumberFormat="1" applyFont="1" applyBorder="1"/>
    <xf numFmtId="0" fontId="13" fillId="0" borderId="9" xfId="0" applyFont="1" applyBorder="1"/>
    <xf numFmtId="44" fontId="13" fillId="0" borderId="9" xfId="1" applyFont="1" applyBorder="1"/>
    <xf numFmtId="44" fontId="14" fillId="4" borderId="0" xfId="1" applyFont="1" applyFill="1" applyAlignment="1">
      <alignment horizontal="center"/>
    </xf>
    <xf numFmtId="44" fontId="14" fillId="4" borderId="15" xfId="1" applyFont="1" applyFill="1" applyBorder="1" applyAlignment="1">
      <alignment horizontal="center"/>
    </xf>
    <xf numFmtId="16" fontId="0" fillId="0" borderId="0" xfId="0" applyNumberFormat="1"/>
    <xf numFmtId="164" fontId="2" fillId="0" borderId="17" xfId="0" applyNumberFormat="1" applyFont="1" applyFill="1" applyBorder="1" applyAlignment="1">
      <alignment horizontal="center"/>
    </xf>
    <xf numFmtId="44" fontId="2" fillId="0" borderId="18" xfId="1" applyFont="1" applyFill="1" applyBorder="1"/>
    <xf numFmtId="166" fontId="16" fillId="0" borderId="10" xfId="0" applyNumberFormat="1" applyFont="1" applyFill="1" applyBorder="1" applyAlignment="1">
      <alignment horizontal="left"/>
    </xf>
    <xf numFmtId="15" fontId="2" fillId="0" borderId="19" xfId="0" applyNumberFormat="1" applyFont="1" applyFill="1" applyBorder="1"/>
    <xf numFmtId="44" fontId="2" fillId="0" borderId="20" xfId="1" applyFont="1" applyFill="1" applyBorder="1"/>
    <xf numFmtId="15" fontId="2" fillId="0" borderId="21" xfId="0" applyNumberFormat="1" applyFont="1" applyFill="1" applyBorder="1"/>
    <xf numFmtId="44" fontId="2" fillId="0" borderId="22" xfId="1" applyFont="1" applyFill="1" applyBorder="1"/>
    <xf numFmtId="44" fontId="17" fillId="0" borderId="23" xfId="1" applyFont="1" applyFill="1" applyBorder="1"/>
    <xf numFmtId="44" fontId="2" fillId="0" borderId="24" xfId="1" applyFont="1" applyFill="1" applyBorder="1"/>
    <xf numFmtId="44" fontId="2" fillId="0" borderId="0" xfId="1" applyFont="1" applyFill="1" applyBorder="1"/>
    <xf numFmtId="0" fontId="2" fillId="0" borderId="0" xfId="0" applyFont="1" applyFill="1"/>
    <xf numFmtId="166" fontId="18" fillId="0" borderId="10" xfId="0" applyNumberFormat="1" applyFont="1" applyFill="1" applyBorder="1"/>
    <xf numFmtId="15" fontId="2" fillId="0" borderId="25" xfId="0" applyNumberFormat="1" applyFont="1" applyFill="1" applyBorder="1"/>
    <xf numFmtId="165" fontId="2" fillId="0" borderId="0" xfId="1" applyNumberFormat="1" applyFont="1" applyFill="1" applyAlignment="1">
      <alignment horizontal="center"/>
    </xf>
    <xf numFmtId="0" fontId="2" fillId="0" borderId="25" xfId="0" applyFont="1" applyFill="1" applyBorder="1" applyAlignment="1">
      <alignment horizontal="center"/>
    </xf>
    <xf numFmtId="44" fontId="2" fillId="0" borderId="26" xfId="1" applyFont="1" applyFill="1" applyBorder="1"/>
    <xf numFmtId="166" fontId="16" fillId="0" borderId="10" xfId="0" applyNumberFormat="1" applyFont="1" applyFill="1" applyBorder="1"/>
    <xf numFmtId="0" fontId="19" fillId="0" borderId="25" xfId="0" applyFont="1" applyFill="1" applyBorder="1" applyAlignment="1">
      <alignment horizontal="center"/>
    </xf>
    <xf numFmtId="44" fontId="20" fillId="0" borderId="0" xfId="1" applyFont="1" applyFill="1"/>
    <xf numFmtId="165" fontId="21" fillId="0" borderId="0" xfId="1" applyNumberFormat="1" applyFont="1" applyFill="1" applyAlignment="1">
      <alignment horizontal="center"/>
    </xf>
    <xf numFmtId="0" fontId="2" fillId="0" borderId="25" xfId="0" applyFont="1" applyFill="1" applyBorder="1"/>
    <xf numFmtId="16" fontId="2" fillId="0" borderId="25" xfId="0" applyNumberFormat="1" applyFont="1" applyFill="1" applyBorder="1"/>
    <xf numFmtId="165" fontId="21" fillId="0" borderId="27" xfId="0" applyNumberFormat="1" applyFont="1" applyFill="1" applyBorder="1" applyAlignment="1">
      <alignment horizontal="left"/>
    </xf>
    <xf numFmtId="44" fontId="2" fillId="0" borderId="26" xfId="1" applyFont="1" applyFill="1" applyBorder="1" applyAlignment="1">
      <alignment horizontal="right"/>
    </xf>
    <xf numFmtId="16" fontId="21" fillId="0" borderId="25" xfId="0" applyNumberFormat="1" applyFont="1" applyFill="1" applyBorder="1"/>
    <xf numFmtId="0" fontId="22" fillId="0" borderId="25" xfId="0" applyFont="1" applyFill="1" applyBorder="1" applyAlignment="1">
      <alignment wrapText="1"/>
    </xf>
    <xf numFmtId="166" fontId="24" fillId="0" borderId="10" xfId="0" applyNumberFormat="1" applyFont="1" applyFill="1" applyBorder="1"/>
    <xf numFmtId="0" fontId="22" fillId="0" borderId="25" xfId="0" applyFont="1" applyFill="1" applyBorder="1"/>
    <xf numFmtId="16" fontId="25" fillId="0" borderId="27" xfId="0" applyNumberFormat="1" applyFont="1" applyFill="1" applyBorder="1"/>
    <xf numFmtId="0" fontId="22" fillId="0" borderId="28" xfId="0" applyFont="1" applyFill="1" applyBorder="1" applyAlignment="1">
      <alignment horizontal="center" wrapText="1"/>
    </xf>
    <xf numFmtId="44" fontId="2" fillId="0" borderId="29" xfId="1" applyFont="1" applyFill="1" applyBorder="1"/>
    <xf numFmtId="165" fontId="2" fillId="0" borderId="27" xfId="0" applyNumberFormat="1" applyFont="1" applyFill="1" applyBorder="1" applyAlignment="1">
      <alignment horizontal="left"/>
    </xf>
    <xf numFmtId="16" fontId="19" fillId="0" borderId="27" xfId="0" applyNumberFormat="1" applyFont="1" applyFill="1" applyBorder="1" applyAlignment="1">
      <alignment horizontal="center"/>
    </xf>
    <xf numFmtId="44" fontId="2" fillId="0" borderId="29" xfId="1" applyFont="1" applyFill="1" applyBorder="1" applyAlignment="1">
      <alignment horizontal="right"/>
    </xf>
    <xf numFmtId="165" fontId="2" fillId="0" borderId="30" xfId="1" applyNumberFormat="1" applyFont="1" applyFill="1" applyBorder="1" applyAlignment="1">
      <alignment horizontal="center"/>
    </xf>
    <xf numFmtId="0" fontId="2" fillId="0" borderId="27" xfId="0" applyFont="1" applyFill="1" applyBorder="1" applyAlignment="1">
      <alignment horizontal="left"/>
    </xf>
    <xf numFmtId="44" fontId="26" fillId="0" borderId="0" xfId="1" applyFont="1" applyFill="1"/>
    <xf numFmtId="0" fontId="21" fillId="0" borderId="27" xfId="0" applyFont="1" applyFill="1" applyBorder="1" applyAlignment="1">
      <alignment horizontal="left"/>
    </xf>
    <xf numFmtId="44" fontId="2" fillId="0" borderId="31" xfId="1" applyFont="1" applyFill="1" applyBorder="1" applyAlignment="1">
      <alignment horizontal="right"/>
    </xf>
    <xf numFmtId="165" fontId="21" fillId="0" borderId="30" xfId="1" applyNumberFormat="1" applyFont="1" applyFill="1" applyBorder="1" applyAlignment="1">
      <alignment horizontal="left"/>
    </xf>
    <xf numFmtId="0" fontId="2" fillId="0" borderId="25" xfId="0" applyFont="1" applyFill="1" applyBorder="1" applyAlignment="1">
      <alignment horizontal="left"/>
    </xf>
    <xf numFmtId="44" fontId="2" fillId="0" borderId="25" xfId="1" applyFont="1" applyFill="1" applyBorder="1" applyAlignment="1">
      <alignment horizontal="right"/>
    </xf>
    <xf numFmtId="165" fontId="2" fillId="0" borderId="25" xfId="1" applyNumberFormat="1" applyFont="1" applyFill="1" applyBorder="1" applyAlignment="1">
      <alignment horizontal="left"/>
    </xf>
    <xf numFmtId="0" fontId="21" fillId="0" borderId="25" xfId="0" applyFont="1" applyFill="1" applyBorder="1" applyAlignment="1">
      <alignment horizontal="left"/>
    </xf>
    <xf numFmtId="165" fontId="2" fillId="0" borderId="25" xfId="1" applyNumberFormat="1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66" fontId="16" fillId="0" borderId="32" xfId="0" applyNumberFormat="1" applyFont="1" applyFill="1" applyBorder="1"/>
    <xf numFmtId="16" fontId="2" fillId="0" borderId="28" xfId="0" applyNumberFormat="1" applyFont="1" applyFill="1" applyBorder="1" applyAlignment="1">
      <alignment horizontal="left"/>
    </xf>
    <xf numFmtId="165" fontId="19" fillId="0" borderId="25" xfId="1" applyNumberFormat="1" applyFont="1" applyFill="1" applyBorder="1" applyAlignment="1">
      <alignment horizontal="center"/>
    </xf>
    <xf numFmtId="0" fontId="19" fillId="0" borderId="25" xfId="0" applyFont="1" applyFill="1" applyBorder="1"/>
    <xf numFmtId="44" fontId="19" fillId="0" borderId="26" xfId="1" applyFont="1" applyFill="1" applyBorder="1"/>
    <xf numFmtId="0" fontId="19" fillId="0" borderId="25" xfId="0" applyFont="1" applyFill="1" applyBorder="1" applyAlignment="1">
      <alignment horizontal="left"/>
    </xf>
    <xf numFmtId="44" fontId="19" fillId="0" borderId="25" xfId="1" applyFont="1" applyFill="1" applyBorder="1" applyAlignment="1">
      <alignment horizontal="right"/>
    </xf>
    <xf numFmtId="166" fontId="16" fillId="0" borderId="25" xfId="0" applyNumberFormat="1" applyFont="1" applyFill="1" applyBorder="1"/>
    <xf numFmtId="166" fontId="19" fillId="0" borderId="25" xfId="0" applyNumberFormat="1" applyFont="1" applyFill="1" applyBorder="1"/>
    <xf numFmtId="44" fontId="19" fillId="0" borderId="25" xfId="1" applyFont="1" applyFill="1" applyBorder="1"/>
    <xf numFmtId="0" fontId="11" fillId="0" borderId="0" xfId="0" applyFont="1" applyFill="1" applyAlignment="1">
      <alignment horizontal="left" wrapText="1"/>
    </xf>
    <xf numFmtId="44" fontId="19" fillId="0" borderId="0" xfId="1" applyFont="1" applyFill="1"/>
    <xf numFmtId="166" fontId="24" fillId="0" borderId="25" xfId="0" applyNumberFormat="1" applyFont="1" applyFill="1" applyBorder="1"/>
    <xf numFmtId="166" fontId="11" fillId="0" borderId="25" xfId="0" applyNumberFormat="1" applyFont="1" applyFill="1" applyBorder="1"/>
    <xf numFmtId="44" fontId="2" fillId="0" borderId="33" xfId="1" applyFont="1" applyFill="1" applyBorder="1"/>
    <xf numFmtId="44" fontId="2" fillId="0" borderId="25" xfId="1" applyFont="1" applyFill="1" applyBorder="1"/>
    <xf numFmtId="0" fontId="27" fillId="0" borderId="33" xfId="0" applyFont="1" applyFill="1" applyBorder="1" applyAlignment="1">
      <alignment horizontal="center"/>
    </xf>
    <xf numFmtId="44" fontId="2" fillId="0" borderId="34" xfId="1" applyFont="1" applyFill="1" applyBorder="1"/>
    <xf numFmtId="0" fontId="19" fillId="0" borderId="25" xfId="0" applyFont="1" applyFill="1" applyBorder="1" applyAlignment="1">
      <alignment horizontal="left" wrapText="1"/>
    </xf>
    <xf numFmtId="44" fontId="2" fillId="0" borderId="39" xfId="1" applyFont="1" applyFill="1" applyBorder="1"/>
    <xf numFmtId="166" fontId="11" fillId="0" borderId="0" xfId="0" applyNumberFormat="1" applyFont="1" applyFill="1" applyBorder="1"/>
    <xf numFmtId="15" fontId="2" fillId="0" borderId="40" xfId="0" applyNumberFormat="1" applyFont="1" applyFill="1" applyBorder="1"/>
    <xf numFmtId="0" fontId="27" fillId="0" borderId="0" xfId="0" applyFont="1" applyFill="1" applyBorder="1" applyAlignment="1">
      <alignment horizontal="center"/>
    </xf>
    <xf numFmtId="15" fontId="2" fillId="0" borderId="0" xfId="0" applyNumberFormat="1" applyFont="1" applyFill="1" applyBorder="1"/>
    <xf numFmtId="44" fontId="2" fillId="0" borderId="5" xfId="1" applyFont="1" applyFill="1" applyBorder="1"/>
    <xf numFmtId="44" fontId="14" fillId="0" borderId="41" xfId="1" applyFont="1" applyFill="1" applyBorder="1" applyAlignment="1">
      <alignment horizontal="center" vertical="center"/>
    </xf>
    <xf numFmtId="44" fontId="14" fillId="0" borderId="42" xfId="1" applyFont="1" applyFill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/>
    </xf>
    <xf numFmtId="166" fontId="19" fillId="0" borderId="0" xfId="0" applyNumberFormat="1" applyFont="1" applyAlignment="1">
      <alignment horizontal="left"/>
    </xf>
    <xf numFmtId="15" fontId="2" fillId="0" borderId="40" xfId="0" applyNumberFormat="1" applyFont="1" applyBorder="1"/>
    <xf numFmtId="15" fontId="2" fillId="0" borderId="30" xfId="0" applyNumberFormat="1" applyFont="1" applyBorder="1"/>
    <xf numFmtId="165" fontId="24" fillId="0" borderId="21" xfId="1" applyNumberFormat="1" applyFont="1" applyFill="1" applyBorder="1" applyAlignment="1">
      <alignment horizontal="center"/>
    </xf>
    <xf numFmtId="0" fontId="22" fillId="0" borderId="0" xfId="0" applyFont="1" applyFill="1" applyAlignment="1">
      <alignment horizontal="left"/>
    </xf>
    <xf numFmtId="44" fontId="2" fillId="0" borderId="23" xfId="1" applyFont="1" applyFill="1" applyBorder="1"/>
    <xf numFmtId="164" fontId="19" fillId="0" borderId="43" xfId="0" applyNumberFormat="1" applyFont="1" applyBorder="1" applyAlignment="1">
      <alignment horizontal="center"/>
    </xf>
    <xf numFmtId="44" fontId="11" fillId="0" borderId="44" xfId="1" applyFont="1" applyBorder="1"/>
    <xf numFmtId="0" fontId="0" fillId="0" borderId="45" xfId="0" applyBorder="1"/>
    <xf numFmtId="0" fontId="28" fillId="0" borderId="45" xfId="0" applyFont="1" applyBorder="1" applyAlignment="1">
      <alignment horizontal="center"/>
    </xf>
    <xf numFmtId="44" fontId="29" fillId="0" borderId="45" xfId="1" applyFont="1" applyBorder="1"/>
    <xf numFmtId="0" fontId="2" fillId="0" borderId="45" xfId="0" applyFont="1" applyBorder="1" applyAlignment="1">
      <alignment horizontal="center"/>
    </xf>
    <xf numFmtId="44" fontId="2" fillId="0" borderId="46" xfId="1" applyFont="1" applyBorder="1"/>
    <xf numFmtId="165" fontId="2" fillId="0" borderId="0" xfId="1" applyNumberFormat="1" applyFont="1" applyBorder="1"/>
    <xf numFmtId="166" fontId="2" fillId="0" borderId="47" xfId="0" applyNumberFormat="1" applyFont="1" applyBorder="1" applyAlignment="1">
      <alignment horizontal="center"/>
    </xf>
    <xf numFmtId="44" fontId="2" fillId="0" borderId="48" xfId="1" applyFont="1" applyBorder="1"/>
    <xf numFmtId="44" fontId="3" fillId="0" borderId="0" xfId="1" applyFont="1"/>
    <xf numFmtId="164" fontId="0" fillId="0" borderId="0" xfId="0" applyNumberFormat="1" applyAlignment="1">
      <alignment horizontal="center"/>
    </xf>
    <xf numFmtId="0" fontId="2" fillId="0" borderId="0" xfId="0" applyFont="1"/>
    <xf numFmtId="164" fontId="22" fillId="0" borderId="0" xfId="0" applyNumberFormat="1" applyFont="1" applyAlignment="1">
      <alignment horizontal="center"/>
    </xf>
    <xf numFmtId="165" fontId="11" fillId="0" borderId="49" xfId="0" applyNumberFormat="1" applyFont="1" applyBorder="1" applyAlignment="1">
      <alignment horizontal="center" vertical="center" wrapText="1"/>
    </xf>
    <xf numFmtId="44" fontId="3" fillId="0" borderId="25" xfId="1" applyFont="1" applyBorder="1"/>
    <xf numFmtId="44" fontId="11" fillId="0" borderId="0" xfId="1" applyFont="1" applyAlignment="1">
      <alignment horizontal="center" vertical="center" wrapText="1"/>
    </xf>
    <xf numFmtId="165" fontId="11" fillId="0" borderId="0" xfId="1" applyNumberFormat="1" applyFont="1" applyAlignment="1">
      <alignment horizontal="center" vertical="center" wrapText="1"/>
    </xf>
    <xf numFmtId="0" fontId="30" fillId="0" borderId="6" xfId="0" applyFont="1" applyBorder="1"/>
    <xf numFmtId="44" fontId="3" fillId="0" borderId="6" xfId="1" applyFont="1" applyBorder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166" fontId="13" fillId="0" borderId="0" xfId="0" applyNumberFormat="1" applyFont="1"/>
    <xf numFmtId="44" fontId="13" fillId="0" borderId="0" xfId="1" applyFont="1"/>
    <xf numFmtId="0" fontId="2" fillId="0" borderId="26" xfId="0" applyFont="1" applyBorder="1" applyAlignment="1">
      <alignment horizontal="left"/>
    </xf>
    <xf numFmtId="165" fontId="3" fillId="0" borderId="50" xfId="0" applyNumberFormat="1" applyFont="1" applyBorder="1" applyAlignment="1">
      <alignment vertical="center"/>
    </xf>
    <xf numFmtId="0" fontId="2" fillId="0" borderId="0" xfId="0" applyFont="1" applyAlignment="1">
      <alignment horizontal="right"/>
    </xf>
    <xf numFmtId="44" fontId="3" fillId="0" borderId="25" xfId="1" applyFont="1" applyFill="1" applyBorder="1"/>
    <xf numFmtId="168" fontId="31" fillId="0" borderId="26" xfId="1" applyNumberFormat="1" applyFont="1" applyBorder="1"/>
    <xf numFmtId="44" fontId="32" fillId="0" borderId="5" xfId="1" applyFont="1" applyBorder="1"/>
    <xf numFmtId="44" fontId="33" fillId="0" borderId="0" xfId="1" applyFont="1"/>
    <xf numFmtId="0" fontId="33" fillId="0" borderId="0" xfId="0" applyFont="1" applyAlignment="1">
      <alignment horizontal="center"/>
    </xf>
    <xf numFmtId="0" fontId="19" fillId="0" borderId="0" xfId="0" applyFont="1"/>
    <xf numFmtId="44" fontId="27" fillId="0" borderId="0" xfId="1" applyFont="1"/>
    <xf numFmtId="165" fontId="2" fillId="0" borderId="0" xfId="0" applyNumberFormat="1" applyFont="1" applyAlignment="1">
      <alignment horizontal="center"/>
    </xf>
    <xf numFmtId="44" fontId="2" fillId="0" borderId="0" xfId="1" applyFont="1" applyFill="1" applyBorder="1" applyAlignment="1"/>
    <xf numFmtId="44" fontId="34" fillId="0" borderId="0" xfId="1" applyFont="1" applyFill="1" applyBorder="1" applyAlignment="1">
      <alignment vertical="center"/>
    </xf>
    <xf numFmtId="164" fontId="2" fillId="0" borderId="0" xfId="0" applyNumberFormat="1" applyFont="1" applyAlignment="1">
      <alignment horizontal="left"/>
    </xf>
    <xf numFmtId="0" fontId="11" fillId="0" borderId="0" xfId="0" applyFont="1"/>
    <xf numFmtId="0" fontId="21" fillId="0" borderId="0" xfId="0" applyFont="1"/>
    <xf numFmtId="44" fontId="35" fillId="0" borderId="0" xfId="1" applyFont="1"/>
    <xf numFmtId="166" fontId="11" fillId="0" borderId="0" xfId="0" applyNumberFormat="1" applyFont="1" applyAlignment="1">
      <alignment horizontal="left"/>
    </xf>
    <xf numFmtId="44" fontId="1" fillId="0" borderId="0" xfId="1" applyBorder="1"/>
    <xf numFmtId="44" fontId="0" fillId="0" borderId="0" xfId="1" applyFont="1" applyBorder="1"/>
    <xf numFmtId="0" fontId="0" fillId="0" borderId="0" xfId="0" applyFill="1" applyBorder="1"/>
    <xf numFmtId="44" fontId="1" fillId="0" borderId="0" xfId="1" applyFill="1" applyBorder="1"/>
    <xf numFmtId="165" fontId="2" fillId="0" borderId="0" xfId="0" applyNumberFormat="1" applyFont="1" applyFill="1" applyBorder="1" applyAlignment="1">
      <alignment horizontal="left"/>
    </xf>
    <xf numFmtId="0" fontId="38" fillId="6" borderId="52" xfId="0" applyFont="1" applyFill="1" applyBorder="1" applyAlignment="1">
      <alignment vertical="center"/>
    </xf>
    <xf numFmtId="164" fontId="39" fillId="6" borderId="54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44" fontId="3" fillId="0" borderId="8" xfId="1" applyFont="1" applyBorder="1" applyAlignment="1">
      <alignment horizontal="center"/>
    </xf>
    <xf numFmtId="44" fontId="3" fillId="0" borderId="16" xfId="1" applyFont="1" applyBorder="1" applyAlignment="1">
      <alignment horizontal="center"/>
    </xf>
    <xf numFmtId="44" fontId="3" fillId="0" borderId="0" xfId="1" applyFont="1" applyBorder="1" applyAlignment="1">
      <alignment horizontal="center"/>
    </xf>
    <xf numFmtId="164" fontId="2" fillId="0" borderId="25" xfId="0" applyNumberFormat="1" applyFont="1" applyFill="1" applyBorder="1" applyAlignment="1">
      <alignment horizontal="center"/>
    </xf>
    <xf numFmtId="1" fontId="40" fillId="0" borderId="25" xfId="0" applyNumberFormat="1" applyFont="1" applyFill="1" applyBorder="1" applyAlignment="1">
      <alignment horizontal="center"/>
    </xf>
    <xf numFmtId="44" fontId="42" fillId="0" borderId="55" xfId="1" applyFont="1" applyFill="1" applyBorder="1"/>
    <xf numFmtId="0" fontId="13" fillId="0" borderId="0" xfId="0" applyFont="1"/>
    <xf numFmtId="164" fontId="43" fillId="0" borderId="25" xfId="0" applyNumberFormat="1" applyFont="1" applyFill="1" applyBorder="1" applyAlignment="1">
      <alignment horizontal="center"/>
    </xf>
    <xf numFmtId="164" fontId="43" fillId="6" borderId="25" xfId="0" applyNumberFormat="1" applyFont="1" applyFill="1" applyBorder="1" applyAlignment="1">
      <alignment horizontal="center"/>
    </xf>
    <xf numFmtId="1" fontId="40" fillId="6" borderId="25" xfId="0" applyNumberFormat="1" applyFont="1" applyFill="1" applyBorder="1" applyAlignment="1">
      <alignment horizontal="center"/>
    </xf>
    <xf numFmtId="44" fontId="2" fillId="6" borderId="25" xfId="1" applyFont="1" applyFill="1" applyBorder="1"/>
    <xf numFmtId="164" fontId="43" fillId="6" borderId="56" xfId="0" applyNumberFormat="1" applyFont="1" applyFill="1" applyBorder="1" applyAlignment="1">
      <alignment horizontal="center"/>
    </xf>
    <xf numFmtId="1" fontId="40" fillId="6" borderId="56" xfId="0" applyNumberFormat="1" applyFont="1" applyFill="1" applyBorder="1" applyAlignment="1">
      <alignment horizontal="center"/>
    </xf>
    <xf numFmtId="44" fontId="2" fillId="6" borderId="0" xfId="1" applyFont="1" applyFill="1" applyBorder="1"/>
    <xf numFmtId="164" fontId="2" fillId="0" borderId="0" xfId="0" applyNumberFormat="1" applyFont="1" applyAlignment="1">
      <alignment horizontal="center"/>
    </xf>
    <xf numFmtId="164" fontId="2" fillId="0" borderId="25" xfId="0" applyNumberFormat="1" applyFont="1" applyBorder="1" applyAlignment="1">
      <alignment horizontal="center"/>
    </xf>
    <xf numFmtId="164" fontId="43" fillId="0" borderId="56" xfId="0" applyNumberFormat="1" applyFont="1" applyBorder="1" applyAlignment="1">
      <alignment horizontal="center"/>
    </xf>
    <xf numFmtId="1" fontId="40" fillId="0" borderId="56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44" fontId="2" fillId="0" borderId="8" xfId="1" applyFont="1" applyBorder="1"/>
    <xf numFmtId="44" fontId="2" fillId="0" borderId="16" xfId="1" applyFont="1" applyBorder="1"/>
    <xf numFmtId="44" fontId="41" fillId="3" borderId="55" xfId="1" applyFont="1" applyFill="1" applyBorder="1"/>
    <xf numFmtId="44" fontId="12" fillId="0" borderId="0" xfId="1" applyFont="1"/>
    <xf numFmtId="165" fontId="2" fillId="0" borderId="7" xfId="0" applyNumberFormat="1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44" fontId="2" fillId="7" borderId="0" xfId="1" applyFont="1" applyFill="1"/>
    <xf numFmtId="44" fontId="23" fillId="0" borderId="0" xfId="1" applyFont="1" applyFill="1"/>
    <xf numFmtId="44" fontId="0" fillId="7" borderId="0" xfId="1" applyFont="1" applyFill="1"/>
    <xf numFmtId="0" fontId="2" fillId="6" borderId="53" xfId="0" applyFont="1" applyFill="1" applyBorder="1"/>
    <xf numFmtId="44" fontId="2" fillId="6" borderId="53" xfId="1" applyFont="1" applyFill="1" applyBorder="1"/>
    <xf numFmtId="164" fontId="2" fillId="0" borderId="8" xfId="0" applyNumberFormat="1" applyFont="1" applyBorder="1" applyAlignment="1">
      <alignment horizontal="center"/>
    </xf>
    <xf numFmtId="16" fontId="2" fillId="0" borderId="0" xfId="0" applyNumberFormat="1" applyFont="1"/>
    <xf numFmtId="44" fontId="2" fillId="3" borderId="58" xfId="1" applyFont="1" applyFill="1" applyBorder="1"/>
    <xf numFmtId="44" fontId="2" fillId="9" borderId="58" xfId="1" applyFont="1" applyFill="1" applyBorder="1"/>
    <xf numFmtId="49" fontId="2" fillId="0" borderId="57" xfId="0" applyNumberFormat="1" applyFont="1" applyFill="1" applyBorder="1"/>
    <xf numFmtId="49" fontId="2" fillId="0" borderId="58" xfId="0" applyNumberFormat="1" applyFont="1" applyFill="1" applyBorder="1" applyAlignment="1">
      <alignment horizontal="center"/>
    </xf>
    <xf numFmtId="44" fontId="2" fillId="0" borderId="58" xfId="1" applyFont="1" applyFill="1" applyBorder="1"/>
    <xf numFmtId="44" fontId="42" fillId="0" borderId="55" xfId="1" applyFont="1" applyBorder="1"/>
    <xf numFmtId="44" fontId="2" fillId="10" borderId="58" xfId="1" applyFont="1" applyFill="1" applyBorder="1"/>
    <xf numFmtId="164" fontId="2" fillId="6" borderId="53" xfId="0" applyNumberFormat="1" applyFont="1" applyFill="1" applyBorder="1"/>
    <xf numFmtId="164" fontId="3" fillId="0" borderId="8" xfId="0" applyNumberFormat="1" applyFont="1" applyBorder="1" applyAlignment="1">
      <alignment horizontal="center"/>
    </xf>
    <xf numFmtId="164" fontId="2" fillId="0" borderId="58" xfId="0" applyNumberFormat="1" applyFont="1" applyFill="1" applyBorder="1"/>
    <xf numFmtId="164" fontId="2" fillId="0" borderId="0" xfId="0" applyNumberFormat="1" applyFont="1"/>
    <xf numFmtId="164" fontId="20" fillId="0" borderId="58" xfId="0" applyNumberFormat="1" applyFont="1" applyFill="1" applyBorder="1"/>
    <xf numFmtId="164" fontId="2" fillId="6" borderId="58" xfId="0" applyNumberFormat="1" applyFont="1" applyFill="1" applyBorder="1"/>
    <xf numFmtId="44" fontId="2" fillId="6" borderId="58" xfId="1" applyFont="1" applyFill="1" applyBorder="1"/>
    <xf numFmtId="44" fontId="2" fillId="11" borderId="58" xfId="1" applyFont="1" applyFill="1" applyBorder="1"/>
    <xf numFmtId="44" fontId="44" fillId="8" borderId="1" xfId="1" applyFont="1" applyFill="1" applyBorder="1" applyAlignment="1">
      <alignment horizontal="center" wrapText="1"/>
    </xf>
    <xf numFmtId="44" fontId="44" fillId="8" borderId="3" xfId="1" applyFont="1" applyFill="1" applyBorder="1" applyAlignment="1">
      <alignment horizontal="center" wrapText="1"/>
    </xf>
    <xf numFmtId="0" fontId="32" fillId="0" borderId="49" xfId="0" applyFont="1" applyBorder="1" applyAlignment="1">
      <alignment horizontal="center"/>
    </xf>
    <xf numFmtId="0" fontId="32" fillId="0" borderId="50" xfId="0" applyFont="1" applyBorder="1" applyAlignment="1">
      <alignment horizontal="center"/>
    </xf>
    <xf numFmtId="44" fontId="12" fillId="3" borderId="13" xfId="1" applyFont="1" applyFill="1" applyBorder="1" applyAlignment="1">
      <alignment horizontal="center"/>
    </xf>
    <xf numFmtId="44" fontId="12" fillId="3" borderId="51" xfId="1" applyFont="1" applyFill="1" applyBorder="1" applyAlignment="1">
      <alignment horizontal="center"/>
    </xf>
    <xf numFmtId="166" fontId="12" fillId="3" borderId="51" xfId="1" applyNumberFormat="1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5" fillId="5" borderId="8" xfId="0" applyFont="1" applyFill="1" applyBorder="1" applyAlignment="1">
      <alignment horizontal="center"/>
    </xf>
    <xf numFmtId="44" fontId="14" fillId="0" borderId="35" xfId="1" applyFont="1" applyFill="1" applyBorder="1" applyAlignment="1">
      <alignment horizontal="center" vertical="center"/>
    </xf>
    <xf numFmtId="44" fontId="14" fillId="0" borderId="37" xfId="1" applyFont="1" applyFill="1" applyBorder="1" applyAlignment="1">
      <alignment horizontal="center" vertical="center"/>
    </xf>
    <xf numFmtId="44" fontId="14" fillId="0" borderId="36" xfId="1" applyFont="1" applyFill="1" applyBorder="1" applyAlignment="1">
      <alignment horizontal="center" vertical="center"/>
    </xf>
    <xf numFmtId="44" fontId="14" fillId="0" borderId="38" xfId="1" applyFont="1" applyFill="1" applyBorder="1" applyAlignment="1">
      <alignment horizontal="center" vertical="center"/>
    </xf>
    <xf numFmtId="166" fontId="11" fillId="0" borderId="26" xfId="0" applyNumberFormat="1" applyFont="1" applyBorder="1" applyAlignment="1">
      <alignment horizontal="center" vertical="center" wrapText="1"/>
    </xf>
    <xf numFmtId="166" fontId="11" fillId="0" borderId="49" xfId="0" applyNumberFormat="1" applyFont="1" applyBorder="1" applyAlignment="1">
      <alignment horizontal="center" vertical="center" wrapText="1"/>
    </xf>
    <xf numFmtId="166" fontId="11" fillId="0" borderId="49" xfId="0" applyNumberFormat="1" applyFont="1" applyBorder="1" applyAlignment="1">
      <alignment horizontal="center"/>
    </xf>
    <xf numFmtId="0" fontId="11" fillId="0" borderId="50" xfId="0" applyFont="1" applyBorder="1" applyAlignment="1">
      <alignment horizontal="center"/>
    </xf>
    <xf numFmtId="167" fontId="12" fillId="0" borderId="7" xfId="1" applyNumberFormat="1" applyFont="1" applyFill="1" applyBorder="1" applyAlignment="1">
      <alignment horizontal="center" vertical="center" wrapText="1"/>
    </xf>
    <xf numFmtId="167" fontId="12" fillId="0" borderId="16" xfId="1" applyNumberFormat="1" applyFont="1" applyFill="1" applyBorder="1" applyAlignment="1">
      <alignment horizontal="center" vertical="center" wrapText="1"/>
    </xf>
    <xf numFmtId="166" fontId="11" fillId="0" borderId="0" xfId="0" applyNumberFormat="1" applyFont="1" applyAlignment="1">
      <alignment horizontal="center" vertical="center" wrapText="1"/>
    </xf>
    <xf numFmtId="166" fontId="19" fillId="0" borderId="0" xfId="0" applyNumberFormat="1" applyFont="1" applyAlignment="1">
      <alignment horizontal="center" vertical="center" wrapText="1"/>
    </xf>
    <xf numFmtId="44" fontId="11" fillId="0" borderId="26" xfId="1" applyFont="1" applyBorder="1" applyAlignment="1">
      <alignment horizontal="center" vertical="center" wrapText="1"/>
    </xf>
    <xf numFmtId="44" fontId="11" fillId="0" borderId="49" xfId="1" applyFont="1" applyBorder="1" applyAlignment="1">
      <alignment horizontal="center" vertical="center" wrapText="1"/>
    </xf>
    <xf numFmtId="44" fontId="12" fillId="0" borderId="49" xfId="1" applyFont="1" applyBorder="1" applyAlignment="1">
      <alignment horizontal="center"/>
    </xf>
    <xf numFmtId="44" fontId="12" fillId="0" borderId="50" xfId="1" applyFont="1" applyBorder="1" applyAlignment="1">
      <alignment horizontal="center"/>
    </xf>
    <xf numFmtId="44" fontId="13" fillId="0" borderId="26" xfId="1" applyFont="1" applyBorder="1" applyAlignment="1">
      <alignment horizontal="center"/>
    </xf>
    <xf numFmtId="44" fontId="13" fillId="0" borderId="49" xfId="1" applyFont="1" applyBorder="1" applyAlignment="1">
      <alignment horizontal="center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44" fontId="5" fillId="0" borderId="0" xfId="1" applyFont="1" applyBorder="1" applyAlignment="1">
      <alignment horizontal="center"/>
    </xf>
    <xf numFmtId="44" fontId="5" fillId="0" borderId="4" xfId="1" applyFont="1" applyBorder="1" applyAlignment="1">
      <alignment horizontal="center"/>
    </xf>
    <xf numFmtId="0" fontId="8" fillId="2" borderId="6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44" fontId="2" fillId="12" borderId="0" xfId="1" applyFont="1" applyFill="1"/>
    <xf numFmtId="0" fontId="0" fillId="12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66CC"/>
      <color rgb="FFFF99FF"/>
      <color rgb="FF99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52</xdr:row>
      <xdr:rowOff>200024</xdr:rowOff>
    </xdr:from>
    <xdr:to>
      <xdr:col>6</xdr:col>
      <xdr:colOff>285750</xdr:colOff>
      <xdr:row>53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 rot="10800000" flipV="1">
          <a:off x="5076825" y="112394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50</xdr:row>
      <xdr:rowOff>123825</xdr:rowOff>
    </xdr:from>
    <xdr:to>
      <xdr:col>7</xdr:col>
      <xdr:colOff>295275</xdr:colOff>
      <xdr:row>52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CxnSpPr/>
      </xdr:nvCxnSpPr>
      <xdr:spPr>
        <a:xfrm>
          <a:off x="4991100" y="10744200"/>
          <a:ext cx="5334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52</xdr:row>
      <xdr:rowOff>200024</xdr:rowOff>
    </xdr:from>
    <xdr:to>
      <xdr:col>6</xdr:col>
      <xdr:colOff>285750</xdr:colOff>
      <xdr:row>53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 rot="10800000" flipV="1">
          <a:off x="5076825" y="112394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50</xdr:row>
      <xdr:rowOff>104775</xdr:rowOff>
    </xdr:from>
    <xdr:to>
      <xdr:col>5</xdr:col>
      <xdr:colOff>85725</xdr:colOff>
      <xdr:row>52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>
          <a:off x="2152650" y="1072515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50</xdr:row>
      <xdr:rowOff>200023</xdr:rowOff>
    </xdr:from>
    <xdr:to>
      <xdr:col>11</xdr:col>
      <xdr:colOff>133352</xdr:colOff>
      <xdr:row>51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 rot="16200000">
          <a:off x="7648576" y="9858372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54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 rot="18916712">
          <a:off x="0" y="115514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54</xdr:row>
      <xdr:rowOff>85725</xdr:rowOff>
    </xdr:from>
    <xdr:to>
      <xdr:col>7</xdr:col>
      <xdr:colOff>695325</xdr:colOff>
      <xdr:row>58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CxnSpPr/>
      </xdr:nvCxnSpPr>
      <xdr:spPr>
        <a:xfrm flipV="1">
          <a:off x="5000625" y="11572875"/>
          <a:ext cx="9239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52</xdr:row>
      <xdr:rowOff>200024</xdr:rowOff>
    </xdr:from>
    <xdr:to>
      <xdr:col>6</xdr:col>
      <xdr:colOff>285750</xdr:colOff>
      <xdr:row>53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 rot="10800000" flipV="1">
          <a:off x="5076825" y="112394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50</xdr:row>
      <xdr:rowOff>123825</xdr:rowOff>
    </xdr:from>
    <xdr:to>
      <xdr:col>7</xdr:col>
      <xdr:colOff>295275</xdr:colOff>
      <xdr:row>52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CxnSpPr/>
      </xdr:nvCxnSpPr>
      <xdr:spPr>
        <a:xfrm>
          <a:off x="4991100" y="10744200"/>
          <a:ext cx="5334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52</xdr:row>
      <xdr:rowOff>200024</xdr:rowOff>
    </xdr:from>
    <xdr:to>
      <xdr:col>6</xdr:col>
      <xdr:colOff>285750</xdr:colOff>
      <xdr:row>53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 rot="10800000" flipV="1">
          <a:off x="5076825" y="112394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50</xdr:row>
      <xdr:rowOff>104775</xdr:rowOff>
    </xdr:from>
    <xdr:to>
      <xdr:col>5</xdr:col>
      <xdr:colOff>85725</xdr:colOff>
      <xdr:row>52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>
          <a:off x="2152650" y="1072515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50</xdr:row>
      <xdr:rowOff>200023</xdr:rowOff>
    </xdr:from>
    <xdr:to>
      <xdr:col>11</xdr:col>
      <xdr:colOff>133352</xdr:colOff>
      <xdr:row>51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 rot="16200000">
          <a:off x="7648576" y="9858372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54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 rot="18916712">
          <a:off x="0" y="115514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54</xdr:row>
      <xdr:rowOff>85725</xdr:rowOff>
    </xdr:from>
    <xdr:to>
      <xdr:col>7</xdr:col>
      <xdr:colOff>695325</xdr:colOff>
      <xdr:row>58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CxnSpPr/>
      </xdr:nvCxnSpPr>
      <xdr:spPr>
        <a:xfrm flipV="1">
          <a:off x="5000625" y="11572875"/>
          <a:ext cx="9239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S81"/>
  <sheetViews>
    <sheetView workbookViewId="0">
      <selection sqref="A1:XFD1048576"/>
    </sheetView>
  </sheetViews>
  <sheetFormatPr baseColWidth="10" defaultRowHeight="15" x14ac:dyDescent="0.25"/>
  <cols>
    <col min="1" max="1" width="2.5703125" customWidth="1"/>
    <col min="2" max="2" width="12.42578125" style="116" customWidth="1"/>
    <col min="3" max="3" width="16" style="4" customWidth="1"/>
    <col min="4" max="4" width="15.28515625" customWidth="1"/>
    <col min="6" max="6" width="17.85546875" style="4" customWidth="1"/>
    <col min="7" max="7" width="2.85546875" customWidth="1"/>
    <col min="9" max="9" width="14.140625" style="4" customWidth="1"/>
    <col min="10" max="10" width="11.7109375" style="12" customWidth="1"/>
    <col min="11" max="11" width="14.42578125" customWidth="1"/>
    <col min="12" max="12" width="14.5703125" style="3" customWidth="1"/>
    <col min="13" max="13" width="18.140625" style="4" customWidth="1"/>
    <col min="14" max="14" width="16.140625" style="1" customWidth="1"/>
    <col min="16" max="16" width="18.42578125" customWidth="1"/>
    <col min="17" max="17" width="18.140625" style="2" customWidth="1"/>
    <col min="18" max="18" width="14.85546875" style="3" customWidth="1"/>
  </cols>
  <sheetData>
    <row r="1" spans="1:18" ht="23.25" x14ac:dyDescent="0.35">
      <c r="B1" s="233"/>
      <c r="C1" s="235" t="s">
        <v>28</v>
      </c>
      <c r="D1" s="236"/>
      <c r="E1" s="236"/>
      <c r="F1" s="236"/>
      <c r="G1" s="236"/>
      <c r="H1" s="236"/>
      <c r="I1" s="236"/>
      <c r="J1" s="236"/>
      <c r="K1" s="236"/>
      <c r="L1" s="236"/>
      <c r="M1" s="236"/>
    </row>
    <row r="2" spans="1:18" ht="16.5" thickBot="1" x14ac:dyDescent="0.3">
      <c r="B2" s="234"/>
      <c r="C2" s="3"/>
      <c r="H2" s="5"/>
      <c r="I2" s="6"/>
      <c r="J2" s="7"/>
      <c r="L2" s="8"/>
      <c r="M2" s="6"/>
      <c r="N2" s="9"/>
    </row>
    <row r="3" spans="1:18" ht="21.75" thickBot="1" x14ac:dyDescent="0.35">
      <c r="B3" s="237" t="s">
        <v>0</v>
      </c>
      <c r="C3" s="238"/>
      <c r="D3" s="10"/>
      <c r="E3" s="11"/>
      <c r="F3" s="11"/>
      <c r="H3" s="239" t="s">
        <v>1</v>
      </c>
      <c r="I3" s="239"/>
      <c r="K3" s="13"/>
      <c r="L3" s="13"/>
      <c r="M3" s="14"/>
      <c r="R3" s="206" t="s">
        <v>38</v>
      </c>
    </row>
    <row r="4" spans="1:18" ht="20.25" thickTop="1" thickBot="1" x14ac:dyDescent="0.35">
      <c r="A4" s="15" t="s">
        <v>2</v>
      </c>
      <c r="B4" s="16"/>
      <c r="C4" s="17">
        <v>221059.7</v>
      </c>
      <c r="D4" s="18">
        <v>44563</v>
      </c>
      <c r="E4" s="240" t="s">
        <v>3</v>
      </c>
      <c r="F4" s="241"/>
      <c r="H4" s="242" t="s">
        <v>4</v>
      </c>
      <c r="I4" s="243"/>
      <c r="J4" s="19"/>
      <c r="K4" s="20"/>
      <c r="L4" s="21"/>
      <c r="M4" s="22" t="s">
        <v>5</v>
      </c>
      <c r="N4" s="23" t="s">
        <v>6</v>
      </c>
      <c r="P4" s="213" t="s">
        <v>7</v>
      </c>
      <c r="Q4" s="214"/>
      <c r="R4" s="207"/>
    </row>
    <row r="5" spans="1:18" ht="18" thickBot="1" x14ac:dyDescent="0.35">
      <c r="A5" s="24" t="s">
        <v>8</v>
      </c>
      <c r="B5" s="25">
        <v>44564</v>
      </c>
      <c r="C5" s="26">
        <v>0</v>
      </c>
      <c r="D5" s="27"/>
      <c r="E5" s="28">
        <v>44564</v>
      </c>
      <c r="F5" s="29">
        <v>68050</v>
      </c>
      <c r="G5" s="2"/>
      <c r="H5" s="30">
        <v>44564</v>
      </c>
      <c r="I5" s="31">
        <v>45</v>
      </c>
      <c r="J5" s="7">
        <v>44564</v>
      </c>
      <c r="K5" s="183" t="s">
        <v>29</v>
      </c>
      <c r="L5" s="9">
        <v>10000</v>
      </c>
      <c r="M5" s="32">
        <f>30800+25622</f>
        <v>56422</v>
      </c>
      <c r="N5" s="33">
        <v>1583</v>
      </c>
      <c r="O5" s="2"/>
      <c r="P5" s="34">
        <f>N5+M5+L5+I5+C5</f>
        <v>68050</v>
      </c>
      <c r="Q5" s="13">
        <f>P5-F5</f>
        <v>0</v>
      </c>
      <c r="R5" s="9"/>
    </row>
    <row r="6" spans="1:18" ht="18" thickBot="1" x14ac:dyDescent="0.35">
      <c r="A6" s="24"/>
      <c r="B6" s="25">
        <v>44565</v>
      </c>
      <c r="C6" s="26">
        <v>0</v>
      </c>
      <c r="D6" s="36"/>
      <c r="E6" s="28">
        <v>44565</v>
      </c>
      <c r="F6" s="29">
        <v>50460</v>
      </c>
      <c r="G6" s="2"/>
      <c r="H6" s="37">
        <v>44565</v>
      </c>
      <c r="I6" s="31">
        <v>8</v>
      </c>
      <c r="J6" s="38"/>
      <c r="K6" s="39"/>
      <c r="L6" s="40"/>
      <c r="M6" s="32">
        <f>25000+30830</f>
        <v>55830</v>
      </c>
      <c r="N6" s="33">
        <v>1112</v>
      </c>
      <c r="O6" s="2"/>
      <c r="P6" s="34">
        <f t="shared" ref="P6:P39" si="0">N6+M6+L6+I6+C6</f>
        <v>56950</v>
      </c>
      <c r="Q6" s="13">
        <v>0</v>
      </c>
      <c r="R6" s="186">
        <v>6490</v>
      </c>
    </row>
    <row r="7" spans="1:18" ht="18" thickBot="1" x14ac:dyDescent="0.35">
      <c r="A7" s="24"/>
      <c r="B7" s="25">
        <v>44566</v>
      </c>
      <c r="C7" s="26">
        <v>7168</v>
      </c>
      <c r="D7" s="41" t="s">
        <v>30</v>
      </c>
      <c r="E7" s="28">
        <v>44566</v>
      </c>
      <c r="F7" s="29">
        <v>41273</v>
      </c>
      <c r="G7" s="2"/>
      <c r="H7" s="37">
        <v>44566</v>
      </c>
      <c r="I7" s="31">
        <v>30</v>
      </c>
      <c r="J7" s="38"/>
      <c r="K7" s="42"/>
      <c r="L7" s="40"/>
      <c r="M7" s="32">
        <f>15000+21355</f>
        <v>36355</v>
      </c>
      <c r="N7" s="33">
        <v>672</v>
      </c>
      <c r="O7" s="2"/>
      <c r="P7" s="34">
        <f t="shared" si="0"/>
        <v>44225</v>
      </c>
      <c r="Q7" s="9">
        <v>36</v>
      </c>
      <c r="R7" s="184">
        <v>2916</v>
      </c>
    </row>
    <row r="8" spans="1:18" ht="18" thickBot="1" x14ac:dyDescent="0.35">
      <c r="A8" s="24"/>
      <c r="B8" s="25">
        <v>44567</v>
      </c>
      <c r="C8" s="26">
        <v>90</v>
      </c>
      <c r="D8" s="41" t="s">
        <v>31</v>
      </c>
      <c r="E8" s="28">
        <v>44567</v>
      </c>
      <c r="F8" s="29">
        <v>55064</v>
      </c>
      <c r="G8" s="2"/>
      <c r="H8" s="37">
        <v>44567</v>
      </c>
      <c r="I8" s="31">
        <v>0</v>
      </c>
      <c r="J8" s="44"/>
      <c r="K8" s="45"/>
      <c r="L8" s="40"/>
      <c r="M8" s="32">
        <f>20000+34920</f>
        <v>54920</v>
      </c>
      <c r="N8" s="33">
        <v>55</v>
      </c>
      <c r="O8" s="2"/>
      <c r="P8" s="34">
        <f t="shared" si="0"/>
        <v>55065</v>
      </c>
      <c r="Q8" s="9">
        <f t="shared" ref="Q8:Q39" si="1">P8-F8</f>
        <v>1</v>
      </c>
      <c r="R8" s="9"/>
    </row>
    <row r="9" spans="1:18" ht="18" thickBot="1" x14ac:dyDescent="0.35">
      <c r="A9" s="24"/>
      <c r="B9" s="25">
        <v>44568</v>
      </c>
      <c r="C9" s="26">
        <v>5363</v>
      </c>
      <c r="D9" s="41" t="s">
        <v>32</v>
      </c>
      <c r="E9" s="28">
        <v>44568</v>
      </c>
      <c r="F9" s="29">
        <v>79746</v>
      </c>
      <c r="G9" s="2"/>
      <c r="H9" s="37">
        <v>44568</v>
      </c>
      <c r="I9" s="31">
        <v>43</v>
      </c>
      <c r="J9" s="38"/>
      <c r="K9" s="46"/>
      <c r="L9" s="40"/>
      <c r="M9" s="32">
        <f>20000+53830</f>
        <v>73830</v>
      </c>
      <c r="N9" s="33">
        <v>509</v>
      </c>
      <c r="O9" s="2"/>
      <c r="P9" s="34">
        <f>N9+M9+L9+I9+C9</f>
        <v>79745</v>
      </c>
      <c r="Q9" s="43">
        <f>P9-F9</f>
        <v>-1</v>
      </c>
      <c r="R9" s="8"/>
    </row>
    <row r="10" spans="1:18" ht="18" thickBot="1" x14ac:dyDescent="0.35">
      <c r="A10" s="24"/>
      <c r="B10" s="25">
        <v>44569</v>
      </c>
      <c r="C10" s="26">
        <v>27</v>
      </c>
      <c r="D10" s="36" t="s">
        <v>34</v>
      </c>
      <c r="E10" s="28">
        <v>44569</v>
      </c>
      <c r="F10" s="29">
        <v>63188</v>
      </c>
      <c r="G10" s="2"/>
      <c r="H10" s="37">
        <v>44569</v>
      </c>
      <c r="I10" s="31">
        <v>15</v>
      </c>
      <c r="J10" s="38">
        <v>44569</v>
      </c>
      <c r="K10" s="47" t="s">
        <v>33</v>
      </c>
      <c r="L10" s="48">
        <v>6400</v>
      </c>
      <c r="M10" s="32">
        <f>20000+29870</f>
        <v>49870</v>
      </c>
      <c r="N10" s="33">
        <v>6874</v>
      </c>
      <c r="O10" s="2"/>
      <c r="P10" s="34">
        <f t="shared" si="0"/>
        <v>63186</v>
      </c>
      <c r="Q10" s="61">
        <f t="shared" si="1"/>
        <v>-2</v>
      </c>
      <c r="R10" s="9"/>
    </row>
    <row r="11" spans="1:18" ht="18" thickBot="1" x14ac:dyDescent="0.35">
      <c r="A11" s="24"/>
      <c r="B11" s="25">
        <v>44570</v>
      </c>
      <c r="C11" s="26">
        <v>9763</v>
      </c>
      <c r="D11" s="36" t="s">
        <v>35</v>
      </c>
      <c r="E11" s="28">
        <v>44570</v>
      </c>
      <c r="F11" s="29">
        <v>90713</v>
      </c>
      <c r="G11" s="2"/>
      <c r="H11" s="37">
        <v>44570</v>
      </c>
      <c r="I11" s="31">
        <v>0</v>
      </c>
      <c r="J11" s="44"/>
      <c r="K11" s="49"/>
      <c r="L11" s="40"/>
      <c r="M11" s="32">
        <f>63000+17900</f>
        <v>80900</v>
      </c>
      <c r="N11" s="33">
        <v>50</v>
      </c>
      <c r="O11" s="2"/>
      <c r="P11" s="34">
        <f>N11+M11+L11+I11+C11</f>
        <v>90713</v>
      </c>
      <c r="Q11" s="13">
        <f t="shared" si="1"/>
        <v>0</v>
      </c>
      <c r="R11" s="8"/>
    </row>
    <row r="12" spans="1:18" ht="18" thickBot="1" x14ac:dyDescent="0.35">
      <c r="A12" s="24"/>
      <c r="B12" s="25">
        <v>44571</v>
      </c>
      <c r="C12" s="26">
        <v>0</v>
      </c>
      <c r="D12" s="36"/>
      <c r="E12" s="28">
        <v>44571</v>
      </c>
      <c r="F12" s="29">
        <v>43731</v>
      </c>
      <c r="G12" s="2"/>
      <c r="H12" s="37">
        <v>44571</v>
      </c>
      <c r="I12" s="31">
        <v>56</v>
      </c>
      <c r="J12" s="38"/>
      <c r="K12" s="50"/>
      <c r="L12" s="40"/>
      <c r="M12" s="32">
        <f>34795+8300</f>
        <v>43095</v>
      </c>
      <c r="N12" s="33">
        <v>580</v>
      </c>
      <c r="O12" s="2"/>
      <c r="P12" s="34">
        <f t="shared" si="0"/>
        <v>43731</v>
      </c>
      <c r="Q12" s="9">
        <f t="shared" si="1"/>
        <v>0</v>
      </c>
      <c r="R12" s="8"/>
    </row>
    <row r="13" spans="1:18" ht="18" thickBot="1" x14ac:dyDescent="0.35">
      <c r="A13" s="24"/>
      <c r="B13" s="25">
        <v>44572</v>
      </c>
      <c r="C13" s="26">
        <v>828</v>
      </c>
      <c r="D13" s="41" t="s">
        <v>36</v>
      </c>
      <c r="E13" s="28">
        <v>44572</v>
      </c>
      <c r="F13" s="29">
        <v>34119</v>
      </c>
      <c r="G13" s="2"/>
      <c r="H13" s="37">
        <v>44572</v>
      </c>
      <c r="I13" s="31">
        <v>115</v>
      </c>
      <c r="J13" s="38"/>
      <c r="K13" s="39"/>
      <c r="L13" s="40"/>
      <c r="M13" s="32">
        <f>18176+15000</f>
        <v>33176</v>
      </c>
      <c r="N13" s="33">
        <v>0</v>
      </c>
      <c r="O13" s="2"/>
      <c r="P13" s="34">
        <f t="shared" si="0"/>
        <v>34119</v>
      </c>
      <c r="Q13" s="13">
        <f t="shared" si="1"/>
        <v>0</v>
      </c>
      <c r="R13" s="185"/>
    </row>
    <row r="14" spans="1:18" ht="18" thickBot="1" x14ac:dyDescent="0.35">
      <c r="A14" s="24"/>
      <c r="B14" s="25">
        <v>44573</v>
      </c>
      <c r="C14" s="26">
        <v>6439</v>
      </c>
      <c r="D14" s="51" t="s">
        <v>37</v>
      </c>
      <c r="E14" s="28">
        <v>44573</v>
      </c>
      <c r="F14" s="29">
        <v>46352</v>
      </c>
      <c r="G14" s="2"/>
      <c r="H14" s="37">
        <v>44573</v>
      </c>
      <c r="I14" s="31">
        <v>21</v>
      </c>
      <c r="J14" s="38"/>
      <c r="K14" s="45"/>
      <c r="L14" s="40"/>
      <c r="M14" s="32">
        <v>38040</v>
      </c>
      <c r="N14" s="33">
        <v>1851</v>
      </c>
      <c r="O14" s="2"/>
      <c r="P14" s="34">
        <f t="shared" si="0"/>
        <v>46351</v>
      </c>
      <c r="Q14" s="61">
        <f t="shared" si="1"/>
        <v>-1</v>
      </c>
      <c r="R14" s="185"/>
    </row>
    <row r="15" spans="1:18" ht="18" thickBot="1" x14ac:dyDescent="0.35">
      <c r="A15" s="24"/>
      <c r="B15" s="25">
        <v>44574</v>
      </c>
      <c r="C15" s="26">
        <v>2170</v>
      </c>
      <c r="D15" s="51" t="s">
        <v>39</v>
      </c>
      <c r="E15" s="28">
        <v>44574</v>
      </c>
      <c r="F15" s="29">
        <v>42374</v>
      </c>
      <c r="G15" s="2"/>
      <c r="H15" s="37">
        <v>44574</v>
      </c>
      <c r="I15" s="31">
        <v>57</v>
      </c>
      <c r="J15" s="38"/>
      <c r="K15" s="45"/>
      <c r="L15" s="40"/>
      <c r="M15" s="32">
        <f>34920+5000</f>
        <v>39920</v>
      </c>
      <c r="N15" s="33">
        <v>225</v>
      </c>
      <c r="P15" s="34">
        <f t="shared" si="0"/>
        <v>42372</v>
      </c>
      <c r="Q15" s="61">
        <f t="shared" si="1"/>
        <v>-2</v>
      </c>
      <c r="R15" s="8"/>
    </row>
    <row r="16" spans="1:18" ht="18" thickBot="1" x14ac:dyDescent="0.35">
      <c r="A16" s="24"/>
      <c r="B16" s="25">
        <v>44575</v>
      </c>
      <c r="C16" s="26">
        <v>1224</v>
      </c>
      <c r="D16" s="36" t="s">
        <v>40</v>
      </c>
      <c r="E16" s="28">
        <v>44575</v>
      </c>
      <c r="F16" s="29">
        <v>87386</v>
      </c>
      <c r="G16" s="2"/>
      <c r="H16" s="37">
        <v>44575</v>
      </c>
      <c r="I16" s="31">
        <v>36</v>
      </c>
      <c r="J16" s="38"/>
      <c r="K16" s="45"/>
      <c r="L16" s="9"/>
      <c r="M16" s="32">
        <f>46030+40000</f>
        <v>86030</v>
      </c>
      <c r="N16" s="33">
        <v>100</v>
      </c>
      <c r="P16" s="34">
        <f t="shared" si="0"/>
        <v>87390</v>
      </c>
      <c r="Q16" s="9">
        <f t="shared" si="1"/>
        <v>4</v>
      </c>
      <c r="R16" s="8"/>
    </row>
    <row r="17" spans="1:19" ht="18" thickBot="1" x14ac:dyDescent="0.35">
      <c r="A17" s="24"/>
      <c r="B17" s="25">
        <v>44576</v>
      </c>
      <c r="C17" s="26">
        <v>0</v>
      </c>
      <c r="D17" s="41"/>
      <c r="E17" s="28">
        <v>44576</v>
      </c>
      <c r="F17" s="29">
        <v>56164</v>
      </c>
      <c r="G17" s="2"/>
      <c r="H17" s="37">
        <v>44576</v>
      </c>
      <c r="I17" s="31">
        <v>59</v>
      </c>
      <c r="J17" s="38">
        <v>44576</v>
      </c>
      <c r="K17" s="52" t="s">
        <v>41</v>
      </c>
      <c r="L17" s="48">
        <v>5757.14</v>
      </c>
      <c r="M17" s="32">
        <f>10000+5000+25250+763</f>
        <v>41013</v>
      </c>
      <c r="N17" s="33">
        <v>9335</v>
      </c>
      <c r="P17" s="34">
        <f t="shared" si="0"/>
        <v>56164.14</v>
      </c>
      <c r="Q17" s="13">
        <f t="shared" si="1"/>
        <v>0.13999999999941792</v>
      </c>
      <c r="R17" s="8"/>
    </row>
    <row r="18" spans="1:19" ht="18" thickBot="1" x14ac:dyDescent="0.35">
      <c r="A18" s="24"/>
      <c r="B18" s="25">
        <v>44577</v>
      </c>
      <c r="C18" s="26">
        <v>2717</v>
      </c>
      <c r="D18" s="36" t="s">
        <v>42</v>
      </c>
      <c r="E18" s="28">
        <v>44577</v>
      </c>
      <c r="F18" s="29">
        <v>77890</v>
      </c>
      <c r="G18" s="2"/>
      <c r="H18" s="37">
        <v>44577</v>
      </c>
      <c r="I18" s="31">
        <v>57</v>
      </c>
      <c r="J18" s="38"/>
      <c r="K18" s="53"/>
      <c r="L18" s="40"/>
      <c r="M18" s="32">
        <f>55000+19596</f>
        <v>74596</v>
      </c>
      <c r="N18" s="33">
        <v>520</v>
      </c>
      <c r="P18" s="34">
        <f t="shared" si="0"/>
        <v>77890</v>
      </c>
      <c r="Q18" s="9">
        <f t="shared" si="1"/>
        <v>0</v>
      </c>
      <c r="R18" s="8"/>
    </row>
    <row r="19" spans="1:19" ht="18" thickBot="1" x14ac:dyDescent="0.35">
      <c r="A19" s="24"/>
      <c r="B19" s="25">
        <v>44578</v>
      </c>
      <c r="C19" s="26">
        <v>0</v>
      </c>
      <c r="D19" s="36"/>
      <c r="E19" s="28">
        <v>44578</v>
      </c>
      <c r="F19" s="29">
        <v>37491</v>
      </c>
      <c r="G19" s="2"/>
      <c r="H19" s="37">
        <v>44578</v>
      </c>
      <c r="I19" s="31">
        <v>36</v>
      </c>
      <c r="J19" s="38"/>
      <c r="K19" s="54"/>
      <c r="L19" s="55"/>
      <c r="M19" s="32">
        <f>30302+6400</f>
        <v>36702</v>
      </c>
      <c r="N19" s="33">
        <v>753</v>
      </c>
      <c r="P19" s="34">
        <f t="shared" si="0"/>
        <v>37491</v>
      </c>
      <c r="Q19" s="9">
        <f t="shared" si="1"/>
        <v>0</v>
      </c>
      <c r="R19" s="8"/>
    </row>
    <row r="20" spans="1:19" ht="18" thickBot="1" x14ac:dyDescent="0.35">
      <c r="A20" s="24"/>
      <c r="B20" s="25">
        <v>44579</v>
      </c>
      <c r="C20" s="26">
        <v>0</v>
      </c>
      <c r="D20" s="36"/>
      <c r="E20" s="28">
        <v>44579</v>
      </c>
      <c r="F20" s="29">
        <v>39151</v>
      </c>
      <c r="G20" s="2"/>
      <c r="H20" s="37">
        <v>44579</v>
      </c>
      <c r="I20" s="31">
        <v>51</v>
      </c>
      <c r="J20" s="38"/>
      <c r="K20" s="56"/>
      <c r="L20" s="48"/>
      <c r="M20" s="32">
        <f>33450+5000</f>
        <v>38450</v>
      </c>
      <c r="N20" s="33">
        <v>649</v>
      </c>
      <c r="P20" s="34">
        <f t="shared" si="0"/>
        <v>39150</v>
      </c>
      <c r="Q20" s="43">
        <f t="shared" si="1"/>
        <v>-1</v>
      </c>
      <c r="R20" s="8"/>
    </row>
    <row r="21" spans="1:19" ht="18" thickBot="1" x14ac:dyDescent="0.35">
      <c r="A21" s="24"/>
      <c r="B21" s="25">
        <v>44580</v>
      </c>
      <c r="C21" s="26">
        <v>22</v>
      </c>
      <c r="D21" s="36" t="s">
        <v>34</v>
      </c>
      <c r="E21" s="28">
        <v>44580</v>
      </c>
      <c r="F21" s="29">
        <v>39601</v>
      </c>
      <c r="G21" s="2"/>
      <c r="H21" s="37">
        <v>44580</v>
      </c>
      <c r="I21" s="31">
        <v>30</v>
      </c>
      <c r="J21" s="38"/>
      <c r="K21" s="57"/>
      <c r="L21" s="48"/>
      <c r="M21" s="32">
        <f>10000+28900</f>
        <v>38900</v>
      </c>
      <c r="N21" s="33">
        <v>647</v>
      </c>
      <c r="P21" s="34">
        <f t="shared" si="0"/>
        <v>39599</v>
      </c>
      <c r="Q21" s="61">
        <f t="shared" si="1"/>
        <v>-2</v>
      </c>
      <c r="R21" s="8"/>
    </row>
    <row r="22" spans="1:19" ht="18" thickBot="1" x14ac:dyDescent="0.35">
      <c r="A22" s="24"/>
      <c r="B22" s="25">
        <v>44581</v>
      </c>
      <c r="C22" s="26">
        <v>0</v>
      </c>
      <c r="D22" s="36"/>
      <c r="E22" s="28">
        <v>44581</v>
      </c>
      <c r="F22" s="29">
        <v>38741</v>
      </c>
      <c r="G22" s="2"/>
      <c r="H22" s="37">
        <v>44581</v>
      </c>
      <c r="I22" s="31">
        <v>0</v>
      </c>
      <c r="J22" s="38"/>
      <c r="K22" s="35"/>
      <c r="L22" s="58"/>
      <c r="M22" s="32">
        <f>10000+28750</f>
        <v>38750</v>
      </c>
      <c r="N22" s="33">
        <v>0</v>
      </c>
      <c r="P22" s="34">
        <f t="shared" si="0"/>
        <v>38750</v>
      </c>
      <c r="Q22" s="13">
        <f t="shared" si="1"/>
        <v>9</v>
      </c>
      <c r="R22" s="8"/>
    </row>
    <row r="23" spans="1:19" ht="18" thickBot="1" x14ac:dyDescent="0.35">
      <c r="A23" s="24"/>
      <c r="B23" s="25">
        <v>44582</v>
      </c>
      <c r="C23" s="26">
        <v>13341</v>
      </c>
      <c r="D23" s="36" t="s">
        <v>43</v>
      </c>
      <c r="E23" s="28">
        <v>44582</v>
      </c>
      <c r="F23" s="29">
        <v>86099</v>
      </c>
      <c r="G23" s="2"/>
      <c r="H23" s="37">
        <v>44582</v>
      </c>
      <c r="I23" s="31">
        <v>39</v>
      </c>
      <c r="J23" s="59"/>
      <c r="K23" s="60"/>
      <c r="L23" s="48"/>
      <c r="M23" s="32">
        <f>30000+42720</f>
        <v>72720</v>
      </c>
      <c r="N23" s="33">
        <v>0</v>
      </c>
      <c r="P23" s="34">
        <f t="shared" si="0"/>
        <v>86100</v>
      </c>
      <c r="Q23" s="13">
        <f t="shared" si="1"/>
        <v>1</v>
      </c>
      <c r="R23" s="8"/>
    </row>
    <row r="24" spans="1:19" ht="18" thickBot="1" x14ac:dyDescent="0.35">
      <c r="A24" s="24"/>
      <c r="B24" s="25">
        <v>44583</v>
      </c>
      <c r="C24" s="26">
        <v>2740</v>
      </c>
      <c r="D24" s="41" t="s">
        <v>44</v>
      </c>
      <c r="E24" s="28">
        <v>44583</v>
      </c>
      <c r="F24" s="29">
        <v>69549</v>
      </c>
      <c r="G24" s="2"/>
      <c r="H24" s="37">
        <v>44583</v>
      </c>
      <c r="I24" s="31">
        <v>100</v>
      </c>
      <c r="J24" s="181">
        <v>44583</v>
      </c>
      <c r="K24" s="62" t="s">
        <v>45</v>
      </c>
      <c r="L24" s="63">
        <v>8417</v>
      </c>
      <c r="M24" s="32">
        <f>39390+10000</f>
        <v>49390</v>
      </c>
      <c r="N24" s="33">
        <v>8900</v>
      </c>
      <c r="P24" s="34">
        <f t="shared" si="0"/>
        <v>69547</v>
      </c>
      <c r="Q24" s="61">
        <f t="shared" si="1"/>
        <v>-2</v>
      </c>
      <c r="R24" s="8"/>
    </row>
    <row r="25" spans="1:19" ht="18" thickBot="1" x14ac:dyDescent="0.35">
      <c r="A25" s="24"/>
      <c r="B25" s="25">
        <v>44584</v>
      </c>
      <c r="C25" s="26">
        <v>1083</v>
      </c>
      <c r="D25" s="36" t="s">
        <v>46</v>
      </c>
      <c r="E25" s="28">
        <v>44584</v>
      </c>
      <c r="F25" s="29">
        <v>85933</v>
      </c>
      <c r="G25" s="2"/>
      <c r="H25" s="37">
        <v>44584</v>
      </c>
      <c r="I25" s="31">
        <v>229</v>
      </c>
      <c r="J25" s="64"/>
      <c r="K25" s="65"/>
      <c r="L25" s="66"/>
      <c r="M25" s="32">
        <f>50000+20000+13948</f>
        <v>83948</v>
      </c>
      <c r="N25" s="33">
        <v>673</v>
      </c>
      <c r="O25" t="s">
        <v>8</v>
      </c>
      <c r="P25" s="34">
        <f t="shared" si="0"/>
        <v>85933</v>
      </c>
      <c r="Q25" s="13">
        <f t="shared" si="1"/>
        <v>0</v>
      </c>
      <c r="R25" s="8"/>
      <c r="S25" t="s">
        <v>8</v>
      </c>
    </row>
    <row r="26" spans="1:19" ht="18" thickBot="1" x14ac:dyDescent="0.35">
      <c r="A26" s="24"/>
      <c r="B26" s="25">
        <v>44585</v>
      </c>
      <c r="C26" s="26">
        <v>0</v>
      </c>
      <c r="D26" s="36"/>
      <c r="E26" s="28">
        <v>44585</v>
      </c>
      <c r="F26" s="29">
        <v>42010</v>
      </c>
      <c r="G26" s="2"/>
      <c r="H26" s="37">
        <v>44585</v>
      </c>
      <c r="I26" s="31">
        <v>78</v>
      </c>
      <c r="J26" s="38"/>
      <c r="K26" s="62"/>
      <c r="L26" s="48"/>
      <c r="M26" s="32">
        <f>25375+16400</f>
        <v>41775</v>
      </c>
      <c r="N26" s="33">
        <v>157</v>
      </c>
      <c r="P26" s="34">
        <f t="shared" si="0"/>
        <v>42010</v>
      </c>
      <c r="Q26" s="13">
        <f t="shared" si="1"/>
        <v>0</v>
      </c>
      <c r="R26" s="9"/>
    </row>
    <row r="27" spans="1:19" ht="18" thickBot="1" x14ac:dyDescent="0.35">
      <c r="A27" s="24"/>
      <c r="B27" s="25">
        <v>44586</v>
      </c>
      <c r="C27" s="26">
        <v>0</v>
      </c>
      <c r="D27" s="41"/>
      <c r="E27" s="28">
        <v>44586</v>
      </c>
      <c r="F27" s="29">
        <v>38607</v>
      </c>
      <c r="G27" s="2"/>
      <c r="H27" s="37">
        <v>44586</v>
      </c>
      <c r="I27" s="31">
        <v>32</v>
      </c>
      <c r="J27" s="67"/>
      <c r="K27" s="68"/>
      <c r="L27" s="66"/>
      <c r="M27" s="32">
        <f>27075+10000</f>
        <v>37075</v>
      </c>
      <c r="N27" s="33">
        <v>1500</v>
      </c>
      <c r="P27" s="34">
        <f t="shared" si="0"/>
        <v>38607</v>
      </c>
      <c r="Q27" s="13">
        <f t="shared" si="1"/>
        <v>0</v>
      </c>
      <c r="R27" s="8"/>
    </row>
    <row r="28" spans="1:19" ht="18" thickBot="1" x14ac:dyDescent="0.35">
      <c r="A28" s="24"/>
      <c r="B28" s="25">
        <v>44587</v>
      </c>
      <c r="C28" s="26">
        <v>15</v>
      </c>
      <c r="D28" s="41" t="s">
        <v>34</v>
      </c>
      <c r="E28" s="28">
        <v>44587</v>
      </c>
      <c r="F28" s="29">
        <v>37270</v>
      </c>
      <c r="G28" s="2"/>
      <c r="H28" s="37">
        <v>44587</v>
      </c>
      <c r="I28" s="31">
        <v>45</v>
      </c>
      <c r="J28" s="69"/>
      <c r="K28" s="70"/>
      <c r="L28" s="66"/>
      <c r="M28" s="32">
        <f>27210+10000</f>
        <v>37210</v>
      </c>
      <c r="N28" s="33">
        <v>0</v>
      </c>
      <c r="P28" s="34">
        <f t="shared" si="0"/>
        <v>37270</v>
      </c>
      <c r="Q28" s="13">
        <f t="shared" si="1"/>
        <v>0</v>
      </c>
      <c r="R28" s="8"/>
    </row>
    <row r="29" spans="1:19" ht="18" thickBot="1" x14ac:dyDescent="0.35">
      <c r="A29" s="24"/>
      <c r="B29" s="25">
        <v>44588</v>
      </c>
      <c r="C29" s="26">
        <v>0</v>
      </c>
      <c r="D29" s="71"/>
      <c r="E29" s="28">
        <v>44588</v>
      </c>
      <c r="F29" s="29">
        <v>48904</v>
      </c>
      <c r="G29" s="2"/>
      <c r="H29" s="37">
        <v>44588</v>
      </c>
      <c r="I29" s="31">
        <v>0</v>
      </c>
      <c r="J29" s="67"/>
      <c r="K29" s="72"/>
      <c r="L29" s="66"/>
      <c r="M29" s="32">
        <f>20000+28760</f>
        <v>48760</v>
      </c>
      <c r="N29" s="33">
        <v>144</v>
      </c>
      <c r="P29" s="34">
        <f t="shared" si="0"/>
        <v>48904</v>
      </c>
      <c r="Q29" s="13">
        <f t="shared" si="1"/>
        <v>0</v>
      </c>
      <c r="R29" s="8"/>
    </row>
    <row r="30" spans="1:19" ht="18" thickBot="1" x14ac:dyDescent="0.35">
      <c r="A30" s="24"/>
      <c r="B30" s="25">
        <v>44589</v>
      </c>
      <c r="C30" s="26">
        <v>0</v>
      </c>
      <c r="D30" s="71"/>
      <c r="E30" s="28">
        <v>44589</v>
      </c>
      <c r="F30" s="29">
        <v>88236</v>
      </c>
      <c r="G30" s="2"/>
      <c r="H30" s="37">
        <v>44589</v>
      </c>
      <c r="I30" s="31">
        <v>51</v>
      </c>
      <c r="J30" s="73"/>
      <c r="K30" s="74"/>
      <c r="L30" s="75"/>
      <c r="M30" s="32">
        <f>50000+38185</f>
        <v>88185</v>
      </c>
      <c r="N30" s="33">
        <v>0</v>
      </c>
      <c r="P30" s="34">
        <f t="shared" si="0"/>
        <v>88236</v>
      </c>
      <c r="Q30" s="9">
        <f t="shared" si="1"/>
        <v>0</v>
      </c>
      <c r="R30" s="8"/>
    </row>
    <row r="31" spans="1:19" ht="18" thickBot="1" x14ac:dyDescent="0.35">
      <c r="A31" s="24"/>
      <c r="B31" s="25">
        <v>44590</v>
      </c>
      <c r="C31" s="26">
        <v>680</v>
      </c>
      <c r="D31" s="83" t="s">
        <v>47</v>
      </c>
      <c r="E31" s="28">
        <v>44590</v>
      </c>
      <c r="F31" s="29">
        <v>90540</v>
      </c>
      <c r="G31" s="2"/>
      <c r="H31" s="37">
        <v>44590</v>
      </c>
      <c r="I31" s="31">
        <v>79</v>
      </c>
      <c r="J31" s="73">
        <v>44590</v>
      </c>
      <c r="K31" s="76" t="s">
        <v>48</v>
      </c>
      <c r="L31" s="77">
        <f>9500+2571.43</f>
        <v>12071.43</v>
      </c>
      <c r="M31" s="32">
        <f>40000+28480</f>
        <v>68480</v>
      </c>
      <c r="N31" s="33">
        <v>9229</v>
      </c>
      <c r="P31" s="34">
        <f t="shared" si="0"/>
        <v>90539.43</v>
      </c>
      <c r="Q31" s="9">
        <f t="shared" si="1"/>
        <v>-0.57000000000698492</v>
      </c>
      <c r="R31" s="8"/>
    </row>
    <row r="32" spans="1:19" ht="18" thickBot="1" x14ac:dyDescent="0.35">
      <c r="A32" s="24"/>
      <c r="B32" s="25">
        <v>44591</v>
      </c>
      <c r="C32" s="26">
        <v>21227</v>
      </c>
      <c r="D32" s="78" t="s">
        <v>49</v>
      </c>
      <c r="E32" s="28">
        <v>44591</v>
      </c>
      <c r="F32" s="29">
        <v>107820</v>
      </c>
      <c r="G32" s="2"/>
      <c r="H32" s="37">
        <v>44591</v>
      </c>
      <c r="I32" s="31">
        <v>10</v>
      </c>
      <c r="J32" s="73"/>
      <c r="K32" s="74"/>
      <c r="L32" s="75"/>
      <c r="M32" s="32">
        <f>50000+32688</f>
        <v>82688</v>
      </c>
      <c r="N32" s="33">
        <v>3895</v>
      </c>
      <c r="P32" s="34">
        <f t="shared" si="0"/>
        <v>107820</v>
      </c>
      <c r="Q32" s="9">
        <f t="shared" si="1"/>
        <v>0</v>
      </c>
      <c r="R32" s="8"/>
    </row>
    <row r="33" spans="1:18" ht="18" thickBot="1" x14ac:dyDescent="0.35">
      <c r="A33" s="24"/>
      <c r="B33" s="25"/>
      <c r="C33" s="26"/>
      <c r="D33" s="79"/>
      <c r="E33" s="28"/>
      <c r="F33" s="29"/>
      <c r="G33" s="2"/>
      <c r="H33" s="37"/>
      <c r="I33" s="31"/>
      <c r="J33" s="73"/>
      <c r="K33" s="76"/>
      <c r="L33" s="80"/>
      <c r="M33" s="32">
        <v>0</v>
      </c>
      <c r="N33" s="33">
        <v>0</v>
      </c>
      <c r="P33" s="34">
        <f t="shared" si="0"/>
        <v>0</v>
      </c>
      <c r="Q33" s="9">
        <f t="shared" si="1"/>
        <v>0</v>
      </c>
      <c r="R33" s="8"/>
    </row>
    <row r="34" spans="1:18" ht="18" thickBot="1" x14ac:dyDescent="0.35">
      <c r="A34" s="24"/>
      <c r="B34" s="25"/>
      <c r="C34" s="26"/>
      <c r="D34" s="78"/>
      <c r="E34" s="28"/>
      <c r="F34" s="29"/>
      <c r="G34" s="2"/>
      <c r="H34" s="37"/>
      <c r="I34" s="31"/>
      <c r="J34" s="73" t="s">
        <v>126</v>
      </c>
      <c r="K34" s="81" t="s">
        <v>127</v>
      </c>
      <c r="L34" s="82">
        <v>549</v>
      </c>
      <c r="M34" s="32">
        <v>0</v>
      </c>
      <c r="N34" s="33">
        <v>0</v>
      </c>
      <c r="P34" s="34">
        <f t="shared" si="0"/>
        <v>549</v>
      </c>
      <c r="Q34" s="9">
        <f t="shared" si="1"/>
        <v>549</v>
      </c>
      <c r="R34" s="8"/>
    </row>
    <row r="35" spans="1:18" ht="18" thickBot="1" x14ac:dyDescent="0.35">
      <c r="A35" s="24"/>
      <c r="B35" s="25"/>
      <c r="C35" s="26"/>
      <c r="D35" s="83"/>
      <c r="E35" s="28"/>
      <c r="F35" s="29"/>
      <c r="G35" s="2"/>
      <c r="H35" s="37"/>
      <c r="I35" s="31"/>
      <c r="J35" s="73"/>
      <c r="K35" s="76"/>
      <c r="L35" s="80"/>
      <c r="M35" s="32">
        <v>0</v>
      </c>
      <c r="N35" s="33">
        <v>0</v>
      </c>
      <c r="P35" s="34">
        <f t="shared" si="0"/>
        <v>0</v>
      </c>
      <c r="Q35" s="9">
        <f t="shared" si="1"/>
        <v>0</v>
      </c>
      <c r="R35" s="8"/>
    </row>
    <row r="36" spans="1:18" ht="18" thickBot="1" x14ac:dyDescent="0.35">
      <c r="A36" s="24"/>
      <c r="B36" s="25"/>
      <c r="C36" s="26"/>
      <c r="D36" s="84"/>
      <c r="E36" s="28"/>
      <c r="F36" s="29"/>
      <c r="G36" s="2"/>
      <c r="H36" s="37"/>
      <c r="I36" s="31"/>
      <c r="J36" s="73"/>
      <c r="K36" s="182"/>
      <c r="L36" s="82"/>
      <c r="M36" s="32">
        <v>0</v>
      </c>
      <c r="N36" s="33">
        <v>0</v>
      </c>
      <c r="P36" s="34">
        <f t="shared" si="0"/>
        <v>0</v>
      </c>
      <c r="Q36" s="9">
        <f t="shared" si="1"/>
        <v>0</v>
      </c>
      <c r="R36" s="8"/>
    </row>
    <row r="37" spans="1:18" ht="18" thickBot="1" x14ac:dyDescent="0.35">
      <c r="A37" s="24"/>
      <c r="B37" s="25"/>
      <c r="C37" s="26"/>
      <c r="D37" s="78"/>
      <c r="E37" s="28"/>
      <c r="F37" s="29"/>
      <c r="G37" s="2"/>
      <c r="H37" s="37"/>
      <c r="I37" s="31"/>
      <c r="J37" s="73"/>
      <c r="K37" s="81"/>
      <c r="L37" s="82"/>
      <c r="M37" s="32">
        <v>0</v>
      </c>
      <c r="N37" s="33">
        <v>0</v>
      </c>
      <c r="P37" s="34">
        <f t="shared" si="0"/>
        <v>0</v>
      </c>
      <c r="Q37" s="9">
        <f t="shared" si="1"/>
        <v>0</v>
      </c>
    </row>
    <row r="38" spans="1:18" ht="18" thickBot="1" x14ac:dyDescent="0.35">
      <c r="A38" s="24"/>
      <c r="B38" s="25"/>
      <c r="C38" s="26"/>
      <c r="D38" s="79"/>
      <c r="E38" s="28"/>
      <c r="F38" s="29"/>
      <c r="G38" s="2"/>
      <c r="H38" s="37"/>
      <c r="I38" s="31"/>
      <c r="J38" s="73"/>
      <c r="K38" s="76"/>
      <c r="L38" s="80"/>
      <c r="M38" s="32">
        <v>0</v>
      </c>
      <c r="N38" s="33">
        <v>0</v>
      </c>
      <c r="P38" s="34">
        <f t="shared" si="0"/>
        <v>0</v>
      </c>
      <c r="Q38" s="9">
        <f t="shared" si="1"/>
        <v>0</v>
      </c>
    </row>
    <row r="39" spans="1:18" ht="18" thickBot="1" x14ac:dyDescent="0.35">
      <c r="A39" s="24"/>
      <c r="B39" s="25"/>
      <c r="C39" s="26"/>
      <c r="D39" s="79"/>
      <c r="E39" s="28"/>
      <c r="F39" s="85"/>
      <c r="G39" s="2"/>
      <c r="H39" s="37"/>
      <c r="I39" s="31"/>
      <c r="J39" s="73"/>
      <c r="K39" s="76"/>
      <c r="L39" s="75"/>
      <c r="M39" s="32">
        <v>0</v>
      </c>
      <c r="N39" s="33">
        <v>0</v>
      </c>
      <c r="P39" s="34">
        <f t="shared" si="0"/>
        <v>0</v>
      </c>
      <c r="Q39" s="9">
        <f t="shared" si="1"/>
        <v>0</v>
      </c>
    </row>
    <row r="40" spans="1:18" ht="18.75" thickTop="1" thickBot="1" x14ac:dyDescent="0.35">
      <c r="A40" s="24"/>
      <c r="B40" s="25"/>
      <c r="C40" s="86"/>
      <c r="D40" s="84"/>
      <c r="E40" s="28"/>
      <c r="F40" s="87"/>
      <c r="G40" s="2"/>
      <c r="H40" s="37"/>
      <c r="I40" s="88"/>
      <c r="J40" s="73"/>
      <c r="K40" s="89"/>
      <c r="L40" s="75"/>
      <c r="M40" s="215">
        <f>SUM(M5:M39)</f>
        <v>1527030</v>
      </c>
      <c r="N40" s="217">
        <f>SUM(N5:N39)</f>
        <v>50013</v>
      </c>
      <c r="P40" s="34">
        <f>SUM(P5:P39)</f>
        <v>1696456.57</v>
      </c>
      <c r="Q40" s="9">
        <f>SUM(Q5:Q38)</f>
        <v>588.56999999999243</v>
      </c>
    </row>
    <row r="41" spans="1:18" ht="18" thickBot="1" x14ac:dyDescent="0.35">
      <c r="A41" s="24"/>
      <c r="B41" s="25"/>
      <c r="C41" s="86"/>
      <c r="D41" s="84"/>
      <c r="E41" s="28"/>
      <c r="F41" s="87"/>
      <c r="G41" s="2"/>
      <c r="H41" s="37"/>
      <c r="I41" s="88"/>
      <c r="J41" s="73"/>
      <c r="K41" s="76"/>
      <c r="L41" s="75"/>
      <c r="M41" s="216"/>
      <c r="N41" s="218"/>
      <c r="P41" s="34"/>
      <c r="Q41" s="9"/>
    </row>
    <row r="42" spans="1:18" ht="18" thickBot="1" x14ac:dyDescent="0.35">
      <c r="A42" s="24"/>
      <c r="B42" s="25"/>
      <c r="C42" s="90"/>
      <c r="D42" s="91"/>
      <c r="E42" s="92"/>
      <c r="F42" s="93"/>
      <c r="G42" s="2"/>
      <c r="H42" s="94"/>
      <c r="I42" s="95"/>
      <c r="J42" s="73"/>
      <c r="K42" s="76"/>
      <c r="L42" s="80"/>
      <c r="M42" s="96"/>
      <c r="N42" s="97"/>
      <c r="P42" s="34"/>
      <c r="Q42" s="9"/>
    </row>
    <row r="43" spans="1:18" ht="18" thickBot="1" x14ac:dyDescent="0.35">
      <c r="A43" s="24"/>
      <c r="B43" s="25"/>
      <c r="C43" s="90"/>
      <c r="D43" s="91"/>
      <c r="E43" s="92"/>
      <c r="F43" s="93"/>
      <c r="G43" s="2"/>
      <c r="H43" s="94"/>
      <c r="I43" s="95"/>
      <c r="J43" s="73"/>
      <c r="K43" s="76"/>
      <c r="L43" s="80"/>
      <c r="M43" s="96"/>
      <c r="N43" s="97"/>
      <c r="P43" s="34"/>
      <c r="Q43" s="9"/>
    </row>
    <row r="44" spans="1:18" ht="18" thickBot="1" x14ac:dyDescent="0.35">
      <c r="A44" s="24"/>
      <c r="B44" s="25"/>
      <c r="C44" s="90"/>
      <c r="D44" s="91"/>
      <c r="E44" s="92"/>
      <c r="F44" s="93"/>
      <c r="G44" s="2"/>
      <c r="H44" s="94"/>
      <c r="I44" s="95"/>
      <c r="J44" s="73"/>
      <c r="K44" s="76"/>
      <c r="L44" s="80"/>
      <c r="M44" s="96"/>
      <c r="N44" s="97"/>
      <c r="P44" s="34"/>
      <c r="Q44" s="9"/>
    </row>
    <row r="45" spans="1:18" ht="18" thickBot="1" x14ac:dyDescent="0.35">
      <c r="A45" s="24"/>
      <c r="B45" s="25"/>
      <c r="C45" s="90"/>
      <c r="D45" s="91"/>
      <c r="E45" s="92"/>
      <c r="F45" s="93"/>
      <c r="G45" s="2"/>
      <c r="H45" s="94"/>
      <c r="I45" s="95"/>
      <c r="J45" s="73"/>
      <c r="K45" s="76"/>
      <c r="L45" s="80"/>
      <c r="M45" s="96"/>
      <c r="N45" s="97"/>
      <c r="P45" s="34"/>
      <c r="Q45" s="9"/>
    </row>
    <row r="46" spans="1:18" ht="18" hidden="1" thickBot="1" x14ac:dyDescent="0.35">
      <c r="A46" s="24"/>
      <c r="B46" s="25"/>
      <c r="C46" s="90"/>
      <c r="D46" s="91"/>
      <c r="E46" s="92"/>
      <c r="F46" s="93"/>
      <c r="G46" s="2"/>
      <c r="H46" s="94"/>
      <c r="I46" s="95"/>
      <c r="J46" s="73"/>
      <c r="K46" s="76"/>
      <c r="L46" s="80"/>
      <c r="M46" s="96"/>
      <c r="N46" s="97"/>
      <c r="P46" s="34"/>
      <c r="Q46" s="9"/>
    </row>
    <row r="47" spans="1:18" ht="18" hidden="1" thickBot="1" x14ac:dyDescent="0.35">
      <c r="A47" s="24"/>
      <c r="B47" s="25"/>
      <c r="C47" s="90"/>
      <c r="D47" s="91"/>
      <c r="E47" s="92"/>
      <c r="F47" s="93"/>
      <c r="G47" s="2"/>
      <c r="H47" s="94"/>
      <c r="I47" s="95"/>
      <c r="J47" s="73"/>
      <c r="K47" s="76"/>
      <c r="L47" s="80"/>
      <c r="M47" s="96"/>
      <c r="N47" s="97"/>
      <c r="P47" s="34"/>
      <c r="Q47" s="9"/>
    </row>
    <row r="48" spans="1:18" ht="18" hidden="1" thickBot="1" x14ac:dyDescent="0.35">
      <c r="A48" s="24"/>
      <c r="B48" s="25"/>
      <c r="C48" s="90"/>
      <c r="D48" s="91"/>
      <c r="E48" s="92"/>
      <c r="F48" s="93"/>
      <c r="G48" s="2"/>
      <c r="H48" s="94"/>
      <c r="I48" s="95"/>
      <c r="J48" s="73"/>
      <c r="K48" s="76"/>
      <c r="L48" s="80"/>
      <c r="M48" s="96"/>
      <c r="N48" s="97"/>
      <c r="P48" s="34"/>
      <c r="Q48" s="9"/>
    </row>
    <row r="49" spans="1:17" ht="18" hidden="1" thickBot="1" x14ac:dyDescent="0.35">
      <c r="A49" s="24"/>
      <c r="B49" s="25"/>
      <c r="C49" s="90"/>
      <c r="D49" s="91"/>
      <c r="E49" s="92"/>
      <c r="F49" s="93"/>
      <c r="G49" s="2"/>
      <c r="H49" s="94"/>
      <c r="I49" s="95"/>
      <c r="J49" s="73"/>
      <c r="K49" s="76"/>
      <c r="L49" s="80"/>
      <c r="M49" s="96"/>
      <c r="N49" s="97"/>
      <c r="P49" s="34"/>
      <c r="Q49" s="9"/>
    </row>
    <row r="50" spans="1:17" ht="15.75" thickBot="1" x14ac:dyDescent="0.3">
      <c r="A50" s="24"/>
      <c r="B50" s="98"/>
      <c r="C50" s="26">
        <v>0</v>
      </c>
      <c r="D50" s="99"/>
      <c r="E50" s="100"/>
      <c r="F50" s="90"/>
      <c r="H50" s="101"/>
      <c r="I50" s="95"/>
      <c r="J50" s="102"/>
      <c r="K50" s="103"/>
      <c r="L50" s="9"/>
      <c r="M50" s="104"/>
      <c r="N50" s="33"/>
      <c r="P50" s="34"/>
      <c r="Q50" s="9"/>
    </row>
    <row r="51" spans="1:17" ht="16.5" thickBot="1" x14ac:dyDescent="0.3">
      <c r="B51" s="105" t="s">
        <v>9</v>
      </c>
      <c r="C51" s="106">
        <f>SUM(C5:C50)</f>
        <v>74897</v>
      </c>
      <c r="D51" s="107"/>
      <c r="E51" s="108" t="s">
        <v>9</v>
      </c>
      <c r="F51" s="109">
        <f>SUM(F5:F50)</f>
        <v>1686462</v>
      </c>
      <c r="G51" s="107"/>
      <c r="H51" s="110" t="s">
        <v>10</v>
      </c>
      <c r="I51" s="111">
        <f>SUM(I5:I50)</f>
        <v>1322</v>
      </c>
      <c r="J51" s="112"/>
      <c r="K51" s="113" t="s">
        <v>11</v>
      </c>
      <c r="L51" s="114">
        <f>SUM(L5:L50)</f>
        <v>43194.57</v>
      </c>
      <c r="M51" s="115"/>
      <c r="N51" s="115"/>
      <c r="P51" s="34"/>
      <c r="Q51" s="9"/>
    </row>
    <row r="52" spans="1:17" ht="16.5" thickTop="1" thickBot="1" x14ac:dyDescent="0.3">
      <c r="C52" s="3" t="s">
        <v>8</v>
      </c>
      <c r="P52" s="34"/>
      <c r="Q52" s="9"/>
    </row>
    <row r="53" spans="1:17" ht="19.5" thickBot="1" x14ac:dyDescent="0.3">
      <c r="A53" s="117"/>
      <c r="B53" s="118"/>
      <c r="C53" s="1"/>
      <c r="H53" s="219" t="s">
        <v>12</v>
      </c>
      <c r="I53" s="220"/>
      <c r="J53" s="119"/>
      <c r="K53" s="221">
        <f>I51+L51</f>
        <v>44516.57</v>
      </c>
      <c r="L53" s="222"/>
      <c r="M53" s="223">
        <f>N40+M40</f>
        <v>1577043</v>
      </c>
      <c r="N53" s="224"/>
      <c r="P53" s="34"/>
      <c r="Q53" s="9"/>
    </row>
    <row r="54" spans="1:17" ht="15.75" x14ac:dyDescent="0.25">
      <c r="D54" s="225" t="s">
        <v>13</v>
      </c>
      <c r="E54" s="225"/>
      <c r="F54" s="120">
        <f>F51-K53-C51</f>
        <v>1567048.43</v>
      </c>
      <c r="I54" s="121"/>
      <c r="J54" s="122"/>
      <c r="P54" s="34"/>
      <c r="Q54" s="9"/>
    </row>
    <row r="55" spans="1:17" ht="18.75" x14ac:dyDescent="0.3">
      <c r="D55" s="226" t="s">
        <v>14</v>
      </c>
      <c r="E55" s="226"/>
      <c r="F55" s="115">
        <v>-1540248.71</v>
      </c>
      <c r="I55" s="227" t="s">
        <v>15</v>
      </c>
      <c r="J55" s="228"/>
      <c r="K55" s="229">
        <f>F57+F58+F59</f>
        <v>181424.23999999996</v>
      </c>
      <c r="L55" s="230"/>
      <c r="P55" s="34"/>
      <c r="Q55" s="9"/>
    </row>
    <row r="56" spans="1:17" ht="19.5" thickBot="1" x14ac:dyDescent="0.35">
      <c r="D56" s="123"/>
      <c r="E56" s="117"/>
      <c r="F56" s="124">
        <v>0</v>
      </c>
      <c r="I56" s="125"/>
      <c r="J56" s="126"/>
      <c r="K56" s="127"/>
      <c r="L56" s="128"/>
    </row>
    <row r="57" spans="1:17" ht="19.5" thickTop="1" x14ac:dyDescent="0.3">
      <c r="C57" s="4" t="s">
        <v>8</v>
      </c>
      <c r="E57" s="117" t="s">
        <v>16</v>
      </c>
      <c r="F57" s="115">
        <f>SUM(F54:F56)</f>
        <v>26799.719999999972</v>
      </c>
      <c r="H57" s="24"/>
      <c r="I57" s="129" t="s">
        <v>17</v>
      </c>
      <c r="J57" s="130"/>
      <c r="K57" s="231">
        <f>-C4</f>
        <v>-221059.7</v>
      </c>
      <c r="L57" s="232"/>
    </row>
    <row r="58" spans="1:17" ht="16.5" thickBot="1" x14ac:dyDescent="0.3">
      <c r="D58" s="131" t="s">
        <v>18</v>
      </c>
      <c r="E58" s="117" t="s">
        <v>19</v>
      </c>
      <c r="F58" s="132">
        <v>310</v>
      </c>
    </row>
    <row r="59" spans="1:17" ht="20.25" thickTop="1" thickBot="1" x14ac:dyDescent="0.35">
      <c r="C59" s="133">
        <v>44591</v>
      </c>
      <c r="D59" s="208" t="s">
        <v>20</v>
      </c>
      <c r="E59" s="209"/>
      <c r="F59" s="134">
        <v>154314.51999999999</v>
      </c>
      <c r="I59" s="210" t="s">
        <v>125</v>
      </c>
      <c r="J59" s="211"/>
      <c r="K59" s="212">
        <f>K55+K57</f>
        <v>-39635.46000000005</v>
      </c>
      <c r="L59" s="212"/>
    </row>
    <row r="60" spans="1:17" ht="17.25" x14ac:dyDescent="0.3">
      <c r="C60" s="135"/>
      <c r="D60" s="136"/>
      <c r="E60" s="137"/>
      <c r="F60" s="138"/>
      <c r="J60" s="139"/>
    </row>
    <row r="61" spans="1:17" ht="15" customHeight="1" x14ac:dyDescent="0.25">
      <c r="I61" s="140"/>
      <c r="J61" s="140"/>
      <c r="K61" s="141"/>
      <c r="L61" s="141"/>
    </row>
    <row r="62" spans="1:17" ht="16.5" customHeight="1" x14ac:dyDescent="0.25">
      <c r="B62" s="142"/>
      <c r="C62" s="143"/>
      <c r="D62" s="144"/>
      <c r="E62" s="34"/>
      <c r="I62" s="140"/>
      <c r="J62" s="140"/>
      <c r="K62" s="141"/>
      <c r="L62" s="141"/>
      <c r="M62" s="145"/>
      <c r="N62" s="117"/>
    </row>
    <row r="63" spans="1:17" ht="15.75" x14ac:dyDescent="0.25">
      <c r="B63" s="142"/>
      <c r="C63" s="146"/>
      <c r="E63" s="34"/>
      <c r="M63" s="145"/>
      <c r="N63" s="117"/>
    </row>
    <row r="64" spans="1:17" ht="15.75" x14ac:dyDescent="0.25">
      <c r="B64" s="142"/>
      <c r="C64" s="146"/>
      <c r="E64" s="34"/>
      <c r="F64" s="147"/>
      <c r="L64" s="148"/>
      <c r="M64" s="1"/>
    </row>
    <row r="65" spans="2:13" ht="15.75" x14ac:dyDescent="0.25">
      <c r="B65" s="142"/>
      <c r="C65" s="146"/>
      <c r="E65" s="34"/>
      <c r="M65" s="1"/>
    </row>
    <row r="66" spans="2:13" ht="15.75" x14ac:dyDescent="0.25">
      <c r="B66" s="142"/>
      <c r="C66" s="146"/>
      <c r="D66" s="149"/>
      <c r="E66" s="34"/>
      <c r="F66" s="150"/>
      <c r="M66" s="1"/>
    </row>
    <row r="67" spans="2:13" x14ac:dyDescent="0.25">
      <c r="D67" s="149"/>
      <c r="E67" s="151"/>
      <c r="F67" s="34"/>
      <c r="M67" s="1"/>
    </row>
    <row r="68" spans="2:13" x14ac:dyDescent="0.25">
      <c r="D68" s="149"/>
      <c r="E68" s="151"/>
      <c r="F68" s="34"/>
      <c r="M68" s="1"/>
    </row>
    <row r="69" spans="2:13" x14ac:dyDescent="0.25">
      <c r="D69" s="149"/>
      <c r="E69" s="151"/>
      <c r="F69" s="34"/>
      <c r="M69" s="1"/>
    </row>
    <row r="70" spans="2:13" x14ac:dyDescent="0.25">
      <c r="D70" s="149"/>
      <c r="E70" s="151"/>
      <c r="F70" s="34"/>
      <c r="M70" s="1"/>
    </row>
    <row r="71" spans="2:13" x14ac:dyDescent="0.25">
      <c r="D71" s="149"/>
      <c r="E71" s="151"/>
      <c r="F71" s="34"/>
      <c r="M71" s="1"/>
    </row>
    <row r="72" spans="2:13" x14ac:dyDescent="0.25">
      <c r="D72" s="149"/>
      <c r="E72" s="151"/>
      <c r="F72" s="34"/>
      <c r="M72" s="1"/>
    </row>
    <row r="73" spans="2:13" x14ac:dyDescent="0.25">
      <c r="D73" s="149"/>
      <c r="E73" s="151"/>
      <c r="F73" s="34"/>
      <c r="M73" s="1"/>
    </row>
    <row r="74" spans="2:13" x14ac:dyDescent="0.25">
      <c r="D74" s="149"/>
      <c r="E74" s="151"/>
      <c r="F74" s="34"/>
      <c r="M74" s="1"/>
    </row>
    <row r="75" spans="2:13" x14ac:dyDescent="0.25">
      <c r="D75" s="149"/>
      <c r="E75" s="151"/>
      <c r="F75" s="34"/>
      <c r="M75" s="1"/>
    </row>
    <row r="76" spans="2:13" x14ac:dyDescent="0.25">
      <c r="D76" s="149"/>
      <c r="E76" s="151"/>
      <c r="F76" s="34"/>
      <c r="M76" s="1"/>
    </row>
    <row r="77" spans="2:13" x14ac:dyDescent="0.25">
      <c r="D77" s="149"/>
      <c r="E77" s="151"/>
      <c r="F77" s="34"/>
      <c r="M77" s="1"/>
    </row>
    <row r="78" spans="2:13" x14ac:dyDescent="0.25">
      <c r="D78" s="149"/>
      <c r="E78" s="151"/>
      <c r="F78" s="34"/>
    </row>
    <row r="79" spans="2:13" x14ac:dyDescent="0.25">
      <c r="D79" s="149"/>
      <c r="E79" s="149"/>
      <c r="F79" s="150"/>
    </row>
    <row r="80" spans="2:13" x14ac:dyDescent="0.25">
      <c r="D80" s="149"/>
      <c r="E80" s="149"/>
      <c r="F80" s="150"/>
    </row>
    <row r="81" spans="4:6" x14ac:dyDescent="0.25">
      <c r="D81" s="149"/>
      <c r="E81" s="149"/>
      <c r="F81" s="150"/>
    </row>
  </sheetData>
  <mergeCells count="21">
    <mergeCell ref="B1:B2"/>
    <mergeCell ref="C1:M1"/>
    <mergeCell ref="B3:C3"/>
    <mergeCell ref="H3:I3"/>
    <mergeCell ref="E4:F4"/>
    <mergeCell ref="H4:I4"/>
    <mergeCell ref="R3:R4"/>
    <mergeCell ref="D59:E59"/>
    <mergeCell ref="I59:J59"/>
    <mergeCell ref="K59:L59"/>
    <mergeCell ref="P4:Q4"/>
    <mergeCell ref="M40:M41"/>
    <mergeCell ref="N40:N41"/>
    <mergeCell ref="H53:I53"/>
    <mergeCell ref="K53:L53"/>
    <mergeCell ref="M53:N53"/>
    <mergeCell ref="D54:E54"/>
    <mergeCell ref="D55:E55"/>
    <mergeCell ref="I55:J55"/>
    <mergeCell ref="K55:L55"/>
    <mergeCell ref="K57:L57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36"/>
  <sheetViews>
    <sheetView topLeftCell="A49" workbookViewId="0">
      <selection activeCell="A49" sqref="A1:XFD1048576"/>
    </sheetView>
  </sheetViews>
  <sheetFormatPr baseColWidth="10" defaultRowHeight="15" x14ac:dyDescent="0.25"/>
  <cols>
    <col min="1" max="1" width="13.42578125" style="117" bestFit="1" customWidth="1"/>
    <col min="2" max="2" width="12.85546875" style="117" bestFit="1" customWidth="1"/>
    <col min="3" max="3" width="15.85546875" style="1" bestFit="1" customWidth="1"/>
    <col min="4" max="4" width="12.42578125" style="201" bestFit="1" customWidth="1"/>
    <col min="5" max="5" width="15.140625" style="1" bestFit="1" customWidth="1"/>
    <col min="6" max="6" width="19.5703125" style="1" bestFit="1" customWidth="1"/>
    <col min="7" max="16384" width="11.42578125" style="117"/>
  </cols>
  <sheetData>
    <row r="1" spans="1:7" ht="36.75" customHeight="1" thickTop="1" thickBot="1" x14ac:dyDescent="0.3">
      <c r="A1" s="152" t="s">
        <v>27</v>
      </c>
      <c r="B1" s="187"/>
      <c r="C1" s="188"/>
      <c r="D1" s="198"/>
      <c r="E1" s="188"/>
      <c r="F1" s="153" t="s">
        <v>21</v>
      </c>
    </row>
    <row r="2" spans="1:7" ht="16.5" thickBot="1" x14ac:dyDescent="0.3">
      <c r="A2" s="154" t="s">
        <v>22</v>
      </c>
      <c r="B2" s="155" t="s">
        <v>23</v>
      </c>
      <c r="C2" s="156" t="s">
        <v>24</v>
      </c>
      <c r="D2" s="199" t="s">
        <v>25</v>
      </c>
      <c r="E2" s="156" t="s">
        <v>26</v>
      </c>
      <c r="F2" s="157" t="s">
        <v>24</v>
      </c>
    </row>
    <row r="3" spans="1:7" ht="15.75" x14ac:dyDescent="0.25">
      <c r="A3" s="193" t="s">
        <v>50</v>
      </c>
      <c r="B3" s="194" t="s">
        <v>51</v>
      </c>
      <c r="C3" s="195">
        <v>4720</v>
      </c>
      <c r="D3" s="200">
        <v>44568</v>
      </c>
      <c r="E3" s="191">
        <v>4720</v>
      </c>
      <c r="F3" s="158">
        <f>C3-E3</f>
        <v>0</v>
      </c>
    </row>
    <row r="4" spans="1:7" ht="15.75" x14ac:dyDescent="0.25">
      <c r="A4" s="193" t="s">
        <v>50</v>
      </c>
      <c r="B4" s="194" t="s">
        <v>53</v>
      </c>
      <c r="C4" s="195">
        <v>15065.6</v>
      </c>
      <c r="D4" s="200">
        <v>44568</v>
      </c>
      <c r="E4" s="191">
        <v>15065.6</v>
      </c>
      <c r="F4" s="196">
        <f>C4-E4+F3</f>
        <v>0</v>
      </c>
    </row>
    <row r="5" spans="1:7" s="35" customFormat="1" ht="15.75" x14ac:dyDescent="0.25">
      <c r="A5" s="193" t="s">
        <v>50</v>
      </c>
      <c r="B5" s="194" t="s">
        <v>54</v>
      </c>
      <c r="C5" s="195">
        <v>6166.9</v>
      </c>
      <c r="D5" s="200">
        <v>44568</v>
      </c>
      <c r="E5" s="191">
        <v>6166.9</v>
      </c>
      <c r="F5" s="161">
        <f>C5-E5+F4</f>
        <v>0</v>
      </c>
    </row>
    <row r="6" spans="1:7" ht="18.75" x14ac:dyDescent="0.3">
      <c r="A6" s="193" t="s">
        <v>55</v>
      </c>
      <c r="B6" s="194" t="s">
        <v>56</v>
      </c>
      <c r="C6" s="195">
        <v>94565.5</v>
      </c>
      <c r="D6" s="200">
        <v>44568</v>
      </c>
      <c r="E6" s="191">
        <v>94565.5</v>
      </c>
      <c r="F6" s="161">
        <f>F5+C6-E6</f>
        <v>0</v>
      </c>
      <c r="G6" s="162"/>
    </row>
    <row r="7" spans="1:7" ht="15.75" x14ac:dyDescent="0.25">
      <c r="A7" s="193" t="s">
        <v>55</v>
      </c>
      <c r="B7" s="194" t="s">
        <v>57</v>
      </c>
      <c r="C7" s="195">
        <v>5455.5</v>
      </c>
      <c r="D7" s="200">
        <v>44568</v>
      </c>
      <c r="E7" s="191">
        <v>5455.5</v>
      </c>
      <c r="F7" s="161">
        <f t="shared" ref="F7" si="0">F6+C7-E7</f>
        <v>0</v>
      </c>
    </row>
    <row r="8" spans="1:7" ht="15.75" x14ac:dyDescent="0.25">
      <c r="A8" s="193" t="s">
        <v>55</v>
      </c>
      <c r="B8" s="194" t="s">
        <v>58</v>
      </c>
      <c r="C8" s="195">
        <v>10495</v>
      </c>
      <c r="D8" s="200">
        <v>44568</v>
      </c>
      <c r="E8" s="191">
        <v>10495</v>
      </c>
      <c r="F8" s="161">
        <f>F7+C8-E8</f>
        <v>0</v>
      </c>
    </row>
    <row r="9" spans="1:7" ht="15.75" x14ac:dyDescent="0.25">
      <c r="A9" s="193" t="s">
        <v>59</v>
      </c>
      <c r="B9" s="194" t="s">
        <v>60</v>
      </c>
      <c r="C9" s="195">
        <v>12376.64</v>
      </c>
      <c r="D9" s="200">
        <v>44568</v>
      </c>
      <c r="E9" s="191">
        <v>12376.64</v>
      </c>
      <c r="F9" s="161">
        <f>F8+C9-E9</f>
        <v>0</v>
      </c>
    </row>
    <row r="10" spans="1:7" ht="15.75" x14ac:dyDescent="0.25">
      <c r="A10" s="193" t="s">
        <v>61</v>
      </c>
      <c r="B10" s="194" t="s">
        <v>62</v>
      </c>
      <c r="C10" s="195">
        <v>24073.5</v>
      </c>
      <c r="D10" s="200">
        <v>44568</v>
      </c>
      <c r="E10" s="191">
        <v>24073.5</v>
      </c>
      <c r="F10" s="161">
        <f>F9+C10-E10</f>
        <v>0</v>
      </c>
    </row>
    <row r="11" spans="1:7" ht="15.75" x14ac:dyDescent="0.25">
      <c r="A11" s="193" t="s">
        <v>61</v>
      </c>
      <c r="B11" s="194" t="s">
        <v>63</v>
      </c>
      <c r="C11" s="195">
        <v>15490</v>
      </c>
      <c r="D11" s="200">
        <v>44568</v>
      </c>
      <c r="E11" s="191">
        <v>15490</v>
      </c>
      <c r="F11" s="161">
        <f t="shared" ref="F11:F74" si="1">F10+C11-E11</f>
        <v>0</v>
      </c>
    </row>
    <row r="12" spans="1:7" ht="18.75" x14ac:dyDescent="0.3">
      <c r="A12" s="193" t="s">
        <v>52</v>
      </c>
      <c r="B12" s="194" t="s">
        <v>64</v>
      </c>
      <c r="C12" s="195">
        <v>19125.400000000001</v>
      </c>
      <c r="D12" s="200">
        <v>44575</v>
      </c>
      <c r="E12" s="197">
        <v>19125.400000000001</v>
      </c>
      <c r="F12" s="161">
        <f t="shared" si="1"/>
        <v>0</v>
      </c>
      <c r="G12" s="162"/>
    </row>
    <row r="13" spans="1:7" ht="15.75" x14ac:dyDescent="0.25">
      <c r="A13" s="193" t="s">
        <v>52</v>
      </c>
      <c r="B13" s="194" t="s">
        <v>66</v>
      </c>
      <c r="C13" s="195">
        <v>1916.6</v>
      </c>
      <c r="D13" s="200">
        <v>44575</v>
      </c>
      <c r="E13" s="197">
        <v>1916.6</v>
      </c>
      <c r="F13" s="161">
        <f t="shared" si="1"/>
        <v>0</v>
      </c>
    </row>
    <row r="14" spans="1:7" ht="15.75" x14ac:dyDescent="0.25">
      <c r="A14" s="193" t="s">
        <v>52</v>
      </c>
      <c r="B14" s="194" t="s">
        <v>67</v>
      </c>
      <c r="C14" s="195">
        <v>33608.75</v>
      </c>
      <c r="D14" s="200">
        <v>44575</v>
      </c>
      <c r="E14" s="197">
        <v>33608.75</v>
      </c>
      <c r="F14" s="161">
        <f t="shared" si="1"/>
        <v>0</v>
      </c>
    </row>
    <row r="15" spans="1:7" ht="15.75" x14ac:dyDescent="0.25">
      <c r="A15" s="193" t="s">
        <v>52</v>
      </c>
      <c r="B15" s="194" t="s">
        <v>68</v>
      </c>
      <c r="C15" s="195">
        <v>36639.949999999997</v>
      </c>
      <c r="D15" s="200">
        <v>44575</v>
      </c>
      <c r="E15" s="197">
        <v>36639.949999999997</v>
      </c>
      <c r="F15" s="161">
        <f t="shared" si="1"/>
        <v>0</v>
      </c>
    </row>
    <row r="16" spans="1:7" ht="15.75" x14ac:dyDescent="0.25">
      <c r="A16" s="193" t="s">
        <v>69</v>
      </c>
      <c r="B16" s="194" t="s">
        <v>70</v>
      </c>
      <c r="C16" s="195">
        <v>11449.6</v>
      </c>
      <c r="D16" s="200">
        <v>44575</v>
      </c>
      <c r="E16" s="197">
        <v>11449.6</v>
      </c>
      <c r="F16" s="161">
        <f t="shared" si="1"/>
        <v>0</v>
      </c>
    </row>
    <row r="17" spans="1:7" ht="15.75" x14ac:dyDescent="0.25">
      <c r="A17" s="193" t="s">
        <v>69</v>
      </c>
      <c r="B17" s="194" t="s">
        <v>71</v>
      </c>
      <c r="C17" s="195">
        <v>54857.7</v>
      </c>
      <c r="D17" s="200">
        <v>44575</v>
      </c>
      <c r="E17" s="197">
        <v>54857.7</v>
      </c>
      <c r="F17" s="161">
        <f t="shared" si="1"/>
        <v>0</v>
      </c>
    </row>
    <row r="18" spans="1:7" ht="15.75" x14ac:dyDescent="0.25">
      <c r="A18" s="193" t="s">
        <v>69</v>
      </c>
      <c r="B18" s="194" t="s">
        <v>72</v>
      </c>
      <c r="C18" s="195">
        <v>8076.8</v>
      </c>
      <c r="D18" s="200">
        <v>44575</v>
      </c>
      <c r="E18" s="197">
        <v>8076.8</v>
      </c>
      <c r="F18" s="161">
        <f t="shared" si="1"/>
        <v>0</v>
      </c>
    </row>
    <row r="19" spans="1:7" ht="15.75" x14ac:dyDescent="0.25">
      <c r="A19" s="193" t="s">
        <v>73</v>
      </c>
      <c r="B19" s="194" t="s">
        <v>74</v>
      </c>
      <c r="C19" s="195">
        <v>65864.160000000003</v>
      </c>
      <c r="D19" s="200">
        <v>44575</v>
      </c>
      <c r="E19" s="197">
        <v>65864.160000000003</v>
      </c>
      <c r="F19" s="161">
        <f t="shared" si="1"/>
        <v>0</v>
      </c>
    </row>
    <row r="20" spans="1:7" ht="15.75" x14ac:dyDescent="0.25">
      <c r="A20" s="193" t="s">
        <v>73</v>
      </c>
      <c r="B20" s="194" t="s">
        <v>75</v>
      </c>
      <c r="C20" s="195">
        <v>30221.4</v>
      </c>
      <c r="D20" s="200">
        <v>44575</v>
      </c>
      <c r="E20" s="197">
        <v>30221.4</v>
      </c>
      <c r="F20" s="161">
        <f t="shared" si="1"/>
        <v>0</v>
      </c>
    </row>
    <row r="21" spans="1:7" ht="15.75" x14ac:dyDescent="0.25">
      <c r="A21" s="193" t="s">
        <v>73</v>
      </c>
      <c r="B21" s="194" t="s">
        <v>76</v>
      </c>
      <c r="C21" s="195">
        <v>2528</v>
      </c>
      <c r="D21" s="200">
        <v>44575</v>
      </c>
      <c r="E21" s="197">
        <v>2528</v>
      </c>
      <c r="F21" s="161">
        <f t="shared" si="1"/>
        <v>0</v>
      </c>
    </row>
    <row r="22" spans="1:7" ht="15.75" x14ac:dyDescent="0.25">
      <c r="A22" s="193" t="s">
        <v>77</v>
      </c>
      <c r="B22" s="194" t="s">
        <v>78</v>
      </c>
      <c r="C22" s="195">
        <v>0</v>
      </c>
      <c r="D22" s="202" t="s">
        <v>124</v>
      </c>
      <c r="E22" s="197">
        <v>0</v>
      </c>
      <c r="F22" s="161">
        <f t="shared" si="1"/>
        <v>0</v>
      </c>
    </row>
    <row r="23" spans="1:7" ht="15.75" x14ac:dyDescent="0.25">
      <c r="A23" s="193" t="s">
        <v>77</v>
      </c>
      <c r="B23" s="194" t="s">
        <v>80</v>
      </c>
      <c r="C23" s="195">
        <v>52417.4</v>
      </c>
      <c r="D23" s="200">
        <v>44575</v>
      </c>
      <c r="E23" s="197">
        <v>52417.4</v>
      </c>
      <c r="F23" s="161">
        <f t="shared" si="1"/>
        <v>0</v>
      </c>
    </row>
    <row r="24" spans="1:7" ht="18.75" x14ac:dyDescent="0.3">
      <c r="A24" s="193" t="s">
        <v>77</v>
      </c>
      <c r="B24" s="194" t="s">
        <v>81</v>
      </c>
      <c r="C24" s="195">
        <v>13493.8</v>
      </c>
      <c r="D24" s="200">
        <v>44575</v>
      </c>
      <c r="E24" s="197">
        <v>13493.8</v>
      </c>
      <c r="F24" s="161">
        <f t="shared" si="1"/>
        <v>0</v>
      </c>
      <c r="G24" s="162"/>
    </row>
    <row r="25" spans="1:7" ht="15.75" x14ac:dyDescent="0.25">
      <c r="A25" s="193" t="s">
        <v>82</v>
      </c>
      <c r="B25" s="194" t="s">
        <v>83</v>
      </c>
      <c r="C25" s="195">
        <v>47877.760000000002</v>
      </c>
      <c r="D25" s="200">
        <v>44575</v>
      </c>
      <c r="E25" s="197">
        <v>47877.760000000002</v>
      </c>
      <c r="F25" s="161">
        <f t="shared" si="1"/>
        <v>0</v>
      </c>
    </row>
    <row r="26" spans="1:7" ht="15.75" x14ac:dyDescent="0.25">
      <c r="A26" s="193" t="s">
        <v>65</v>
      </c>
      <c r="B26" s="194" t="s">
        <v>84</v>
      </c>
      <c r="C26" s="195">
        <v>700</v>
      </c>
      <c r="D26" s="200">
        <v>44575</v>
      </c>
      <c r="E26" s="197">
        <v>700</v>
      </c>
      <c r="F26" s="161">
        <f t="shared" si="1"/>
        <v>0</v>
      </c>
    </row>
    <row r="27" spans="1:7" ht="15.75" x14ac:dyDescent="0.25">
      <c r="A27" s="193" t="s">
        <v>65</v>
      </c>
      <c r="B27" s="194" t="s">
        <v>85</v>
      </c>
      <c r="C27" s="195">
        <v>29321.599999999999</v>
      </c>
      <c r="D27" s="200">
        <v>44582</v>
      </c>
      <c r="E27" s="192">
        <v>29321.599999999999</v>
      </c>
      <c r="F27" s="161">
        <f t="shared" si="1"/>
        <v>0</v>
      </c>
    </row>
    <row r="28" spans="1:7" ht="15.75" x14ac:dyDescent="0.25">
      <c r="A28" s="193" t="s">
        <v>87</v>
      </c>
      <c r="B28" s="194" t="s">
        <v>88</v>
      </c>
      <c r="C28" s="195">
        <v>76289.399999999994</v>
      </c>
      <c r="D28" s="200">
        <v>44582</v>
      </c>
      <c r="E28" s="192">
        <v>76289.399999999994</v>
      </c>
      <c r="F28" s="161">
        <f t="shared" si="1"/>
        <v>0</v>
      </c>
    </row>
    <row r="29" spans="1:7" ht="15.75" x14ac:dyDescent="0.25">
      <c r="A29" s="193" t="s">
        <v>87</v>
      </c>
      <c r="B29" s="194" t="s">
        <v>89</v>
      </c>
      <c r="C29" s="195">
        <v>20931.8</v>
      </c>
      <c r="D29" s="200">
        <v>44582</v>
      </c>
      <c r="E29" s="192">
        <v>20931.8</v>
      </c>
      <c r="F29" s="161">
        <f t="shared" si="1"/>
        <v>0</v>
      </c>
    </row>
    <row r="30" spans="1:7" ht="15.75" x14ac:dyDescent="0.25">
      <c r="A30" s="193" t="s">
        <v>90</v>
      </c>
      <c r="B30" s="194" t="s">
        <v>91</v>
      </c>
      <c r="C30" s="195">
        <v>39513.49</v>
      </c>
      <c r="D30" s="200">
        <v>44582</v>
      </c>
      <c r="E30" s="192">
        <v>39513.49</v>
      </c>
      <c r="F30" s="161">
        <f t="shared" si="1"/>
        <v>0</v>
      </c>
    </row>
    <row r="31" spans="1:7" ht="15.75" x14ac:dyDescent="0.25">
      <c r="A31" s="193" t="s">
        <v>92</v>
      </c>
      <c r="B31" s="194" t="s">
        <v>93</v>
      </c>
      <c r="C31" s="195">
        <v>38406.839999999997</v>
      </c>
      <c r="D31" s="200">
        <v>44582</v>
      </c>
      <c r="E31" s="192">
        <v>38406.839999999997</v>
      </c>
      <c r="F31" s="161">
        <f t="shared" si="1"/>
        <v>0</v>
      </c>
    </row>
    <row r="32" spans="1:7" ht="18.75" x14ac:dyDescent="0.3">
      <c r="A32" s="193" t="s">
        <v>92</v>
      </c>
      <c r="B32" s="194" t="s">
        <v>94</v>
      </c>
      <c r="C32" s="195">
        <v>1462</v>
      </c>
      <c r="D32" s="203" t="s">
        <v>92</v>
      </c>
      <c r="E32" s="204">
        <v>1462</v>
      </c>
      <c r="F32" s="161">
        <f t="shared" si="1"/>
        <v>0</v>
      </c>
      <c r="G32" s="162"/>
    </row>
    <row r="33" spans="1:6" ht="15.75" x14ac:dyDescent="0.25">
      <c r="A33" s="193" t="s">
        <v>92</v>
      </c>
      <c r="B33" s="194" t="s">
        <v>95</v>
      </c>
      <c r="C33" s="195">
        <v>6217.6</v>
      </c>
      <c r="D33" s="200">
        <v>44582</v>
      </c>
      <c r="E33" s="192">
        <v>6217.6</v>
      </c>
      <c r="F33" s="161">
        <f t="shared" si="1"/>
        <v>0</v>
      </c>
    </row>
    <row r="34" spans="1:6" ht="15.75" x14ac:dyDescent="0.25">
      <c r="A34" s="193" t="s">
        <v>96</v>
      </c>
      <c r="B34" s="194" t="s">
        <v>97</v>
      </c>
      <c r="C34" s="195">
        <v>46665.9</v>
      </c>
      <c r="D34" s="200">
        <v>44582</v>
      </c>
      <c r="E34" s="192">
        <v>46665.9</v>
      </c>
      <c r="F34" s="161">
        <f t="shared" si="1"/>
        <v>0</v>
      </c>
    </row>
    <row r="35" spans="1:6" ht="15.75" x14ac:dyDescent="0.25">
      <c r="A35" s="193" t="s">
        <v>96</v>
      </c>
      <c r="B35" s="194" t="s">
        <v>98</v>
      </c>
      <c r="C35" s="195">
        <v>8897.7999999999993</v>
      </c>
      <c r="D35" s="200">
        <v>44582</v>
      </c>
      <c r="E35" s="192">
        <v>8897.7999999999993</v>
      </c>
      <c r="F35" s="161">
        <f t="shared" si="1"/>
        <v>0</v>
      </c>
    </row>
    <row r="36" spans="1:6" ht="15.75" x14ac:dyDescent="0.25">
      <c r="A36" s="193" t="s">
        <v>99</v>
      </c>
      <c r="B36" s="194" t="s">
        <v>100</v>
      </c>
      <c r="C36" s="195">
        <v>7616.4</v>
      </c>
      <c r="D36" s="200">
        <v>44582</v>
      </c>
      <c r="E36" s="192">
        <v>7616.4</v>
      </c>
      <c r="F36" s="161">
        <f t="shared" si="1"/>
        <v>0</v>
      </c>
    </row>
    <row r="37" spans="1:6" ht="15.75" x14ac:dyDescent="0.25">
      <c r="A37" s="193" t="s">
        <v>86</v>
      </c>
      <c r="B37" s="194" t="s">
        <v>101</v>
      </c>
      <c r="C37" s="195">
        <v>100870.28</v>
      </c>
      <c r="D37" s="200">
        <v>44582</v>
      </c>
      <c r="E37" s="192">
        <v>100870.28</v>
      </c>
      <c r="F37" s="161">
        <f t="shared" si="1"/>
        <v>0</v>
      </c>
    </row>
    <row r="38" spans="1:6" ht="15.75" x14ac:dyDescent="0.25">
      <c r="A38" s="193" t="s">
        <v>86</v>
      </c>
      <c r="B38" s="194" t="s">
        <v>102</v>
      </c>
      <c r="C38" s="195">
        <v>5418.8</v>
      </c>
      <c r="D38" s="200">
        <v>44589</v>
      </c>
      <c r="E38" s="205">
        <v>5418.8</v>
      </c>
      <c r="F38" s="161">
        <f t="shared" si="1"/>
        <v>0</v>
      </c>
    </row>
    <row r="39" spans="1:6" ht="15.75" x14ac:dyDescent="0.25">
      <c r="A39" s="193" t="s">
        <v>104</v>
      </c>
      <c r="B39" s="194" t="s">
        <v>105</v>
      </c>
      <c r="C39" s="195">
        <v>100279.24</v>
      </c>
      <c r="D39" s="200">
        <v>44589</v>
      </c>
      <c r="E39" s="205">
        <v>100279.24</v>
      </c>
      <c r="F39" s="161">
        <f t="shared" si="1"/>
        <v>0</v>
      </c>
    </row>
    <row r="40" spans="1:6" ht="15.75" x14ac:dyDescent="0.25">
      <c r="A40" s="193" t="s">
        <v>104</v>
      </c>
      <c r="B40" s="194" t="s">
        <v>106</v>
      </c>
      <c r="C40" s="195">
        <v>6011.8</v>
      </c>
      <c r="D40" s="200">
        <v>44589</v>
      </c>
      <c r="E40" s="205">
        <v>6011.8</v>
      </c>
      <c r="F40" s="161">
        <f t="shared" si="1"/>
        <v>0</v>
      </c>
    </row>
    <row r="41" spans="1:6" ht="15.75" x14ac:dyDescent="0.25">
      <c r="A41" s="193" t="s">
        <v>107</v>
      </c>
      <c r="B41" s="194" t="s">
        <v>108</v>
      </c>
      <c r="C41" s="195">
        <v>51496.14</v>
      </c>
      <c r="D41" s="200">
        <v>44589</v>
      </c>
      <c r="E41" s="205">
        <v>51496.14</v>
      </c>
      <c r="F41" s="161">
        <f t="shared" si="1"/>
        <v>0</v>
      </c>
    </row>
    <row r="42" spans="1:6" ht="15.75" x14ac:dyDescent="0.25">
      <c r="A42" s="193" t="s">
        <v>107</v>
      </c>
      <c r="B42" s="194" t="s">
        <v>109</v>
      </c>
      <c r="C42" s="195">
        <v>3248.8</v>
      </c>
      <c r="D42" s="200">
        <v>44589</v>
      </c>
      <c r="E42" s="205">
        <v>3248.8</v>
      </c>
      <c r="F42" s="161">
        <f t="shared" si="1"/>
        <v>0</v>
      </c>
    </row>
    <row r="43" spans="1:6" ht="15.75" x14ac:dyDescent="0.25">
      <c r="A43" s="193" t="s">
        <v>110</v>
      </c>
      <c r="B43" s="194" t="s">
        <v>111</v>
      </c>
      <c r="C43" s="195">
        <v>114946.5</v>
      </c>
      <c r="D43" s="200">
        <v>44589</v>
      </c>
      <c r="E43" s="205">
        <v>114946.5</v>
      </c>
      <c r="F43" s="161">
        <f t="shared" si="1"/>
        <v>0</v>
      </c>
    </row>
    <row r="44" spans="1:6" ht="15.75" x14ac:dyDescent="0.25">
      <c r="A44" s="193" t="s">
        <v>110</v>
      </c>
      <c r="B44" s="194" t="s">
        <v>112</v>
      </c>
      <c r="C44" s="195">
        <v>11723</v>
      </c>
      <c r="D44" s="200">
        <v>44589</v>
      </c>
      <c r="E44" s="205">
        <v>11723</v>
      </c>
      <c r="F44" s="161">
        <f t="shared" si="1"/>
        <v>0</v>
      </c>
    </row>
    <row r="45" spans="1:6" ht="15.75" x14ac:dyDescent="0.25">
      <c r="A45" s="193" t="s">
        <v>113</v>
      </c>
      <c r="B45" s="194" t="s">
        <v>114</v>
      </c>
      <c r="C45" s="195">
        <v>5262.6</v>
      </c>
      <c r="D45" s="200">
        <v>44589</v>
      </c>
      <c r="E45" s="205">
        <v>5262.6</v>
      </c>
      <c r="F45" s="161">
        <f t="shared" si="1"/>
        <v>0</v>
      </c>
    </row>
    <row r="46" spans="1:6" ht="15.75" x14ac:dyDescent="0.25">
      <c r="A46" s="193" t="s">
        <v>113</v>
      </c>
      <c r="B46" s="194" t="s">
        <v>115</v>
      </c>
      <c r="C46" s="195">
        <v>10932.6</v>
      </c>
      <c r="D46" s="200">
        <v>44589</v>
      </c>
      <c r="E46" s="205">
        <v>10932.6</v>
      </c>
      <c r="F46" s="161">
        <f t="shared" si="1"/>
        <v>0</v>
      </c>
    </row>
    <row r="47" spans="1:6" ht="15.75" x14ac:dyDescent="0.25">
      <c r="A47" s="193" t="s">
        <v>113</v>
      </c>
      <c r="B47" s="194" t="s">
        <v>116</v>
      </c>
      <c r="C47" s="195">
        <v>1306.5</v>
      </c>
      <c r="D47" s="200">
        <v>44589</v>
      </c>
      <c r="E47" s="205">
        <v>1306.5</v>
      </c>
      <c r="F47" s="161">
        <f t="shared" si="1"/>
        <v>0</v>
      </c>
    </row>
    <row r="48" spans="1:6" ht="15.75" x14ac:dyDescent="0.25">
      <c r="A48" s="193" t="s">
        <v>103</v>
      </c>
      <c r="B48" s="194" t="s">
        <v>117</v>
      </c>
      <c r="C48" s="195">
        <v>91103.16</v>
      </c>
      <c r="D48" s="200">
        <v>44589</v>
      </c>
      <c r="E48" s="205">
        <v>91103.16</v>
      </c>
      <c r="F48" s="161">
        <f t="shared" si="1"/>
        <v>0</v>
      </c>
    </row>
    <row r="49" spans="1:6" ht="15.75" x14ac:dyDescent="0.25">
      <c r="A49" s="193" t="s">
        <v>118</v>
      </c>
      <c r="B49" s="194" t="s">
        <v>119</v>
      </c>
      <c r="C49" s="195">
        <v>81224.759999999995</v>
      </c>
      <c r="D49" s="200" t="s">
        <v>79</v>
      </c>
      <c r="E49" s="195"/>
      <c r="F49" s="161">
        <f t="shared" si="1"/>
        <v>81224.759999999995</v>
      </c>
    </row>
    <row r="50" spans="1:6" ht="15.75" x14ac:dyDescent="0.25">
      <c r="A50" s="193" t="s">
        <v>118</v>
      </c>
      <c r="B50" s="194" t="s">
        <v>120</v>
      </c>
      <c r="C50" s="195">
        <v>4089.6</v>
      </c>
      <c r="D50" s="200" t="s">
        <v>79</v>
      </c>
      <c r="E50" s="195">
        <v>0</v>
      </c>
      <c r="F50" s="161">
        <f t="shared" si="1"/>
        <v>85314.36</v>
      </c>
    </row>
    <row r="51" spans="1:6" ht="15.75" x14ac:dyDescent="0.25">
      <c r="A51" s="193" t="s">
        <v>118</v>
      </c>
      <c r="B51" s="194" t="s">
        <v>121</v>
      </c>
      <c r="C51" s="195">
        <v>8445.7999999999993</v>
      </c>
      <c r="D51" s="200" t="s">
        <v>79</v>
      </c>
      <c r="E51" s="195">
        <v>0</v>
      </c>
      <c r="F51" s="161">
        <f t="shared" si="1"/>
        <v>93760.16</v>
      </c>
    </row>
    <row r="52" spans="1:6" ht="15.75" x14ac:dyDescent="0.25">
      <c r="A52" s="193" t="s">
        <v>122</v>
      </c>
      <c r="B52" s="194" t="s">
        <v>123</v>
      </c>
      <c r="C52" s="195">
        <v>121165.94</v>
      </c>
      <c r="D52" s="200" t="s">
        <v>79</v>
      </c>
      <c r="E52" s="195">
        <v>0</v>
      </c>
      <c r="F52" s="161">
        <f t="shared" si="1"/>
        <v>214926.1</v>
      </c>
    </row>
    <row r="53" spans="1:6" ht="15.75" x14ac:dyDescent="0.25">
      <c r="A53" s="159"/>
      <c r="B53" s="160"/>
      <c r="C53" s="86"/>
      <c r="D53" s="159"/>
      <c r="E53" s="86"/>
      <c r="F53" s="161">
        <f t="shared" si="1"/>
        <v>214926.1</v>
      </c>
    </row>
    <row r="54" spans="1:6" ht="15.75" x14ac:dyDescent="0.25">
      <c r="A54" s="159"/>
      <c r="B54" s="160"/>
      <c r="C54" s="86"/>
      <c r="D54" s="159"/>
      <c r="E54" s="86"/>
      <c r="F54" s="161">
        <f t="shared" si="1"/>
        <v>214926.1</v>
      </c>
    </row>
    <row r="55" spans="1:6" ht="15.75" x14ac:dyDescent="0.25">
      <c r="A55" s="159"/>
      <c r="B55" s="160"/>
      <c r="C55" s="86"/>
      <c r="D55" s="159"/>
      <c r="E55" s="86"/>
      <c r="F55" s="161">
        <f t="shared" si="1"/>
        <v>214926.1</v>
      </c>
    </row>
    <row r="56" spans="1:6" ht="15.75" x14ac:dyDescent="0.25">
      <c r="A56" s="163"/>
      <c r="B56" s="160"/>
      <c r="C56" s="86"/>
      <c r="D56" s="159"/>
      <c r="E56" s="86"/>
      <c r="F56" s="161">
        <f t="shared" si="1"/>
        <v>214926.1</v>
      </c>
    </row>
    <row r="57" spans="1:6" ht="15.75" x14ac:dyDescent="0.25">
      <c r="A57" s="163"/>
      <c r="B57" s="160"/>
      <c r="C57" s="86"/>
      <c r="D57" s="159"/>
      <c r="E57" s="86"/>
      <c r="F57" s="161">
        <f t="shared" si="1"/>
        <v>214926.1</v>
      </c>
    </row>
    <row r="58" spans="1:6" ht="15.75" x14ac:dyDescent="0.25">
      <c r="A58" s="163"/>
      <c r="B58" s="160"/>
      <c r="C58" s="86"/>
      <c r="D58" s="159"/>
      <c r="E58" s="86"/>
      <c r="F58" s="161">
        <f t="shared" si="1"/>
        <v>214926.1</v>
      </c>
    </row>
    <row r="59" spans="1:6" ht="15.75" x14ac:dyDescent="0.25">
      <c r="A59" s="159"/>
      <c r="B59" s="160"/>
      <c r="C59" s="86"/>
      <c r="D59" s="159"/>
      <c r="E59" s="86"/>
      <c r="F59" s="161">
        <f t="shared" si="1"/>
        <v>214926.1</v>
      </c>
    </row>
    <row r="60" spans="1:6" ht="15.75" x14ac:dyDescent="0.25">
      <c r="A60" s="159"/>
      <c r="B60" s="160"/>
      <c r="C60" s="86"/>
      <c r="D60" s="159"/>
      <c r="E60" s="86"/>
      <c r="F60" s="161">
        <f t="shared" si="1"/>
        <v>214926.1</v>
      </c>
    </row>
    <row r="61" spans="1:6" ht="15.75" x14ac:dyDescent="0.25">
      <c r="A61" s="159"/>
      <c r="B61" s="160"/>
      <c r="C61" s="86"/>
      <c r="D61" s="159"/>
      <c r="E61" s="86"/>
      <c r="F61" s="161">
        <f t="shared" si="1"/>
        <v>214926.1</v>
      </c>
    </row>
    <row r="62" spans="1:6" ht="15.75" x14ac:dyDescent="0.25">
      <c r="A62" s="163"/>
      <c r="B62" s="160"/>
      <c r="C62" s="86"/>
      <c r="D62" s="159"/>
      <c r="E62" s="86"/>
      <c r="F62" s="161">
        <f t="shared" si="1"/>
        <v>214926.1</v>
      </c>
    </row>
    <row r="63" spans="1:6" ht="15.75" x14ac:dyDescent="0.25">
      <c r="A63" s="163"/>
      <c r="B63" s="160"/>
      <c r="C63" s="86"/>
      <c r="D63" s="159"/>
      <c r="E63" s="86"/>
      <c r="F63" s="161">
        <f t="shared" si="1"/>
        <v>214926.1</v>
      </c>
    </row>
    <row r="64" spans="1:6" ht="16.5" thickBot="1" x14ac:dyDescent="0.3">
      <c r="A64" s="163"/>
      <c r="B64" s="160"/>
      <c r="C64" s="86"/>
      <c r="D64" s="159"/>
      <c r="E64" s="86"/>
      <c r="F64" s="161">
        <f t="shared" si="1"/>
        <v>214926.1</v>
      </c>
    </row>
    <row r="65" spans="1:6" ht="15" hidden="1" customHeight="1" x14ac:dyDescent="0.25">
      <c r="A65" s="164"/>
      <c r="B65" s="165"/>
      <c r="C65" s="166"/>
      <c r="D65" s="159"/>
      <c r="E65" s="86"/>
      <c r="F65" s="161">
        <f t="shared" si="1"/>
        <v>214926.1</v>
      </c>
    </row>
    <row r="66" spans="1:6" ht="16.5" hidden="1" thickBot="1" x14ac:dyDescent="0.3">
      <c r="A66" s="164"/>
      <c r="B66" s="165"/>
      <c r="C66" s="166"/>
      <c r="D66" s="159"/>
      <c r="E66" s="86"/>
      <c r="F66" s="161">
        <f t="shared" si="1"/>
        <v>214926.1</v>
      </c>
    </row>
    <row r="67" spans="1:6" ht="16.5" hidden="1" thickBot="1" x14ac:dyDescent="0.3">
      <c r="A67" s="164"/>
      <c r="B67" s="165"/>
      <c r="C67" s="166"/>
      <c r="D67" s="159"/>
      <c r="E67" s="86"/>
      <c r="F67" s="161">
        <f t="shared" si="1"/>
        <v>214926.1</v>
      </c>
    </row>
    <row r="68" spans="1:6" ht="16.5" hidden="1" thickBot="1" x14ac:dyDescent="0.3">
      <c r="A68" s="164"/>
      <c r="B68" s="165"/>
      <c r="C68" s="166"/>
      <c r="D68" s="159"/>
      <c r="E68" s="86"/>
      <c r="F68" s="161">
        <f t="shared" si="1"/>
        <v>214926.1</v>
      </c>
    </row>
    <row r="69" spans="1:6" ht="16.5" hidden="1" thickBot="1" x14ac:dyDescent="0.3">
      <c r="A69" s="164"/>
      <c r="B69" s="165"/>
      <c r="C69" s="166"/>
      <c r="D69" s="159"/>
      <c r="E69" s="86"/>
      <c r="F69" s="161">
        <f t="shared" si="1"/>
        <v>214926.1</v>
      </c>
    </row>
    <row r="70" spans="1:6" ht="16.5" hidden="1" thickBot="1" x14ac:dyDescent="0.3">
      <c r="A70" s="164"/>
      <c r="B70" s="165"/>
      <c r="C70" s="166"/>
      <c r="D70" s="159"/>
      <c r="E70" s="86"/>
      <c r="F70" s="161">
        <f t="shared" si="1"/>
        <v>214926.1</v>
      </c>
    </row>
    <row r="71" spans="1:6" ht="16.5" hidden="1" thickBot="1" x14ac:dyDescent="0.3">
      <c r="A71" s="164"/>
      <c r="B71" s="165"/>
      <c r="C71" s="166"/>
      <c r="D71" s="159"/>
      <c r="E71" s="86"/>
      <c r="F71" s="161">
        <f t="shared" si="1"/>
        <v>214926.1</v>
      </c>
    </row>
    <row r="72" spans="1:6" ht="16.5" hidden="1" thickBot="1" x14ac:dyDescent="0.3">
      <c r="A72" s="164"/>
      <c r="B72" s="165"/>
      <c r="C72" s="166"/>
      <c r="D72" s="159"/>
      <c r="E72" s="86"/>
      <c r="F72" s="161">
        <f t="shared" si="1"/>
        <v>214926.1</v>
      </c>
    </row>
    <row r="73" spans="1:6" ht="16.5" hidden="1" thickBot="1" x14ac:dyDescent="0.3">
      <c r="A73" s="164"/>
      <c r="B73" s="165"/>
      <c r="C73" s="166"/>
      <c r="D73" s="159"/>
      <c r="E73" s="86"/>
      <c r="F73" s="161">
        <f t="shared" si="1"/>
        <v>214926.1</v>
      </c>
    </row>
    <row r="74" spans="1:6" ht="16.5" hidden="1" thickBot="1" x14ac:dyDescent="0.3">
      <c r="A74" s="164"/>
      <c r="B74" s="165"/>
      <c r="C74" s="166"/>
      <c r="D74" s="159"/>
      <c r="E74" s="86"/>
      <c r="F74" s="161">
        <f t="shared" si="1"/>
        <v>214926.1</v>
      </c>
    </row>
    <row r="75" spans="1:6" ht="16.5" hidden="1" thickBot="1" x14ac:dyDescent="0.3">
      <c r="A75" s="164"/>
      <c r="B75" s="165"/>
      <c r="C75" s="166"/>
      <c r="D75" s="159"/>
      <c r="E75" s="86"/>
      <c r="F75" s="161">
        <f t="shared" ref="F75:F99" si="2">F74+C75-E75</f>
        <v>214926.1</v>
      </c>
    </row>
    <row r="76" spans="1:6" ht="16.5" hidden="1" thickBot="1" x14ac:dyDescent="0.3">
      <c r="A76" s="164"/>
      <c r="B76" s="165"/>
      <c r="C76" s="166"/>
      <c r="D76" s="159"/>
      <c r="E76" s="86"/>
      <c r="F76" s="161">
        <f t="shared" si="2"/>
        <v>214926.1</v>
      </c>
    </row>
    <row r="77" spans="1:6" ht="16.5" hidden="1" thickBot="1" x14ac:dyDescent="0.3">
      <c r="A77" s="164"/>
      <c r="B77" s="165"/>
      <c r="C77" s="166"/>
      <c r="D77" s="159"/>
      <c r="E77" s="86"/>
      <c r="F77" s="161">
        <f t="shared" si="2"/>
        <v>214926.1</v>
      </c>
    </row>
    <row r="78" spans="1:6" ht="16.5" hidden="1" thickBot="1" x14ac:dyDescent="0.3">
      <c r="A78" s="164"/>
      <c r="B78" s="165"/>
      <c r="C78" s="166"/>
      <c r="D78" s="159"/>
      <c r="E78" s="86"/>
      <c r="F78" s="161">
        <f t="shared" si="2"/>
        <v>214926.1</v>
      </c>
    </row>
    <row r="79" spans="1:6" ht="16.5" hidden="1" thickBot="1" x14ac:dyDescent="0.3">
      <c r="A79" s="164"/>
      <c r="B79" s="165"/>
      <c r="C79" s="166"/>
      <c r="D79" s="159"/>
      <c r="E79" s="86"/>
      <c r="F79" s="161">
        <f t="shared" si="2"/>
        <v>214926.1</v>
      </c>
    </row>
    <row r="80" spans="1:6" ht="16.5" hidden="1" thickBot="1" x14ac:dyDescent="0.3">
      <c r="A80" s="164"/>
      <c r="B80" s="165"/>
      <c r="C80" s="166"/>
      <c r="D80" s="159"/>
      <c r="E80" s="86"/>
      <c r="F80" s="161">
        <f t="shared" si="2"/>
        <v>214926.1</v>
      </c>
    </row>
    <row r="81" spans="1:6" ht="16.5" hidden="1" thickBot="1" x14ac:dyDescent="0.3">
      <c r="A81" s="164"/>
      <c r="B81" s="165"/>
      <c r="C81" s="166"/>
      <c r="D81" s="159"/>
      <c r="E81" s="86"/>
      <c r="F81" s="161">
        <f t="shared" si="2"/>
        <v>214926.1</v>
      </c>
    </row>
    <row r="82" spans="1:6" ht="16.5" hidden="1" thickBot="1" x14ac:dyDescent="0.3">
      <c r="A82" s="164"/>
      <c r="B82" s="165"/>
      <c r="C82" s="166"/>
      <c r="D82" s="159"/>
      <c r="E82" s="86"/>
      <c r="F82" s="161">
        <f t="shared" si="2"/>
        <v>214926.1</v>
      </c>
    </row>
    <row r="83" spans="1:6" ht="16.5" hidden="1" thickBot="1" x14ac:dyDescent="0.3">
      <c r="A83" s="167"/>
      <c r="B83" s="168"/>
      <c r="C83" s="169"/>
      <c r="D83" s="170"/>
      <c r="E83" s="34"/>
      <c r="F83" s="161">
        <f t="shared" si="2"/>
        <v>214926.1</v>
      </c>
    </row>
    <row r="84" spans="1:6" ht="16.5" hidden="1" thickBot="1" x14ac:dyDescent="0.3">
      <c r="A84" s="167"/>
      <c r="B84" s="168"/>
      <c r="C84" s="169"/>
      <c r="D84" s="170"/>
      <c r="E84" s="34"/>
      <c r="F84" s="161">
        <f t="shared" si="2"/>
        <v>214926.1</v>
      </c>
    </row>
    <row r="85" spans="1:6" ht="16.5" hidden="1" thickBot="1" x14ac:dyDescent="0.3">
      <c r="A85" s="167"/>
      <c r="B85" s="168"/>
      <c r="C85" s="169"/>
      <c r="D85" s="170"/>
      <c r="E85" s="34"/>
      <c r="F85" s="161">
        <f t="shared" si="2"/>
        <v>214926.1</v>
      </c>
    </row>
    <row r="86" spans="1:6" ht="16.5" hidden="1" thickBot="1" x14ac:dyDescent="0.3">
      <c r="A86" s="167"/>
      <c r="B86" s="168"/>
      <c r="C86" s="169"/>
      <c r="D86" s="170"/>
      <c r="E86" s="34"/>
      <c r="F86" s="161">
        <f t="shared" si="2"/>
        <v>214926.1</v>
      </c>
    </row>
    <row r="87" spans="1:6" ht="16.5" hidden="1" thickBot="1" x14ac:dyDescent="0.3">
      <c r="A87" s="167"/>
      <c r="B87" s="168"/>
      <c r="C87" s="169"/>
      <c r="D87" s="170"/>
      <c r="E87" s="34"/>
      <c r="F87" s="161">
        <f t="shared" si="2"/>
        <v>214926.1</v>
      </c>
    </row>
    <row r="88" spans="1:6" ht="16.5" hidden="1" thickBot="1" x14ac:dyDescent="0.3">
      <c r="A88" s="167"/>
      <c r="B88" s="168"/>
      <c r="C88" s="169"/>
      <c r="D88" s="170"/>
      <c r="E88" s="34"/>
      <c r="F88" s="161">
        <f t="shared" si="2"/>
        <v>214926.1</v>
      </c>
    </row>
    <row r="89" spans="1:6" ht="16.5" hidden="1" thickBot="1" x14ac:dyDescent="0.3">
      <c r="A89" s="164"/>
      <c r="B89" s="165"/>
      <c r="C89" s="166"/>
      <c r="D89" s="171"/>
      <c r="E89" s="86"/>
      <c r="F89" s="161">
        <f t="shared" si="2"/>
        <v>214926.1</v>
      </c>
    </row>
    <row r="90" spans="1:6" ht="16.5" hidden="1" thickBot="1" x14ac:dyDescent="0.3">
      <c r="A90" s="164"/>
      <c r="B90" s="165"/>
      <c r="C90" s="166"/>
      <c r="D90" s="171"/>
      <c r="E90" s="86"/>
      <c r="F90" s="161">
        <f t="shared" si="2"/>
        <v>214926.1</v>
      </c>
    </row>
    <row r="91" spans="1:6" ht="16.5" hidden="1" thickBot="1" x14ac:dyDescent="0.3">
      <c r="A91" s="164"/>
      <c r="B91" s="165"/>
      <c r="C91" s="166"/>
      <c r="D91" s="171"/>
      <c r="E91" s="86"/>
      <c r="F91" s="161">
        <f t="shared" si="2"/>
        <v>214926.1</v>
      </c>
    </row>
    <row r="92" spans="1:6" ht="16.5" hidden="1" thickBot="1" x14ac:dyDescent="0.3">
      <c r="A92" s="164"/>
      <c r="B92" s="165"/>
      <c r="C92" s="166"/>
      <c r="D92" s="171"/>
      <c r="E92" s="86"/>
      <c r="F92" s="161">
        <f t="shared" si="2"/>
        <v>214926.1</v>
      </c>
    </row>
    <row r="93" spans="1:6" ht="16.5" hidden="1" thickBot="1" x14ac:dyDescent="0.3">
      <c r="A93" s="164"/>
      <c r="B93" s="165"/>
      <c r="C93" s="166"/>
      <c r="D93" s="171"/>
      <c r="E93" s="86"/>
      <c r="F93" s="161">
        <f t="shared" si="2"/>
        <v>214926.1</v>
      </c>
    </row>
    <row r="94" spans="1:6" ht="16.5" hidden="1" thickBot="1" x14ac:dyDescent="0.3">
      <c r="A94" s="164"/>
      <c r="B94" s="165"/>
      <c r="C94" s="166"/>
      <c r="D94" s="171"/>
      <c r="E94" s="86"/>
      <c r="F94" s="161">
        <f t="shared" si="2"/>
        <v>214926.1</v>
      </c>
    </row>
    <row r="95" spans="1:6" ht="16.5" hidden="1" thickBot="1" x14ac:dyDescent="0.3">
      <c r="A95" s="164"/>
      <c r="B95" s="165"/>
      <c r="C95" s="166"/>
      <c r="D95" s="171"/>
      <c r="E95" s="86"/>
      <c r="F95" s="161">
        <f t="shared" si="2"/>
        <v>214926.1</v>
      </c>
    </row>
    <row r="96" spans="1:6" ht="16.5" hidden="1" thickBot="1" x14ac:dyDescent="0.3">
      <c r="A96" s="164"/>
      <c r="B96" s="165"/>
      <c r="C96" s="166"/>
      <c r="D96" s="171"/>
      <c r="E96" s="86"/>
      <c r="F96" s="161">
        <f t="shared" si="2"/>
        <v>214926.1</v>
      </c>
    </row>
    <row r="97" spans="1:6" ht="16.5" hidden="1" thickBot="1" x14ac:dyDescent="0.3">
      <c r="A97" s="164"/>
      <c r="B97" s="165"/>
      <c r="C97" s="166"/>
      <c r="D97" s="171"/>
      <c r="E97" s="86"/>
      <c r="F97" s="161">
        <f t="shared" si="2"/>
        <v>214926.1</v>
      </c>
    </row>
    <row r="98" spans="1:6" ht="16.5" hidden="1" thickBot="1" x14ac:dyDescent="0.3">
      <c r="A98" s="164"/>
      <c r="B98" s="165"/>
      <c r="C98" s="166"/>
      <c r="D98" s="171"/>
      <c r="E98" s="86"/>
      <c r="F98" s="161">
        <f t="shared" si="2"/>
        <v>214926.1</v>
      </c>
    </row>
    <row r="99" spans="1:6" ht="16.5" hidden="1" thickBot="1" x14ac:dyDescent="0.3">
      <c r="A99" s="172"/>
      <c r="B99" s="173"/>
      <c r="C99" s="34">
        <v>0</v>
      </c>
      <c r="D99" s="174"/>
      <c r="E99" s="34"/>
      <c r="F99" s="161">
        <f t="shared" si="2"/>
        <v>214926.1</v>
      </c>
    </row>
    <row r="100" spans="1:6" ht="19.5" thickBot="1" x14ac:dyDescent="0.35">
      <c r="A100" s="175"/>
      <c r="B100" s="176"/>
      <c r="C100" s="177">
        <f>SUM(C5:C99)</f>
        <v>1540248.7100000004</v>
      </c>
      <c r="D100" s="189"/>
      <c r="E100" s="178">
        <f>SUM(E5:E99)</f>
        <v>1325322.6100000003</v>
      </c>
      <c r="F100" s="179">
        <f>F99</f>
        <v>214926.1</v>
      </c>
    </row>
    <row r="101" spans="1:6" x14ac:dyDescent="0.25">
      <c r="D101" s="170"/>
    </row>
    <row r="102" spans="1:6" x14ac:dyDescent="0.25">
      <c r="D102" s="170"/>
    </row>
    <row r="103" spans="1:6" x14ac:dyDescent="0.25">
      <c r="B103" s="190"/>
    </row>
    <row r="104" spans="1:6" x14ac:dyDescent="0.25">
      <c r="B104" s="190"/>
    </row>
    <row r="105" spans="1:6" x14ac:dyDescent="0.25">
      <c r="B105" s="190"/>
    </row>
    <row r="106" spans="1:6" x14ac:dyDescent="0.25">
      <c r="B106" s="190"/>
      <c r="F106" s="117"/>
    </row>
    <row r="107" spans="1:6" x14ac:dyDescent="0.25">
      <c r="B107" s="190"/>
      <c r="F107" s="117"/>
    </row>
    <row r="108" spans="1:6" x14ac:dyDescent="0.25">
      <c r="B108" s="190"/>
      <c r="F108" s="117"/>
    </row>
    <row r="109" spans="1:6" x14ac:dyDescent="0.25">
      <c r="B109" s="190"/>
      <c r="F109" s="117"/>
    </row>
    <row r="110" spans="1:6" x14ac:dyDescent="0.25">
      <c r="B110" s="190"/>
      <c r="F110" s="117"/>
    </row>
    <row r="111" spans="1:6" x14ac:dyDescent="0.25">
      <c r="B111" s="190"/>
      <c r="F111" s="117"/>
    </row>
    <row r="112" spans="1:6" x14ac:dyDescent="0.25">
      <c r="B112" s="190"/>
      <c r="F112" s="117"/>
    </row>
    <row r="113" spans="2:6" x14ac:dyDescent="0.25">
      <c r="B113" s="190"/>
      <c r="F113" s="117"/>
    </row>
    <row r="114" spans="2:6" x14ac:dyDescent="0.25">
      <c r="B114" s="190"/>
      <c r="F114" s="117"/>
    </row>
    <row r="115" spans="2:6" x14ac:dyDescent="0.25">
      <c r="B115" s="190"/>
      <c r="E115" s="117"/>
      <c r="F115" s="117"/>
    </row>
    <row r="116" spans="2:6" x14ac:dyDescent="0.25">
      <c r="B116" s="190"/>
      <c r="E116" s="117"/>
      <c r="F116" s="117"/>
    </row>
    <row r="117" spans="2:6" x14ac:dyDescent="0.25">
      <c r="B117" s="190"/>
      <c r="E117" s="117"/>
      <c r="F117" s="117"/>
    </row>
    <row r="118" spans="2:6" x14ac:dyDescent="0.25">
      <c r="B118" s="190"/>
      <c r="E118" s="117"/>
      <c r="F118" s="117"/>
    </row>
    <row r="119" spans="2:6" x14ac:dyDescent="0.25">
      <c r="B119" s="190"/>
      <c r="E119" s="117"/>
      <c r="F119" s="117"/>
    </row>
    <row r="120" spans="2:6" x14ac:dyDescent="0.25">
      <c r="B120" s="190"/>
      <c r="E120" s="117"/>
      <c r="F120" s="117"/>
    </row>
    <row r="121" spans="2:6" x14ac:dyDescent="0.25">
      <c r="B121" s="190"/>
      <c r="E121" s="117"/>
    </row>
    <row r="122" spans="2:6" x14ac:dyDescent="0.25">
      <c r="B122" s="190"/>
      <c r="E122" s="117"/>
    </row>
    <row r="123" spans="2:6" x14ac:dyDescent="0.25">
      <c r="B123" s="190"/>
      <c r="E123" s="117"/>
    </row>
    <row r="124" spans="2:6" x14ac:dyDescent="0.25">
      <c r="B124" s="190"/>
      <c r="E124" s="117"/>
    </row>
    <row r="125" spans="2:6" x14ac:dyDescent="0.25">
      <c r="B125" s="190"/>
      <c r="E125" s="117"/>
    </row>
    <row r="126" spans="2:6" x14ac:dyDescent="0.25">
      <c r="B126" s="190"/>
      <c r="E126" s="117"/>
    </row>
    <row r="127" spans="2:6" x14ac:dyDescent="0.25">
      <c r="B127" s="190"/>
      <c r="E127" s="117"/>
    </row>
    <row r="128" spans="2:6" x14ac:dyDescent="0.25">
      <c r="B128" s="190"/>
      <c r="E128" s="117"/>
    </row>
    <row r="129" spans="2:5" x14ac:dyDescent="0.25">
      <c r="B129" s="190"/>
      <c r="E129" s="117"/>
    </row>
    <row r="130" spans="2:5" x14ac:dyDescent="0.25">
      <c r="B130" s="190"/>
    </row>
    <row r="131" spans="2:5" x14ac:dyDescent="0.25">
      <c r="B131" s="190"/>
    </row>
    <row r="132" spans="2:5" x14ac:dyDescent="0.25">
      <c r="B132" s="190"/>
    </row>
    <row r="133" spans="2:5" x14ac:dyDescent="0.25">
      <c r="B133" s="190"/>
    </row>
    <row r="134" spans="2:5" x14ac:dyDescent="0.25">
      <c r="B134" s="190"/>
    </row>
    <row r="135" spans="2:5" x14ac:dyDescent="0.25">
      <c r="B135" s="190"/>
    </row>
    <row r="136" spans="2:5" ht="18.75" x14ac:dyDescent="0.3">
      <c r="C136" s="180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66CC"/>
  </sheetPr>
  <dimension ref="A1:U81"/>
  <sheetViews>
    <sheetView tabSelected="1" topLeftCell="G1" workbookViewId="0">
      <selection activeCell="K21" sqref="K21"/>
    </sheetView>
  </sheetViews>
  <sheetFormatPr baseColWidth="10" defaultRowHeight="15" x14ac:dyDescent="0.25"/>
  <cols>
    <col min="1" max="1" width="2.5703125" customWidth="1"/>
    <col min="2" max="2" width="12.42578125" style="116" customWidth="1"/>
    <col min="3" max="3" width="16" style="4" customWidth="1"/>
    <col min="4" max="4" width="15.28515625" customWidth="1"/>
    <col min="6" max="6" width="17.85546875" style="4" customWidth="1"/>
    <col min="7" max="7" width="2.85546875" customWidth="1"/>
    <col min="9" max="9" width="14.140625" style="4" customWidth="1"/>
    <col min="10" max="10" width="11.7109375" style="12" customWidth="1"/>
    <col min="11" max="11" width="14.42578125" customWidth="1"/>
    <col min="12" max="12" width="14.5703125" style="3" customWidth="1"/>
    <col min="13" max="13" width="18.140625" style="4" customWidth="1"/>
    <col min="14" max="14" width="16.140625" style="1" customWidth="1"/>
    <col min="16" max="16" width="18.42578125" customWidth="1"/>
    <col min="17" max="17" width="18.140625" style="2" customWidth="1"/>
    <col min="18" max="18" width="14.85546875" style="3" customWidth="1"/>
  </cols>
  <sheetData>
    <row r="1" spans="1:21" ht="23.25" x14ac:dyDescent="0.35">
      <c r="B1" s="233"/>
      <c r="C1" s="235" t="s">
        <v>128</v>
      </c>
      <c r="D1" s="236"/>
      <c r="E1" s="236"/>
      <c r="F1" s="236"/>
      <c r="G1" s="236"/>
      <c r="H1" s="236"/>
      <c r="I1" s="236"/>
      <c r="J1" s="236"/>
      <c r="K1" s="236"/>
      <c r="L1" s="236"/>
      <c r="M1" s="236"/>
    </row>
    <row r="2" spans="1:21" ht="16.5" thickBot="1" x14ac:dyDescent="0.3">
      <c r="B2" s="234"/>
      <c r="C2" s="3"/>
      <c r="H2" s="5"/>
      <c r="I2" s="6"/>
      <c r="J2" s="7"/>
      <c r="L2" s="8"/>
      <c r="M2" s="6"/>
      <c r="N2" s="9"/>
    </row>
    <row r="3" spans="1:21" ht="21.75" thickBot="1" x14ac:dyDescent="0.35">
      <c r="B3" s="237" t="s">
        <v>0</v>
      </c>
      <c r="C3" s="238"/>
      <c r="D3" s="10"/>
      <c r="E3" s="11"/>
      <c r="F3" s="11"/>
      <c r="H3" s="239" t="s">
        <v>1</v>
      </c>
      <c r="I3" s="239"/>
      <c r="K3" s="13"/>
      <c r="L3" s="13"/>
      <c r="M3" s="14"/>
      <c r="R3" s="206" t="s">
        <v>38</v>
      </c>
    </row>
    <row r="4" spans="1:21" ht="20.25" thickTop="1" thickBot="1" x14ac:dyDescent="0.35">
      <c r="A4" s="15" t="s">
        <v>2</v>
      </c>
      <c r="B4" s="16"/>
      <c r="C4" s="17">
        <v>154314.51999999999</v>
      </c>
      <c r="D4" s="18">
        <v>44591</v>
      </c>
      <c r="E4" s="240" t="s">
        <v>3</v>
      </c>
      <c r="F4" s="241"/>
      <c r="H4" s="242" t="s">
        <v>4</v>
      </c>
      <c r="I4" s="243"/>
      <c r="J4" s="19"/>
      <c r="K4" s="20"/>
      <c r="L4" s="21"/>
      <c r="M4" s="22" t="s">
        <v>5</v>
      </c>
      <c r="N4" s="23" t="s">
        <v>6</v>
      </c>
      <c r="P4" s="213" t="s">
        <v>7</v>
      </c>
      <c r="Q4" s="214"/>
      <c r="R4" s="207"/>
    </row>
    <row r="5" spans="1:21" ht="18" thickBot="1" x14ac:dyDescent="0.35">
      <c r="A5" s="24" t="s">
        <v>8</v>
      </c>
      <c r="B5" s="25">
        <v>44592</v>
      </c>
      <c r="C5" s="26">
        <v>4540</v>
      </c>
      <c r="D5" s="27" t="s">
        <v>47</v>
      </c>
      <c r="E5" s="28">
        <v>44592</v>
      </c>
      <c r="F5" s="29">
        <v>35119</v>
      </c>
      <c r="G5" s="2"/>
      <c r="H5" s="30">
        <v>44592</v>
      </c>
      <c r="I5" s="31">
        <v>246</v>
      </c>
      <c r="J5" s="7"/>
      <c r="K5" s="183"/>
      <c r="L5" s="9"/>
      <c r="M5" s="32">
        <f>10743+19900</f>
        <v>30643</v>
      </c>
      <c r="N5" s="33">
        <v>0</v>
      </c>
      <c r="O5" s="2"/>
      <c r="P5" s="34">
        <f>N5+M5+L5+I5+C5</f>
        <v>35429</v>
      </c>
      <c r="Q5" s="13">
        <v>0</v>
      </c>
      <c r="R5" s="184">
        <v>310</v>
      </c>
    </row>
    <row r="6" spans="1:21" ht="18" thickBot="1" x14ac:dyDescent="0.35">
      <c r="A6" s="24"/>
      <c r="B6" s="25">
        <v>44593</v>
      </c>
      <c r="C6" s="26">
        <v>0</v>
      </c>
      <c r="D6" s="36"/>
      <c r="E6" s="28">
        <v>44593</v>
      </c>
      <c r="F6" s="29">
        <v>42378</v>
      </c>
      <c r="G6" s="2"/>
      <c r="H6" s="37">
        <v>44593</v>
      </c>
      <c r="I6" s="31">
        <v>41</v>
      </c>
      <c r="J6" s="38"/>
      <c r="K6" s="39"/>
      <c r="L6" s="40"/>
      <c r="M6" s="32">
        <f>9692+32500</f>
        <v>42192</v>
      </c>
      <c r="N6" s="33">
        <v>145</v>
      </c>
      <c r="O6" s="2"/>
      <c r="P6" s="34">
        <f t="shared" ref="P6:P39" si="0">N6+M6+L6+I6+C6</f>
        <v>42378</v>
      </c>
      <c r="Q6" s="13">
        <v>0</v>
      </c>
      <c r="R6" s="8"/>
    </row>
    <row r="7" spans="1:21" ht="18" thickBot="1" x14ac:dyDescent="0.35">
      <c r="A7" s="24"/>
      <c r="B7" s="25">
        <v>44594</v>
      </c>
      <c r="C7" s="26">
        <v>0</v>
      </c>
      <c r="D7" s="41"/>
      <c r="E7" s="28">
        <v>44594</v>
      </c>
      <c r="F7" s="29">
        <v>47132</v>
      </c>
      <c r="G7" s="2"/>
      <c r="H7" s="37">
        <v>44594</v>
      </c>
      <c r="I7" s="31">
        <v>186</v>
      </c>
      <c r="J7" s="38" t="s">
        <v>8</v>
      </c>
      <c r="K7" s="42"/>
      <c r="L7" s="40"/>
      <c r="M7" s="32">
        <f>34300+12646</f>
        <v>46946</v>
      </c>
      <c r="N7" s="33">
        <v>0</v>
      </c>
      <c r="O7" s="2"/>
      <c r="P7" s="34">
        <f t="shared" si="0"/>
        <v>47132</v>
      </c>
      <c r="Q7" s="9">
        <v>0</v>
      </c>
      <c r="R7" s="9"/>
    </row>
    <row r="8" spans="1:21" ht="18" thickBot="1" x14ac:dyDescent="0.35">
      <c r="A8" s="24"/>
      <c r="B8" s="25">
        <v>44595</v>
      </c>
      <c r="C8" s="26">
        <v>0</v>
      </c>
      <c r="D8" s="41"/>
      <c r="E8" s="28">
        <v>44595</v>
      </c>
      <c r="F8" s="29">
        <v>65082</v>
      </c>
      <c r="G8" s="2"/>
      <c r="H8" s="37">
        <v>44595</v>
      </c>
      <c r="I8" s="31">
        <v>0</v>
      </c>
      <c r="J8" s="44"/>
      <c r="K8" s="45"/>
      <c r="L8" s="40"/>
      <c r="M8" s="32">
        <f>30682+34400</f>
        <v>65082</v>
      </c>
      <c r="N8" s="33">
        <v>0</v>
      </c>
      <c r="O8" s="2"/>
      <c r="P8" s="34">
        <f t="shared" si="0"/>
        <v>65082</v>
      </c>
      <c r="Q8" s="9">
        <f t="shared" ref="Q8:Q39" si="1">P8-F8</f>
        <v>0</v>
      </c>
      <c r="R8" s="9"/>
    </row>
    <row r="9" spans="1:21" ht="18" thickBot="1" x14ac:dyDescent="0.35">
      <c r="A9" s="24"/>
      <c r="B9" s="25">
        <v>44596</v>
      </c>
      <c r="C9" s="26">
        <v>12482</v>
      </c>
      <c r="D9" s="41" t="s">
        <v>129</v>
      </c>
      <c r="E9" s="28">
        <v>44596</v>
      </c>
      <c r="F9" s="29">
        <v>71591</v>
      </c>
      <c r="G9" s="2"/>
      <c r="H9" s="37">
        <v>44596</v>
      </c>
      <c r="I9" s="31">
        <v>31</v>
      </c>
      <c r="J9" s="38"/>
      <c r="K9" s="46"/>
      <c r="L9" s="40"/>
      <c r="M9" s="32">
        <f>28100+24178</f>
        <v>52278</v>
      </c>
      <c r="N9" s="33">
        <v>6800</v>
      </c>
      <c r="O9" s="2"/>
      <c r="P9" s="34">
        <f>N9+M9+L9+I9+C9</f>
        <v>71591</v>
      </c>
      <c r="Q9" s="9">
        <f>P9-F9</f>
        <v>0</v>
      </c>
      <c r="R9" s="8"/>
    </row>
    <row r="10" spans="1:21" ht="18" thickBot="1" x14ac:dyDescent="0.35">
      <c r="A10" s="24"/>
      <c r="B10" s="25">
        <v>44597</v>
      </c>
      <c r="C10" s="26">
        <v>0</v>
      </c>
      <c r="D10" s="36"/>
      <c r="E10" s="28">
        <v>44597</v>
      </c>
      <c r="F10" s="29">
        <v>73744</v>
      </c>
      <c r="G10" s="2"/>
      <c r="H10" s="37">
        <v>44597</v>
      </c>
      <c r="I10" s="31">
        <v>77</v>
      </c>
      <c r="J10" s="38">
        <v>44597</v>
      </c>
      <c r="K10" s="47" t="s">
        <v>130</v>
      </c>
      <c r="L10" s="48">
        <v>7950</v>
      </c>
      <c r="M10" s="32">
        <f>26061+38200</f>
        <v>64261</v>
      </c>
      <c r="N10" s="33">
        <v>1456</v>
      </c>
      <c r="O10" s="2"/>
      <c r="P10" s="34">
        <f t="shared" si="0"/>
        <v>73744</v>
      </c>
      <c r="Q10" s="13">
        <f t="shared" si="1"/>
        <v>0</v>
      </c>
      <c r="R10" s="9"/>
      <c r="U10" t="s">
        <v>8</v>
      </c>
    </row>
    <row r="11" spans="1:21" ht="18" thickBot="1" x14ac:dyDescent="0.35">
      <c r="A11" s="24"/>
      <c r="B11" s="25">
        <v>44598</v>
      </c>
      <c r="C11" s="26">
        <v>5501</v>
      </c>
      <c r="D11" s="36" t="s">
        <v>131</v>
      </c>
      <c r="E11" s="28">
        <v>44598</v>
      </c>
      <c r="F11" s="29">
        <v>79345</v>
      </c>
      <c r="G11" s="2"/>
      <c r="H11" s="37">
        <v>44598</v>
      </c>
      <c r="I11" s="31">
        <v>0</v>
      </c>
      <c r="J11" s="44"/>
      <c r="K11" s="49"/>
      <c r="L11" s="40"/>
      <c r="M11" s="32">
        <f>64900+1644</f>
        <v>66544</v>
      </c>
      <c r="N11" s="33">
        <v>7300</v>
      </c>
      <c r="O11" s="2"/>
      <c r="P11" s="34">
        <f>N11+M11+L11+I11+C11</f>
        <v>79345</v>
      </c>
      <c r="Q11" s="13">
        <f t="shared" si="1"/>
        <v>0</v>
      </c>
      <c r="R11" s="8" t="s">
        <v>8</v>
      </c>
    </row>
    <row r="12" spans="1:21" ht="18" thickBot="1" x14ac:dyDescent="0.35">
      <c r="A12" s="24"/>
      <c r="B12" s="25">
        <v>44599</v>
      </c>
      <c r="C12" s="26">
        <v>0</v>
      </c>
      <c r="D12" s="36"/>
      <c r="E12" s="28">
        <v>44599</v>
      </c>
      <c r="F12" s="29">
        <v>67731</v>
      </c>
      <c r="G12" s="2"/>
      <c r="H12" s="37">
        <v>44599</v>
      </c>
      <c r="I12" s="31">
        <v>67</v>
      </c>
      <c r="J12" s="38"/>
      <c r="K12" s="50"/>
      <c r="L12" s="40"/>
      <c r="M12" s="32">
        <f>13164</f>
        <v>13164</v>
      </c>
      <c r="N12" s="33">
        <v>0</v>
      </c>
      <c r="O12" s="245"/>
      <c r="P12" s="34">
        <f t="shared" si="0"/>
        <v>13231</v>
      </c>
      <c r="Q12" s="244">
        <f t="shared" si="1"/>
        <v>-54500</v>
      </c>
      <c r="R12" s="8"/>
    </row>
    <row r="13" spans="1:21" ht="18" thickBot="1" x14ac:dyDescent="0.35">
      <c r="A13" s="24"/>
      <c r="B13" s="25">
        <v>44600</v>
      </c>
      <c r="C13" s="26">
        <v>0</v>
      </c>
      <c r="D13" s="41"/>
      <c r="E13" s="28">
        <v>44600</v>
      </c>
      <c r="F13" s="29">
        <v>51979</v>
      </c>
      <c r="G13" s="2"/>
      <c r="H13" s="37">
        <v>44600</v>
      </c>
      <c r="I13" s="31">
        <v>8</v>
      </c>
      <c r="J13" s="38"/>
      <c r="K13" s="39"/>
      <c r="L13" s="40"/>
      <c r="M13" s="32">
        <f>21751+29500</f>
        <v>51251</v>
      </c>
      <c r="N13" s="33">
        <v>720</v>
      </c>
      <c r="O13" s="2"/>
      <c r="P13" s="34">
        <f t="shared" si="0"/>
        <v>51979</v>
      </c>
      <c r="Q13" s="13">
        <f t="shared" si="1"/>
        <v>0</v>
      </c>
      <c r="R13" s="185"/>
    </row>
    <row r="14" spans="1:21" ht="18" thickBot="1" x14ac:dyDescent="0.35">
      <c r="A14" s="24"/>
      <c r="B14" s="25">
        <v>44601</v>
      </c>
      <c r="C14" s="26">
        <v>6305</v>
      </c>
      <c r="D14" s="51" t="s">
        <v>132</v>
      </c>
      <c r="E14" s="28">
        <v>44601</v>
      </c>
      <c r="F14" s="29">
        <v>41680</v>
      </c>
      <c r="G14" s="2"/>
      <c r="H14" s="37">
        <v>44601</v>
      </c>
      <c r="I14" s="31">
        <v>69</v>
      </c>
      <c r="J14" s="38"/>
      <c r="K14" s="45"/>
      <c r="L14" s="40"/>
      <c r="M14" s="32">
        <f>16400+18750</f>
        <v>35150</v>
      </c>
      <c r="N14" s="33">
        <v>159</v>
      </c>
      <c r="O14" s="2"/>
      <c r="P14" s="34">
        <f t="shared" si="0"/>
        <v>41683</v>
      </c>
      <c r="Q14" s="13">
        <f t="shared" si="1"/>
        <v>3</v>
      </c>
      <c r="R14" s="185"/>
    </row>
    <row r="15" spans="1:21" ht="18" thickBot="1" x14ac:dyDescent="0.35">
      <c r="A15" s="24"/>
      <c r="B15" s="25">
        <v>44602</v>
      </c>
      <c r="C15" s="26">
        <v>0</v>
      </c>
      <c r="D15" s="51"/>
      <c r="E15" s="28">
        <v>44602</v>
      </c>
      <c r="F15" s="29">
        <v>63053</v>
      </c>
      <c r="G15" s="2"/>
      <c r="H15" s="37">
        <v>44602</v>
      </c>
      <c r="I15" s="31">
        <v>0</v>
      </c>
      <c r="J15" s="38"/>
      <c r="K15" s="45"/>
      <c r="L15" s="40"/>
      <c r="M15" s="32">
        <f>38100+24952+1</f>
        <v>63053</v>
      </c>
      <c r="N15" s="33">
        <v>0</v>
      </c>
      <c r="P15" s="34">
        <f t="shared" si="0"/>
        <v>63053</v>
      </c>
      <c r="Q15" s="13">
        <f t="shared" si="1"/>
        <v>0</v>
      </c>
      <c r="R15" s="8"/>
    </row>
    <row r="16" spans="1:21" ht="18" thickBot="1" x14ac:dyDescent="0.35">
      <c r="A16" s="24"/>
      <c r="B16" s="25">
        <v>44603</v>
      </c>
      <c r="C16" s="26">
        <v>18244</v>
      </c>
      <c r="D16" s="36" t="s">
        <v>49</v>
      </c>
      <c r="E16" s="28">
        <v>44603</v>
      </c>
      <c r="F16" s="29">
        <v>76646</v>
      </c>
      <c r="G16" s="2"/>
      <c r="H16" s="37">
        <v>44603</v>
      </c>
      <c r="I16" s="31">
        <v>33</v>
      </c>
      <c r="J16" s="38"/>
      <c r="K16" s="45"/>
      <c r="L16" s="9"/>
      <c r="M16" s="32">
        <f>32669+25700</f>
        <v>58369</v>
      </c>
      <c r="N16" s="33">
        <v>0</v>
      </c>
      <c r="P16" s="34">
        <f t="shared" si="0"/>
        <v>76646</v>
      </c>
      <c r="Q16" s="9">
        <f t="shared" si="1"/>
        <v>0</v>
      </c>
      <c r="R16" s="8" t="s">
        <v>8</v>
      </c>
    </row>
    <row r="17" spans="1:19" ht="18" thickBot="1" x14ac:dyDescent="0.35">
      <c r="A17" s="24"/>
      <c r="B17" s="25">
        <v>44604</v>
      </c>
      <c r="C17" s="26">
        <v>0</v>
      </c>
      <c r="D17" s="41"/>
      <c r="E17" s="28">
        <v>44604</v>
      </c>
      <c r="F17" s="29">
        <v>64635</v>
      </c>
      <c r="G17" s="2"/>
      <c r="H17" s="37">
        <v>44604</v>
      </c>
      <c r="I17" s="31">
        <v>22</v>
      </c>
      <c r="J17" s="38">
        <v>44604</v>
      </c>
      <c r="K17" s="52" t="s">
        <v>133</v>
      </c>
      <c r="L17" s="48">
        <v>10085.709999999999</v>
      </c>
      <c r="M17" s="32">
        <f>18624+32500</f>
        <v>51124</v>
      </c>
      <c r="N17" s="33">
        <v>3403</v>
      </c>
      <c r="P17" s="34">
        <f t="shared" si="0"/>
        <v>64634.71</v>
      </c>
      <c r="Q17" s="13">
        <f t="shared" si="1"/>
        <v>-0.29000000000087311</v>
      </c>
      <c r="R17" s="8"/>
    </row>
    <row r="18" spans="1:19" ht="18" thickBot="1" x14ac:dyDescent="0.35">
      <c r="A18" s="24"/>
      <c r="B18" s="25">
        <v>44605</v>
      </c>
      <c r="C18" s="26">
        <v>0</v>
      </c>
      <c r="D18" s="36"/>
      <c r="E18" s="28">
        <v>44605</v>
      </c>
      <c r="F18" s="29">
        <v>108725</v>
      </c>
      <c r="G18" s="2"/>
      <c r="H18" s="37">
        <v>44605</v>
      </c>
      <c r="I18" s="31">
        <v>43</v>
      </c>
      <c r="J18" s="38"/>
      <c r="K18" s="53"/>
      <c r="L18" s="40"/>
      <c r="M18" s="32">
        <f>18700+37100+47000+4577</f>
        <v>107377</v>
      </c>
      <c r="N18" s="33">
        <v>1305</v>
      </c>
      <c r="P18" s="34">
        <f t="shared" si="0"/>
        <v>108725</v>
      </c>
      <c r="Q18" s="9">
        <f t="shared" si="1"/>
        <v>0</v>
      </c>
      <c r="R18" s="8"/>
    </row>
    <row r="19" spans="1:19" ht="18" thickBot="1" x14ac:dyDescent="0.35">
      <c r="A19" s="24"/>
      <c r="B19" s="25">
        <v>44606</v>
      </c>
      <c r="C19" s="26">
        <v>0</v>
      </c>
      <c r="D19" s="36"/>
      <c r="E19" s="28">
        <v>44606</v>
      </c>
      <c r="F19" s="29">
        <v>47223</v>
      </c>
      <c r="G19" s="2"/>
      <c r="H19" s="37">
        <v>44606</v>
      </c>
      <c r="I19" s="31">
        <v>52</v>
      </c>
      <c r="J19" s="38"/>
      <c r="K19" s="54"/>
      <c r="L19" s="55"/>
      <c r="M19" s="32">
        <f>30000</f>
        <v>30000</v>
      </c>
      <c r="N19" s="33">
        <v>860</v>
      </c>
      <c r="O19" s="245"/>
      <c r="P19" s="34">
        <f t="shared" si="0"/>
        <v>30912</v>
      </c>
      <c r="Q19" s="244">
        <f t="shared" si="1"/>
        <v>-16311</v>
      </c>
      <c r="R19" s="8"/>
    </row>
    <row r="20" spans="1:19" ht="18" thickBot="1" x14ac:dyDescent="0.35">
      <c r="A20" s="24"/>
      <c r="B20" s="25">
        <v>44607</v>
      </c>
      <c r="C20" s="26">
        <v>0</v>
      </c>
      <c r="D20" s="36"/>
      <c r="E20" s="28">
        <v>44607</v>
      </c>
      <c r="F20" s="29">
        <v>0</v>
      </c>
      <c r="G20" s="2"/>
      <c r="H20" s="37">
        <v>44607</v>
      </c>
      <c r="I20" s="31">
        <v>0</v>
      </c>
      <c r="J20" s="38"/>
      <c r="K20" s="56"/>
      <c r="L20" s="48"/>
      <c r="M20" s="32">
        <v>0</v>
      </c>
      <c r="N20" s="33">
        <v>0</v>
      </c>
      <c r="P20" s="34">
        <f t="shared" si="0"/>
        <v>0</v>
      </c>
      <c r="Q20" s="9">
        <f t="shared" si="1"/>
        <v>0</v>
      </c>
      <c r="R20" s="8"/>
    </row>
    <row r="21" spans="1:19" ht="18" thickBot="1" x14ac:dyDescent="0.35">
      <c r="A21" s="24"/>
      <c r="B21" s="25">
        <v>44608</v>
      </c>
      <c r="C21" s="26">
        <v>0</v>
      </c>
      <c r="D21" s="36"/>
      <c r="E21" s="28">
        <v>44608</v>
      </c>
      <c r="F21" s="29">
        <v>0</v>
      </c>
      <c r="G21" s="2"/>
      <c r="H21" s="37">
        <v>44608</v>
      </c>
      <c r="I21" s="31">
        <v>0</v>
      </c>
      <c r="J21" s="38"/>
      <c r="K21" s="57" t="s">
        <v>134</v>
      </c>
      <c r="L21" s="48"/>
      <c r="M21" s="32">
        <v>0</v>
      </c>
      <c r="N21" s="33">
        <v>0</v>
      </c>
      <c r="P21" s="34">
        <f t="shared" si="0"/>
        <v>0</v>
      </c>
      <c r="Q21" s="13">
        <f t="shared" si="1"/>
        <v>0</v>
      </c>
      <c r="R21" s="8"/>
    </row>
    <row r="22" spans="1:19" ht="18" thickBot="1" x14ac:dyDescent="0.35">
      <c r="A22" s="24"/>
      <c r="B22" s="25">
        <v>44609</v>
      </c>
      <c r="C22" s="26">
        <v>0</v>
      </c>
      <c r="D22" s="36"/>
      <c r="E22" s="28">
        <v>44609</v>
      </c>
      <c r="F22" s="29">
        <v>0</v>
      </c>
      <c r="G22" s="2"/>
      <c r="H22" s="37">
        <v>44609</v>
      </c>
      <c r="I22" s="31">
        <v>0</v>
      </c>
      <c r="J22" s="38"/>
      <c r="K22" s="35"/>
      <c r="L22" s="58"/>
      <c r="M22" s="32">
        <v>0</v>
      </c>
      <c r="N22" s="33">
        <v>0</v>
      </c>
      <c r="P22" s="34">
        <f t="shared" si="0"/>
        <v>0</v>
      </c>
      <c r="Q22" s="13">
        <f t="shared" si="1"/>
        <v>0</v>
      </c>
      <c r="R22" s="8"/>
    </row>
    <row r="23" spans="1:19" ht="18" thickBot="1" x14ac:dyDescent="0.35">
      <c r="A23" s="24"/>
      <c r="B23" s="25">
        <v>44610</v>
      </c>
      <c r="C23" s="26">
        <v>0</v>
      </c>
      <c r="D23" s="36"/>
      <c r="E23" s="28">
        <v>44610</v>
      </c>
      <c r="F23" s="29">
        <v>0</v>
      </c>
      <c r="G23" s="2"/>
      <c r="H23" s="37">
        <v>44610</v>
      </c>
      <c r="I23" s="31">
        <v>0</v>
      </c>
      <c r="J23" s="59"/>
      <c r="K23" s="60"/>
      <c r="L23" s="48"/>
      <c r="M23" s="32">
        <v>0</v>
      </c>
      <c r="N23" s="33">
        <v>0</v>
      </c>
      <c r="P23" s="34">
        <f t="shared" si="0"/>
        <v>0</v>
      </c>
      <c r="Q23" s="13">
        <f t="shared" si="1"/>
        <v>0</v>
      </c>
      <c r="R23" s="8"/>
    </row>
    <row r="24" spans="1:19" ht="18" thickBot="1" x14ac:dyDescent="0.35">
      <c r="A24" s="24"/>
      <c r="B24" s="25">
        <v>44611</v>
      </c>
      <c r="C24" s="26">
        <v>0</v>
      </c>
      <c r="D24" s="41"/>
      <c r="E24" s="28">
        <v>44611</v>
      </c>
      <c r="F24" s="29">
        <v>0</v>
      </c>
      <c r="G24" s="2"/>
      <c r="H24" s="37">
        <v>44611</v>
      </c>
      <c r="I24" s="31">
        <v>0</v>
      </c>
      <c r="J24" s="181"/>
      <c r="K24" s="62"/>
      <c r="L24" s="63"/>
      <c r="M24" s="32">
        <v>0</v>
      </c>
      <c r="N24" s="33">
        <v>0</v>
      </c>
      <c r="P24" s="34">
        <f t="shared" si="0"/>
        <v>0</v>
      </c>
      <c r="Q24" s="13">
        <f t="shared" si="1"/>
        <v>0</v>
      </c>
      <c r="R24" s="8"/>
    </row>
    <row r="25" spans="1:19" ht="18" thickBot="1" x14ac:dyDescent="0.35">
      <c r="A25" s="24"/>
      <c r="B25" s="25">
        <v>44612</v>
      </c>
      <c r="C25" s="26">
        <v>0</v>
      </c>
      <c r="D25" s="36"/>
      <c r="E25" s="28">
        <v>44612</v>
      </c>
      <c r="F25" s="29">
        <v>0</v>
      </c>
      <c r="G25" s="2"/>
      <c r="H25" s="37">
        <v>44612</v>
      </c>
      <c r="I25" s="31">
        <v>0</v>
      </c>
      <c r="J25" s="64"/>
      <c r="K25" s="65"/>
      <c r="L25" s="66"/>
      <c r="M25" s="32">
        <v>0</v>
      </c>
      <c r="N25" s="33">
        <v>0</v>
      </c>
      <c r="O25" t="s">
        <v>8</v>
      </c>
      <c r="P25" s="34">
        <f t="shared" si="0"/>
        <v>0</v>
      </c>
      <c r="Q25" s="13">
        <f t="shared" si="1"/>
        <v>0</v>
      </c>
      <c r="R25" s="8"/>
      <c r="S25" t="s">
        <v>8</v>
      </c>
    </row>
    <row r="26" spans="1:19" ht="18" thickBot="1" x14ac:dyDescent="0.35">
      <c r="A26" s="24"/>
      <c r="B26" s="25">
        <v>44613</v>
      </c>
      <c r="C26" s="26">
        <v>0</v>
      </c>
      <c r="D26" s="36"/>
      <c r="E26" s="28">
        <v>44613</v>
      </c>
      <c r="F26" s="29">
        <v>0</v>
      </c>
      <c r="G26" s="2"/>
      <c r="H26" s="37">
        <v>44613</v>
      </c>
      <c r="I26" s="31">
        <v>0</v>
      </c>
      <c r="J26" s="38"/>
      <c r="K26" s="62"/>
      <c r="L26" s="48"/>
      <c r="M26" s="32">
        <v>0</v>
      </c>
      <c r="N26" s="33">
        <v>0</v>
      </c>
      <c r="P26" s="34">
        <f t="shared" si="0"/>
        <v>0</v>
      </c>
      <c r="Q26" s="13">
        <f t="shared" si="1"/>
        <v>0</v>
      </c>
      <c r="R26" s="9"/>
    </row>
    <row r="27" spans="1:19" ht="18" thickBot="1" x14ac:dyDescent="0.35">
      <c r="A27" s="24"/>
      <c r="B27" s="25">
        <v>44614</v>
      </c>
      <c r="C27" s="26">
        <v>0</v>
      </c>
      <c r="D27" s="41"/>
      <c r="E27" s="28">
        <v>44614</v>
      </c>
      <c r="F27" s="29">
        <v>0</v>
      </c>
      <c r="G27" s="2"/>
      <c r="H27" s="37">
        <v>44614</v>
      </c>
      <c r="I27" s="31">
        <v>0</v>
      </c>
      <c r="J27" s="67"/>
      <c r="K27" s="68"/>
      <c r="L27" s="66"/>
      <c r="M27" s="32">
        <v>0</v>
      </c>
      <c r="N27" s="33">
        <v>0</v>
      </c>
      <c r="P27" s="34">
        <f t="shared" si="0"/>
        <v>0</v>
      </c>
      <c r="Q27" s="13">
        <f t="shared" si="1"/>
        <v>0</v>
      </c>
      <c r="R27" s="8"/>
    </row>
    <row r="28" spans="1:19" ht="18" thickBot="1" x14ac:dyDescent="0.35">
      <c r="A28" s="24"/>
      <c r="B28" s="25">
        <v>44615</v>
      </c>
      <c r="C28" s="26">
        <v>0</v>
      </c>
      <c r="D28" s="41"/>
      <c r="E28" s="28">
        <v>44615</v>
      </c>
      <c r="F28" s="29">
        <v>0</v>
      </c>
      <c r="G28" s="2"/>
      <c r="H28" s="37">
        <v>44615</v>
      </c>
      <c r="I28" s="31">
        <v>0</v>
      </c>
      <c r="J28" s="69"/>
      <c r="K28" s="70"/>
      <c r="L28" s="66"/>
      <c r="M28" s="32">
        <v>0</v>
      </c>
      <c r="N28" s="33">
        <v>0</v>
      </c>
      <c r="P28" s="34">
        <f t="shared" si="0"/>
        <v>0</v>
      </c>
      <c r="Q28" s="13">
        <f t="shared" si="1"/>
        <v>0</v>
      </c>
      <c r="R28" s="8"/>
    </row>
    <row r="29" spans="1:19" ht="18" thickBot="1" x14ac:dyDescent="0.35">
      <c r="A29" s="24"/>
      <c r="B29" s="25">
        <v>44616</v>
      </c>
      <c r="C29" s="26">
        <v>0</v>
      </c>
      <c r="D29" s="71"/>
      <c r="E29" s="28">
        <v>44616</v>
      </c>
      <c r="F29" s="29">
        <v>0</v>
      </c>
      <c r="G29" s="2"/>
      <c r="H29" s="37">
        <v>44616</v>
      </c>
      <c r="I29" s="31">
        <v>0</v>
      </c>
      <c r="J29" s="67"/>
      <c r="K29" s="72"/>
      <c r="L29" s="66"/>
      <c r="M29" s="32">
        <v>0</v>
      </c>
      <c r="N29" s="33">
        <v>0</v>
      </c>
      <c r="P29" s="34">
        <f t="shared" si="0"/>
        <v>0</v>
      </c>
      <c r="Q29" s="13">
        <f t="shared" si="1"/>
        <v>0</v>
      </c>
      <c r="R29" s="8"/>
    </row>
    <row r="30" spans="1:19" ht="18" thickBot="1" x14ac:dyDescent="0.35">
      <c r="A30" s="24"/>
      <c r="B30" s="25">
        <v>44617</v>
      </c>
      <c r="C30" s="26">
        <v>0</v>
      </c>
      <c r="D30" s="71"/>
      <c r="E30" s="28">
        <v>44617</v>
      </c>
      <c r="F30" s="29">
        <v>0</v>
      </c>
      <c r="G30" s="2"/>
      <c r="H30" s="37">
        <v>44617</v>
      </c>
      <c r="I30" s="31">
        <v>0</v>
      </c>
      <c r="J30" s="73"/>
      <c r="K30" s="74"/>
      <c r="L30" s="75"/>
      <c r="M30" s="32">
        <v>0</v>
      </c>
      <c r="N30" s="33">
        <v>0</v>
      </c>
      <c r="P30" s="34">
        <f t="shared" si="0"/>
        <v>0</v>
      </c>
      <c r="Q30" s="9">
        <f t="shared" si="1"/>
        <v>0</v>
      </c>
      <c r="R30" s="8"/>
    </row>
    <row r="31" spans="1:19" ht="18" thickBot="1" x14ac:dyDescent="0.35">
      <c r="A31" s="24"/>
      <c r="B31" s="25">
        <v>44618</v>
      </c>
      <c r="C31" s="26">
        <v>0</v>
      </c>
      <c r="D31" s="83"/>
      <c r="E31" s="28">
        <v>44618</v>
      </c>
      <c r="F31" s="29">
        <v>0</v>
      </c>
      <c r="G31" s="2"/>
      <c r="H31" s="37">
        <v>44618</v>
      </c>
      <c r="I31" s="31">
        <v>0</v>
      </c>
      <c r="J31" s="73"/>
      <c r="K31" s="76"/>
      <c r="L31" s="77"/>
      <c r="M31" s="32">
        <v>0</v>
      </c>
      <c r="N31" s="33">
        <v>0</v>
      </c>
      <c r="P31" s="34">
        <f t="shared" si="0"/>
        <v>0</v>
      </c>
      <c r="Q31" s="9">
        <f t="shared" si="1"/>
        <v>0</v>
      </c>
      <c r="R31" s="8"/>
    </row>
    <row r="32" spans="1:19" ht="18" thickBot="1" x14ac:dyDescent="0.35">
      <c r="A32" s="24"/>
      <c r="B32" s="25">
        <v>44619</v>
      </c>
      <c r="C32" s="26">
        <v>0</v>
      </c>
      <c r="D32" s="78"/>
      <c r="E32" s="28">
        <v>44619</v>
      </c>
      <c r="F32" s="29">
        <v>0</v>
      </c>
      <c r="G32" s="2"/>
      <c r="H32" s="37">
        <v>44619</v>
      </c>
      <c r="I32" s="31">
        <v>0</v>
      </c>
      <c r="J32" s="73"/>
      <c r="K32" s="74"/>
      <c r="L32" s="75"/>
      <c r="M32" s="32">
        <v>0</v>
      </c>
      <c r="N32" s="33">
        <v>0</v>
      </c>
      <c r="P32" s="34">
        <f t="shared" si="0"/>
        <v>0</v>
      </c>
      <c r="Q32" s="9">
        <f t="shared" si="1"/>
        <v>0</v>
      </c>
      <c r="R32" s="8"/>
    </row>
    <row r="33" spans="1:18" ht="18" thickBot="1" x14ac:dyDescent="0.35">
      <c r="A33" s="24"/>
      <c r="B33" s="25"/>
      <c r="C33" s="26"/>
      <c r="D33" s="79"/>
      <c r="E33" s="28"/>
      <c r="F33" s="29"/>
      <c r="G33" s="2"/>
      <c r="H33" s="37"/>
      <c r="I33" s="31"/>
      <c r="J33" s="73"/>
      <c r="K33" s="76"/>
      <c r="L33" s="80"/>
      <c r="M33" s="32">
        <v>0</v>
      </c>
      <c r="N33" s="33">
        <v>0</v>
      </c>
      <c r="P33" s="34">
        <f t="shared" si="0"/>
        <v>0</v>
      </c>
      <c r="Q33" s="9">
        <f t="shared" si="1"/>
        <v>0</v>
      </c>
      <c r="R33" s="8"/>
    </row>
    <row r="34" spans="1:18" ht="18" thickBot="1" x14ac:dyDescent="0.35">
      <c r="A34" s="24"/>
      <c r="B34" s="25"/>
      <c r="C34" s="26"/>
      <c r="D34" s="78"/>
      <c r="E34" s="28"/>
      <c r="F34" s="29"/>
      <c r="G34" s="2"/>
      <c r="H34" s="37"/>
      <c r="I34" s="31"/>
      <c r="J34" s="73"/>
      <c r="K34" s="81"/>
      <c r="L34" s="82"/>
      <c r="M34" s="32">
        <v>0</v>
      </c>
      <c r="N34" s="33">
        <v>0</v>
      </c>
      <c r="P34" s="34">
        <f t="shared" si="0"/>
        <v>0</v>
      </c>
      <c r="Q34" s="9">
        <f t="shared" si="1"/>
        <v>0</v>
      </c>
      <c r="R34" s="8"/>
    </row>
    <row r="35" spans="1:18" ht="18" thickBot="1" x14ac:dyDescent="0.35">
      <c r="A35" s="24"/>
      <c r="B35" s="25"/>
      <c r="C35" s="26"/>
      <c r="D35" s="83"/>
      <c r="E35" s="28"/>
      <c r="F35" s="29"/>
      <c r="G35" s="2"/>
      <c r="H35" s="37"/>
      <c r="I35" s="31"/>
      <c r="J35" s="73"/>
      <c r="K35" s="76"/>
      <c r="L35" s="80"/>
      <c r="M35" s="32">
        <v>0</v>
      </c>
      <c r="N35" s="33">
        <v>0</v>
      </c>
      <c r="P35" s="34">
        <f t="shared" si="0"/>
        <v>0</v>
      </c>
      <c r="Q35" s="9">
        <f t="shared" si="1"/>
        <v>0</v>
      </c>
      <c r="R35" s="8"/>
    </row>
    <row r="36" spans="1:18" ht="18" thickBot="1" x14ac:dyDescent="0.35">
      <c r="A36" s="24"/>
      <c r="B36" s="25"/>
      <c r="C36" s="26"/>
      <c r="D36" s="84"/>
      <c r="E36" s="28"/>
      <c r="F36" s="29"/>
      <c r="G36" s="2"/>
      <c r="H36" s="37"/>
      <c r="I36" s="31"/>
      <c r="J36" s="73"/>
      <c r="K36" s="182"/>
      <c r="L36" s="82"/>
      <c r="M36" s="32">
        <v>0</v>
      </c>
      <c r="N36" s="33">
        <v>0</v>
      </c>
      <c r="P36" s="34">
        <f t="shared" si="0"/>
        <v>0</v>
      </c>
      <c r="Q36" s="9">
        <f t="shared" si="1"/>
        <v>0</v>
      </c>
      <c r="R36" s="8"/>
    </row>
    <row r="37" spans="1:18" ht="18" thickBot="1" x14ac:dyDescent="0.35">
      <c r="A37" s="24"/>
      <c r="B37" s="25"/>
      <c r="C37" s="26"/>
      <c r="D37" s="78"/>
      <c r="E37" s="28"/>
      <c r="F37" s="29"/>
      <c r="G37" s="2"/>
      <c r="H37" s="37"/>
      <c r="I37" s="31"/>
      <c r="J37" s="73"/>
      <c r="K37" s="81"/>
      <c r="L37" s="82"/>
      <c r="M37" s="32">
        <v>0</v>
      </c>
      <c r="N37" s="33">
        <v>0</v>
      </c>
      <c r="P37" s="34">
        <f t="shared" si="0"/>
        <v>0</v>
      </c>
      <c r="Q37" s="9">
        <f t="shared" si="1"/>
        <v>0</v>
      </c>
    </row>
    <row r="38" spans="1:18" ht="18" thickBot="1" x14ac:dyDescent="0.35">
      <c r="A38" s="24"/>
      <c r="B38" s="25"/>
      <c r="C38" s="26"/>
      <c r="D38" s="79"/>
      <c r="E38" s="28"/>
      <c r="F38" s="29"/>
      <c r="G38" s="2"/>
      <c r="H38" s="37"/>
      <c r="I38" s="31"/>
      <c r="J38" s="73"/>
      <c r="K38" s="76"/>
      <c r="L38" s="80"/>
      <c r="M38" s="32">
        <v>0</v>
      </c>
      <c r="N38" s="33">
        <v>0</v>
      </c>
      <c r="P38" s="34">
        <f t="shared" si="0"/>
        <v>0</v>
      </c>
      <c r="Q38" s="9">
        <f t="shared" si="1"/>
        <v>0</v>
      </c>
    </row>
    <row r="39" spans="1:18" ht="18" thickBot="1" x14ac:dyDescent="0.35">
      <c r="A39" s="24"/>
      <c r="B39" s="25"/>
      <c r="C39" s="26"/>
      <c r="D39" s="79"/>
      <c r="E39" s="28"/>
      <c r="F39" s="85"/>
      <c r="G39" s="2"/>
      <c r="H39" s="37"/>
      <c r="I39" s="31"/>
      <c r="J39" s="73"/>
      <c r="K39" s="76"/>
      <c r="L39" s="75"/>
      <c r="M39" s="32">
        <v>0</v>
      </c>
      <c r="N39" s="33">
        <v>0</v>
      </c>
      <c r="P39" s="34">
        <f t="shared" si="0"/>
        <v>0</v>
      </c>
      <c r="Q39" s="9">
        <f t="shared" si="1"/>
        <v>0</v>
      </c>
    </row>
    <row r="40" spans="1:18" ht="18.75" thickTop="1" thickBot="1" x14ac:dyDescent="0.35">
      <c r="A40" s="24"/>
      <c r="B40" s="25"/>
      <c r="C40" s="86"/>
      <c r="D40" s="84"/>
      <c r="E40" s="28"/>
      <c r="F40" s="87"/>
      <c r="G40" s="2"/>
      <c r="H40" s="37"/>
      <c r="I40" s="88"/>
      <c r="J40" s="73"/>
      <c r="K40" s="89"/>
      <c r="L40" s="75"/>
      <c r="M40" s="215">
        <f>SUM(M5:M39)</f>
        <v>777434</v>
      </c>
      <c r="N40" s="217">
        <f>SUM(N5:N39)</f>
        <v>22148</v>
      </c>
      <c r="P40" s="34">
        <f>SUM(P5:P39)</f>
        <v>865564.71</v>
      </c>
      <c r="Q40" s="9">
        <f>SUM(Q5:Q38)</f>
        <v>-70808.290000000008</v>
      </c>
    </row>
    <row r="41" spans="1:18" ht="18" thickBot="1" x14ac:dyDescent="0.35">
      <c r="A41" s="24"/>
      <c r="B41" s="25"/>
      <c r="C41" s="86"/>
      <c r="D41" s="84"/>
      <c r="E41" s="28"/>
      <c r="F41" s="87"/>
      <c r="G41" s="2"/>
      <c r="H41" s="37"/>
      <c r="I41" s="88"/>
      <c r="J41" s="73"/>
      <c r="K41" s="76"/>
      <c r="L41" s="75"/>
      <c r="M41" s="216"/>
      <c r="N41" s="218"/>
      <c r="P41" s="34"/>
      <c r="Q41" s="9"/>
    </row>
    <row r="42" spans="1:18" ht="18" thickBot="1" x14ac:dyDescent="0.35">
      <c r="A42" s="24"/>
      <c r="B42" s="25"/>
      <c r="C42" s="90"/>
      <c r="D42" s="91"/>
      <c r="E42" s="92"/>
      <c r="F42" s="93"/>
      <c r="G42" s="2"/>
      <c r="H42" s="94"/>
      <c r="I42" s="95"/>
      <c r="J42" s="73"/>
      <c r="K42" s="76"/>
      <c r="L42" s="80"/>
      <c r="M42" s="96"/>
      <c r="N42" s="97"/>
      <c r="P42" s="34"/>
      <c r="Q42" s="9"/>
    </row>
    <row r="43" spans="1:18" ht="18" thickBot="1" x14ac:dyDescent="0.35">
      <c r="A43" s="24"/>
      <c r="B43" s="25"/>
      <c r="C43" s="90"/>
      <c r="D43" s="91"/>
      <c r="E43" s="92"/>
      <c r="F43" s="93"/>
      <c r="G43" s="2"/>
      <c r="H43" s="94"/>
      <c r="I43" s="95"/>
      <c r="J43" s="73"/>
      <c r="K43" s="76"/>
      <c r="L43" s="80"/>
      <c r="M43" s="96"/>
      <c r="N43" s="97"/>
      <c r="P43" s="34"/>
      <c r="Q43" s="9"/>
    </row>
    <row r="44" spans="1:18" ht="18" thickBot="1" x14ac:dyDescent="0.35">
      <c r="A44" s="24"/>
      <c r="B44" s="25"/>
      <c r="C44" s="90"/>
      <c r="D44" s="91"/>
      <c r="E44" s="92"/>
      <c r="F44" s="93"/>
      <c r="G44" s="2"/>
      <c r="H44" s="94"/>
      <c r="I44" s="95"/>
      <c r="J44" s="73"/>
      <c r="K44" s="76"/>
      <c r="L44" s="80"/>
      <c r="M44" s="96"/>
      <c r="N44" s="97"/>
      <c r="P44" s="34"/>
      <c r="Q44" s="9"/>
    </row>
    <row r="45" spans="1:18" ht="18" thickBot="1" x14ac:dyDescent="0.35">
      <c r="A45" s="24"/>
      <c r="B45" s="25"/>
      <c r="C45" s="90"/>
      <c r="D45" s="91"/>
      <c r="E45" s="92"/>
      <c r="F45" s="93"/>
      <c r="G45" s="2"/>
      <c r="H45" s="94"/>
      <c r="I45" s="95"/>
      <c r="J45" s="73"/>
      <c r="K45" s="76"/>
      <c r="L45" s="80"/>
      <c r="M45" s="96"/>
      <c r="N45" s="97"/>
      <c r="P45" s="34"/>
      <c r="Q45" s="9"/>
    </row>
    <row r="46" spans="1:18" ht="18" hidden="1" thickBot="1" x14ac:dyDescent="0.35">
      <c r="A46" s="24"/>
      <c r="B46" s="25"/>
      <c r="C46" s="90"/>
      <c r="D46" s="91"/>
      <c r="E46" s="92"/>
      <c r="F46" s="93"/>
      <c r="G46" s="2"/>
      <c r="H46" s="94"/>
      <c r="I46" s="95"/>
      <c r="J46" s="73"/>
      <c r="K46" s="76"/>
      <c r="L46" s="80"/>
      <c r="M46" s="96"/>
      <c r="N46" s="97"/>
      <c r="P46" s="34"/>
      <c r="Q46" s="9"/>
    </row>
    <row r="47" spans="1:18" ht="18" hidden="1" thickBot="1" x14ac:dyDescent="0.35">
      <c r="A47" s="24"/>
      <c r="B47" s="25"/>
      <c r="C47" s="90"/>
      <c r="D47" s="91"/>
      <c r="E47" s="92"/>
      <c r="F47" s="93"/>
      <c r="G47" s="2"/>
      <c r="H47" s="94"/>
      <c r="I47" s="95"/>
      <c r="J47" s="73"/>
      <c r="K47" s="76"/>
      <c r="L47" s="80"/>
      <c r="M47" s="96"/>
      <c r="N47" s="97"/>
      <c r="P47" s="34"/>
      <c r="Q47" s="9"/>
    </row>
    <row r="48" spans="1:18" ht="18" hidden="1" thickBot="1" x14ac:dyDescent="0.35">
      <c r="A48" s="24"/>
      <c r="B48" s="25"/>
      <c r="C48" s="90"/>
      <c r="D48" s="91"/>
      <c r="E48" s="92"/>
      <c r="F48" s="93"/>
      <c r="G48" s="2"/>
      <c r="H48" s="94"/>
      <c r="I48" s="95"/>
      <c r="J48" s="73"/>
      <c r="K48" s="76"/>
      <c r="L48" s="80"/>
      <c r="M48" s="96"/>
      <c r="N48" s="97"/>
      <c r="P48" s="34"/>
      <c r="Q48" s="9"/>
    </row>
    <row r="49" spans="1:17" ht="18" hidden="1" thickBot="1" x14ac:dyDescent="0.35">
      <c r="A49" s="24"/>
      <c r="B49" s="25"/>
      <c r="C49" s="90"/>
      <c r="D49" s="91"/>
      <c r="E49" s="92"/>
      <c r="F49" s="93"/>
      <c r="G49" s="2"/>
      <c r="H49" s="94"/>
      <c r="I49" s="95"/>
      <c r="J49" s="73"/>
      <c r="K49" s="76"/>
      <c r="L49" s="80"/>
      <c r="M49" s="96"/>
      <c r="N49" s="97"/>
      <c r="P49" s="34"/>
      <c r="Q49" s="9"/>
    </row>
    <row r="50" spans="1:17" ht="15.75" thickBot="1" x14ac:dyDescent="0.3">
      <c r="A50" s="24"/>
      <c r="B50" s="98"/>
      <c r="C50" s="26">
        <v>0</v>
      </c>
      <c r="D50" s="99"/>
      <c r="E50" s="100"/>
      <c r="F50" s="90"/>
      <c r="H50" s="101"/>
      <c r="I50" s="95"/>
      <c r="J50" s="102"/>
      <c r="K50" s="103"/>
      <c r="L50" s="9"/>
      <c r="M50" s="104"/>
      <c r="N50" s="33"/>
      <c r="P50" s="34"/>
      <c r="Q50" s="9"/>
    </row>
    <row r="51" spans="1:17" ht="16.5" thickBot="1" x14ac:dyDescent="0.3">
      <c r="B51" s="105" t="s">
        <v>9</v>
      </c>
      <c r="C51" s="106">
        <f>SUM(C5:C50)</f>
        <v>47072</v>
      </c>
      <c r="D51" s="107"/>
      <c r="E51" s="108" t="s">
        <v>9</v>
      </c>
      <c r="F51" s="109">
        <f>SUM(F5:F50)</f>
        <v>936063</v>
      </c>
      <c r="G51" s="107"/>
      <c r="H51" s="110" t="s">
        <v>10</v>
      </c>
      <c r="I51" s="111">
        <f>SUM(I5:I50)</f>
        <v>875</v>
      </c>
      <c r="J51" s="112"/>
      <c r="K51" s="113" t="s">
        <v>11</v>
      </c>
      <c r="L51" s="114">
        <f>SUM(L5:L50)</f>
        <v>18035.71</v>
      </c>
      <c r="M51" s="115"/>
      <c r="N51" s="115"/>
      <c r="P51" s="34"/>
      <c r="Q51" s="9"/>
    </row>
    <row r="52" spans="1:17" ht="16.5" thickTop="1" thickBot="1" x14ac:dyDescent="0.3">
      <c r="C52" s="3" t="s">
        <v>8</v>
      </c>
      <c r="P52" s="34"/>
      <c r="Q52" s="9"/>
    </row>
    <row r="53" spans="1:17" ht="19.5" thickBot="1" x14ac:dyDescent="0.3">
      <c r="A53" s="117"/>
      <c r="B53" s="118"/>
      <c r="C53" s="1"/>
      <c r="H53" s="219" t="s">
        <v>12</v>
      </c>
      <c r="I53" s="220"/>
      <c r="J53" s="119"/>
      <c r="K53" s="221">
        <f>I51+L51</f>
        <v>18910.71</v>
      </c>
      <c r="L53" s="222"/>
      <c r="M53" s="223">
        <f>N40+M40</f>
        <v>799582</v>
      </c>
      <c r="N53" s="224"/>
      <c r="P53" s="34"/>
      <c r="Q53" s="9"/>
    </row>
    <row r="54" spans="1:17" ht="15.75" x14ac:dyDescent="0.25">
      <c r="D54" s="225" t="s">
        <v>13</v>
      </c>
      <c r="E54" s="225"/>
      <c r="F54" s="120">
        <f>F51-K53-C51</f>
        <v>870080.29</v>
      </c>
      <c r="I54" s="121"/>
      <c r="J54" s="122"/>
      <c r="P54" s="34"/>
      <c r="Q54" s="9"/>
    </row>
    <row r="55" spans="1:17" ht="18.75" x14ac:dyDescent="0.3">
      <c r="D55" s="226" t="s">
        <v>14</v>
      </c>
      <c r="E55" s="226"/>
      <c r="F55" s="115">
        <v>-1540248.71</v>
      </c>
      <c r="I55" s="227" t="s">
        <v>15</v>
      </c>
      <c r="J55" s="228"/>
      <c r="K55" s="229">
        <f>F57+F58+F59</f>
        <v>-515543.89999999991</v>
      </c>
      <c r="L55" s="230"/>
      <c r="P55" s="34"/>
      <c r="Q55" s="9"/>
    </row>
    <row r="56" spans="1:17" ht="19.5" thickBot="1" x14ac:dyDescent="0.35">
      <c r="D56" s="123"/>
      <c r="E56" s="117"/>
      <c r="F56" s="124">
        <v>0</v>
      </c>
      <c r="I56" s="125"/>
      <c r="J56" s="126"/>
      <c r="K56" s="127"/>
      <c r="L56" s="128"/>
    </row>
    <row r="57" spans="1:17" ht="19.5" thickTop="1" x14ac:dyDescent="0.3">
      <c r="C57" s="4" t="s">
        <v>8</v>
      </c>
      <c r="E57" s="117" t="s">
        <v>16</v>
      </c>
      <c r="F57" s="115">
        <f>SUM(F54:F56)</f>
        <v>-670168.41999999993</v>
      </c>
      <c r="H57" s="24"/>
      <c r="I57" s="129" t="s">
        <v>17</v>
      </c>
      <c r="J57" s="130"/>
      <c r="K57" s="231">
        <f>-C4</f>
        <v>-154314.51999999999</v>
      </c>
      <c r="L57" s="232"/>
    </row>
    <row r="58" spans="1:17" ht="16.5" thickBot="1" x14ac:dyDescent="0.3">
      <c r="D58" s="131" t="s">
        <v>18</v>
      </c>
      <c r="E58" s="117" t="s">
        <v>19</v>
      </c>
      <c r="F58" s="132">
        <v>310</v>
      </c>
    </row>
    <row r="59" spans="1:17" ht="20.25" thickTop="1" thickBot="1" x14ac:dyDescent="0.35">
      <c r="C59" s="133">
        <v>44591</v>
      </c>
      <c r="D59" s="208" t="s">
        <v>20</v>
      </c>
      <c r="E59" s="209"/>
      <c r="F59" s="134">
        <v>154314.51999999999</v>
      </c>
      <c r="I59" s="210" t="s">
        <v>125</v>
      </c>
      <c r="J59" s="211"/>
      <c r="K59" s="212">
        <f>K55+K57</f>
        <v>-669858.41999999993</v>
      </c>
      <c r="L59" s="212"/>
    </row>
    <row r="60" spans="1:17" ht="17.25" x14ac:dyDescent="0.3">
      <c r="C60" s="135"/>
      <c r="D60" s="136"/>
      <c r="E60" s="137"/>
      <c r="F60" s="138"/>
      <c r="J60" s="139"/>
    </row>
    <row r="61" spans="1:17" ht="15" customHeight="1" x14ac:dyDescent="0.25">
      <c r="I61" s="140"/>
      <c r="J61" s="140"/>
      <c r="K61" s="141"/>
      <c r="L61" s="141"/>
    </row>
    <row r="62" spans="1:17" ht="16.5" customHeight="1" x14ac:dyDescent="0.25">
      <c r="B62" s="142"/>
      <c r="C62" s="143"/>
      <c r="D62" s="144"/>
      <c r="E62" s="34"/>
      <c r="I62" s="140"/>
      <c r="J62" s="140"/>
      <c r="K62" s="141"/>
      <c r="L62" s="141"/>
      <c r="M62" s="145"/>
      <c r="N62" s="117"/>
    </row>
    <row r="63" spans="1:17" ht="15.75" x14ac:dyDescent="0.25">
      <c r="B63" s="142"/>
      <c r="C63" s="146"/>
      <c r="E63" s="34"/>
      <c r="M63" s="145"/>
      <c r="N63" s="117"/>
    </row>
    <row r="64" spans="1:17" ht="15.75" x14ac:dyDescent="0.25">
      <c r="B64" s="142"/>
      <c r="C64" s="146"/>
      <c r="E64" s="34"/>
      <c r="F64" s="147"/>
      <c r="L64" s="148"/>
      <c r="M64" s="1"/>
    </row>
    <row r="65" spans="2:13" ht="15.75" x14ac:dyDescent="0.25">
      <c r="B65" s="142"/>
      <c r="C65" s="146"/>
      <c r="E65" s="34"/>
      <c r="M65" s="1"/>
    </row>
    <row r="66" spans="2:13" ht="15.75" x14ac:dyDescent="0.25">
      <c r="B66" s="142"/>
      <c r="C66" s="146"/>
      <c r="D66" s="149"/>
      <c r="E66" s="34"/>
      <c r="F66" s="150"/>
      <c r="M66" s="1"/>
    </row>
    <row r="67" spans="2:13" x14ac:dyDescent="0.25">
      <c r="D67" s="149"/>
      <c r="E67" s="151"/>
      <c r="F67" s="34"/>
      <c r="M67" s="1"/>
    </row>
    <row r="68" spans="2:13" x14ac:dyDescent="0.25">
      <c r="D68" s="149"/>
      <c r="E68" s="151"/>
      <c r="F68" s="34"/>
      <c r="M68" s="1"/>
    </row>
    <row r="69" spans="2:13" x14ac:dyDescent="0.25">
      <c r="D69" s="149"/>
      <c r="E69" s="151"/>
      <c r="F69" s="34"/>
      <c r="M69" s="1"/>
    </row>
    <row r="70" spans="2:13" x14ac:dyDescent="0.25">
      <c r="D70" s="149"/>
      <c r="E70" s="151"/>
      <c r="F70" s="34"/>
      <c r="M70" s="1"/>
    </row>
    <row r="71" spans="2:13" x14ac:dyDescent="0.25">
      <c r="D71" s="149"/>
      <c r="E71" s="151"/>
      <c r="F71" s="34"/>
      <c r="M71" s="1"/>
    </row>
    <row r="72" spans="2:13" x14ac:dyDescent="0.25">
      <c r="D72" s="149"/>
      <c r="E72" s="151"/>
      <c r="F72" s="34"/>
      <c r="M72" s="1"/>
    </row>
    <row r="73" spans="2:13" x14ac:dyDescent="0.25">
      <c r="D73" s="149"/>
      <c r="E73" s="151"/>
      <c r="F73" s="34"/>
      <c r="M73" s="1"/>
    </row>
    <row r="74" spans="2:13" x14ac:dyDescent="0.25">
      <c r="D74" s="149"/>
      <c r="E74" s="151"/>
      <c r="F74" s="34"/>
      <c r="M74" s="1"/>
    </row>
    <row r="75" spans="2:13" x14ac:dyDescent="0.25">
      <c r="D75" s="149"/>
      <c r="E75" s="151"/>
      <c r="F75" s="34"/>
      <c r="M75" s="1"/>
    </row>
    <row r="76" spans="2:13" x14ac:dyDescent="0.25">
      <c r="D76" s="149"/>
      <c r="E76" s="151"/>
      <c r="F76" s="34"/>
      <c r="M76" s="1"/>
    </row>
    <row r="77" spans="2:13" x14ac:dyDescent="0.25">
      <c r="D77" s="149"/>
      <c r="E77" s="151"/>
      <c r="F77" s="34"/>
      <c r="M77" s="1"/>
    </row>
    <row r="78" spans="2:13" x14ac:dyDescent="0.25">
      <c r="D78" s="149"/>
      <c r="E78" s="151"/>
      <c r="F78" s="34"/>
    </row>
    <row r="79" spans="2:13" x14ac:dyDescent="0.25">
      <c r="D79" s="149"/>
      <c r="E79" s="149"/>
      <c r="F79" s="150"/>
    </row>
    <row r="80" spans="2:13" x14ac:dyDescent="0.25">
      <c r="D80" s="149"/>
      <c r="E80" s="149"/>
      <c r="F80" s="150"/>
    </row>
    <row r="81" spans="4:6" x14ac:dyDescent="0.25">
      <c r="D81" s="149"/>
      <c r="E81" s="149"/>
      <c r="F81" s="150"/>
    </row>
  </sheetData>
  <mergeCells count="21">
    <mergeCell ref="D55:E55"/>
    <mergeCell ref="I55:J55"/>
    <mergeCell ref="K55:L55"/>
    <mergeCell ref="K57:L57"/>
    <mergeCell ref="D59:E59"/>
    <mergeCell ref="I59:J59"/>
    <mergeCell ref="K59:L59"/>
    <mergeCell ref="B1:B2"/>
    <mergeCell ref="C1:M1"/>
    <mergeCell ref="B3:C3"/>
    <mergeCell ref="H3:I3"/>
    <mergeCell ref="M40:M41"/>
    <mergeCell ref="R3:R4"/>
    <mergeCell ref="E4:F4"/>
    <mergeCell ref="H4:I4"/>
    <mergeCell ref="P4:Q4"/>
    <mergeCell ref="D54:E54"/>
    <mergeCell ref="N40:N41"/>
    <mergeCell ref="H53:I53"/>
    <mergeCell ref="K53:L53"/>
    <mergeCell ref="M53:N53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CC"/>
  </sheetPr>
  <dimension ref="A1:G136"/>
  <sheetViews>
    <sheetView topLeftCell="A4" workbookViewId="0">
      <selection activeCell="E102" sqref="E102"/>
    </sheetView>
  </sheetViews>
  <sheetFormatPr baseColWidth="10" defaultRowHeight="15" x14ac:dyDescent="0.25"/>
  <cols>
    <col min="1" max="1" width="13.42578125" style="117" bestFit="1" customWidth="1"/>
    <col min="2" max="2" width="12.85546875" style="117" bestFit="1" customWidth="1"/>
    <col min="3" max="3" width="15.85546875" style="1" bestFit="1" customWidth="1"/>
    <col min="4" max="4" width="12.42578125" style="201" bestFit="1" customWidth="1"/>
    <col min="5" max="5" width="15.140625" style="1" bestFit="1" customWidth="1"/>
    <col min="6" max="6" width="19.5703125" style="1" bestFit="1" customWidth="1"/>
    <col min="7" max="16384" width="11.42578125" style="117"/>
  </cols>
  <sheetData>
    <row r="1" spans="1:7" ht="36.75" customHeight="1" thickTop="1" thickBot="1" x14ac:dyDescent="0.3">
      <c r="A1" s="152" t="s">
        <v>27</v>
      </c>
      <c r="B1" s="187"/>
      <c r="C1" s="188"/>
      <c r="D1" s="198"/>
      <c r="E1" s="188"/>
      <c r="F1" s="153" t="s">
        <v>21</v>
      </c>
    </row>
    <row r="2" spans="1:7" ht="16.5" thickBot="1" x14ac:dyDescent="0.3">
      <c r="A2" s="154" t="s">
        <v>22</v>
      </c>
      <c r="B2" s="155" t="s">
        <v>23</v>
      </c>
      <c r="C2" s="156" t="s">
        <v>24</v>
      </c>
      <c r="D2" s="199" t="s">
        <v>25</v>
      </c>
      <c r="E2" s="156" t="s">
        <v>26</v>
      </c>
      <c r="F2" s="157" t="s">
        <v>24</v>
      </c>
    </row>
    <row r="3" spans="1:7" ht="15.75" x14ac:dyDescent="0.25">
      <c r="A3" s="193"/>
      <c r="B3" s="194"/>
      <c r="C3" s="195"/>
      <c r="D3" s="200"/>
      <c r="E3" s="195"/>
      <c r="F3" s="158">
        <f>C3-E3</f>
        <v>0</v>
      </c>
    </row>
    <row r="4" spans="1:7" ht="15.75" x14ac:dyDescent="0.25">
      <c r="A4" s="193"/>
      <c r="B4" s="194"/>
      <c r="C4" s="195"/>
      <c r="D4" s="200"/>
      <c r="E4" s="195"/>
      <c r="F4" s="196">
        <f>C4-E4+F3</f>
        <v>0</v>
      </c>
    </row>
    <row r="5" spans="1:7" s="35" customFormat="1" ht="15.75" x14ac:dyDescent="0.25">
      <c r="A5" s="193"/>
      <c r="B5" s="194"/>
      <c r="C5" s="195"/>
      <c r="D5" s="200"/>
      <c r="E5" s="195"/>
      <c r="F5" s="161">
        <f>C5-E5+F4</f>
        <v>0</v>
      </c>
    </row>
    <row r="6" spans="1:7" ht="18.75" x14ac:dyDescent="0.3">
      <c r="A6" s="193"/>
      <c r="B6" s="194"/>
      <c r="C6" s="195"/>
      <c r="D6" s="200"/>
      <c r="E6" s="195"/>
      <c r="F6" s="161">
        <f>F5+C6-E6</f>
        <v>0</v>
      </c>
      <c r="G6" s="162"/>
    </row>
    <row r="7" spans="1:7" ht="15.75" x14ac:dyDescent="0.25">
      <c r="A7" s="193"/>
      <c r="B7" s="194"/>
      <c r="C7" s="195"/>
      <c r="D7" s="200"/>
      <c r="E7" s="195"/>
      <c r="F7" s="161">
        <f t="shared" ref="F7" si="0">F6+C7-E7</f>
        <v>0</v>
      </c>
    </row>
    <row r="8" spans="1:7" ht="15.75" x14ac:dyDescent="0.25">
      <c r="A8" s="193"/>
      <c r="B8" s="194"/>
      <c r="C8" s="195"/>
      <c r="D8" s="200"/>
      <c r="E8" s="195"/>
      <c r="F8" s="161">
        <f>F7+C8-E8</f>
        <v>0</v>
      </c>
    </row>
    <row r="9" spans="1:7" ht="15.75" x14ac:dyDescent="0.25">
      <c r="A9" s="193"/>
      <c r="B9" s="194"/>
      <c r="C9" s="195"/>
      <c r="D9" s="200"/>
      <c r="E9" s="195"/>
      <c r="F9" s="161">
        <f>F8+C9-E9</f>
        <v>0</v>
      </c>
    </row>
    <row r="10" spans="1:7" ht="15.75" x14ac:dyDescent="0.25">
      <c r="A10" s="193"/>
      <c r="B10" s="194"/>
      <c r="C10" s="195"/>
      <c r="D10" s="200"/>
      <c r="E10" s="195"/>
      <c r="F10" s="161">
        <f>F9+C10-E10</f>
        <v>0</v>
      </c>
    </row>
    <row r="11" spans="1:7" ht="15.75" x14ac:dyDescent="0.25">
      <c r="A11" s="193"/>
      <c r="B11" s="194"/>
      <c r="C11" s="195"/>
      <c r="D11" s="200"/>
      <c r="E11" s="195"/>
      <c r="F11" s="161">
        <f t="shared" ref="F11:F74" si="1">F10+C11-E11</f>
        <v>0</v>
      </c>
    </row>
    <row r="12" spans="1:7" ht="18.75" x14ac:dyDescent="0.3">
      <c r="A12" s="193"/>
      <c r="B12" s="194"/>
      <c r="C12" s="195"/>
      <c r="D12" s="200"/>
      <c r="E12" s="195"/>
      <c r="F12" s="161">
        <f t="shared" si="1"/>
        <v>0</v>
      </c>
      <c r="G12" s="162"/>
    </row>
    <row r="13" spans="1:7" ht="15.75" x14ac:dyDescent="0.25">
      <c r="A13" s="193"/>
      <c r="B13" s="194"/>
      <c r="C13" s="195"/>
      <c r="D13" s="200"/>
      <c r="E13" s="195"/>
      <c r="F13" s="161">
        <f t="shared" si="1"/>
        <v>0</v>
      </c>
    </row>
    <row r="14" spans="1:7" ht="15.75" x14ac:dyDescent="0.25">
      <c r="A14" s="193"/>
      <c r="B14" s="194"/>
      <c r="C14" s="195"/>
      <c r="D14" s="200"/>
      <c r="E14" s="195"/>
      <c r="F14" s="161">
        <f t="shared" si="1"/>
        <v>0</v>
      </c>
    </row>
    <row r="15" spans="1:7" ht="15.75" x14ac:dyDescent="0.25">
      <c r="A15" s="193"/>
      <c r="B15" s="194"/>
      <c r="C15" s="195"/>
      <c r="D15" s="200"/>
      <c r="E15" s="195"/>
      <c r="F15" s="161">
        <f t="shared" si="1"/>
        <v>0</v>
      </c>
    </row>
    <row r="16" spans="1:7" ht="15.75" x14ac:dyDescent="0.25">
      <c r="A16" s="193"/>
      <c r="B16" s="194"/>
      <c r="C16" s="195"/>
      <c r="D16" s="200"/>
      <c r="E16" s="195"/>
      <c r="F16" s="161">
        <f t="shared" si="1"/>
        <v>0</v>
      </c>
    </row>
    <row r="17" spans="1:7" ht="15.75" x14ac:dyDescent="0.25">
      <c r="A17" s="193"/>
      <c r="B17" s="194"/>
      <c r="C17" s="195"/>
      <c r="D17" s="200"/>
      <c r="E17" s="195"/>
      <c r="F17" s="161">
        <f t="shared" si="1"/>
        <v>0</v>
      </c>
    </row>
    <row r="18" spans="1:7" ht="15.75" x14ac:dyDescent="0.25">
      <c r="A18" s="193"/>
      <c r="B18" s="194"/>
      <c r="C18" s="195"/>
      <c r="D18" s="200"/>
      <c r="E18" s="195"/>
      <c r="F18" s="161">
        <f t="shared" si="1"/>
        <v>0</v>
      </c>
    </row>
    <row r="19" spans="1:7" ht="15.75" x14ac:dyDescent="0.25">
      <c r="A19" s="193"/>
      <c r="B19" s="194"/>
      <c r="C19" s="195"/>
      <c r="D19" s="200"/>
      <c r="E19" s="195"/>
      <c r="F19" s="161">
        <f t="shared" si="1"/>
        <v>0</v>
      </c>
    </row>
    <row r="20" spans="1:7" ht="15.75" x14ac:dyDescent="0.25">
      <c r="A20" s="193"/>
      <c r="B20" s="194"/>
      <c r="C20" s="195"/>
      <c r="D20" s="200"/>
      <c r="E20" s="195"/>
      <c r="F20" s="161">
        <f t="shared" si="1"/>
        <v>0</v>
      </c>
    </row>
    <row r="21" spans="1:7" ht="15.75" x14ac:dyDescent="0.25">
      <c r="A21" s="193"/>
      <c r="B21" s="194"/>
      <c r="C21" s="195"/>
      <c r="D21" s="200"/>
      <c r="E21" s="195"/>
      <c r="F21" s="161">
        <f t="shared" si="1"/>
        <v>0</v>
      </c>
    </row>
    <row r="22" spans="1:7" ht="15.75" x14ac:dyDescent="0.25">
      <c r="A22" s="193"/>
      <c r="B22" s="194"/>
      <c r="C22" s="195"/>
      <c r="D22" s="202"/>
      <c r="E22" s="195"/>
      <c r="F22" s="161">
        <f t="shared" si="1"/>
        <v>0</v>
      </c>
    </row>
    <row r="23" spans="1:7" ht="15.75" x14ac:dyDescent="0.25">
      <c r="A23" s="193"/>
      <c r="B23" s="194"/>
      <c r="C23" s="195"/>
      <c r="D23" s="200"/>
      <c r="E23" s="195"/>
      <c r="F23" s="161">
        <f t="shared" si="1"/>
        <v>0</v>
      </c>
    </row>
    <row r="24" spans="1:7" ht="18.75" x14ac:dyDescent="0.3">
      <c r="A24" s="193"/>
      <c r="B24" s="194"/>
      <c r="C24" s="195"/>
      <c r="D24" s="200"/>
      <c r="E24" s="195"/>
      <c r="F24" s="161">
        <f t="shared" si="1"/>
        <v>0</v>
      </c>
      <c r="G24" s="162"/>
    </row>
    <row r="25" spans="1:7" ht="15.75" x14ac:dyDescent="0.25">
      <c r="A25" s="193"/>
      <c r="B25" s="194"/>
      <c r="C25" s="195"/>
      <c r="D25" s="200"/>
      <c r="E25" s="195"/>
      <c r="F25" s="161">
        <f t="shared" si="1"/>
        <v>0</v>
      </c>
    </row>
    <row r="26" spans="1:7" ht="15.75" x14ac:dyDescent="0.25">
      <c r="A26" s="193"/>
      <c r="B26" s="194"/>
      <c r="C26" s="195"/>
      <c r="D26" s="200"/>
      <c r="E26" s="195"/>
      <c r="F26" s="161">
        <f t="shared" si="1"/>
        <v>0</v>
      </c>
    </row>
    <row r="27" spans="1:7" ht="15.75" x14ac:dyDescent="0.25">
      <c r="A27" s="193"/>
      <c r="B27" s="194"/>
      <c r="C27" s="195"/>
      <c r="D27" s="200"/>
      <c r="E27" s="195"/>
      <c r="F27" s="161">
        <f t="shared" si="1"/>
        <v>0</v>
      </c>
    </row>
    <row r="28" spans="1:7" ht="15.75" x14ac:dyDescent="0.25">
      <c r="A28" s="193"/>
      <c r="B28" s="194"/>
      <c r="C28" s="195"/>
      <c r="D28" s="200"/>
      <c r="E28" s="195"/>
      <c r="F28" s="161">
        <f t="shared" si="1"/>
        <v>0</v>
      </c>
    </row>
    <row r="29" spans="1:7" ht="15.75" x14ac:dyDescent="0.25">
      <c r="A29" s="193"/>
      <c r="B29" s="194"/>
      <c r="C29" s="195"/>
      <c r="D29" s="200"/>
      <c r="E29" s="195"/>
      <c r="F29" s="161">
        <f t="shared" si="1"/>
        <v>0</v>
      </c>
    </row>
    <row r="30" spans="1:7" ht="15.75" x14ac:dyDescent="0.25">
      <c r="A30" s="193"/>
      <c r="B30" s="194"/>
      <c r="C30" s="195"/>
      <c r="D30" s="200"/>
      <c r="E30" s="195"/>
      <c r="F30" s="161">
        <f t="shared" si="1"/>
        <v>0</v>
      </c>
    </row>
    <row r="31" spans="1:7" ht="15.75" x14ac:dyDescent="0.25">
      <c r="A31" s="193"/>
      <c r="B31" s="194"/>
      <c r="C31" s="195"/>
      <c r="D31" s="200"/>
      <c r="E31" s="195"/>
      <c r="F31" s="161">
        <f t="shared" si="1"/>
        <v>0</v>
      </c>
    </row>
    <row r="32" spans="1:7" ht="18.75" x14ac:dyDescent="0.3">
      <c r="A32" s="193"/>
      <c r="B32" s="194"/>
      <c r="C32" s="195"/>
      <c r="D32" s="200"/>
      <c r="E32" s="195"/>
      <c r="F32" s="161">
        <f t="shared" si="1"/>
        <v>0</v>
      </c>
      <c r="G32" s="162"/>
    </row>
    <row r="33" spans="1:6" ht="15.75" x14ac:dyDescent="0.25">
      <c r="A33" s="193"/>
      <c r="B33" s="194"/>
      <c r="C33" s="195"/>
      <c r="D33" s="200"/>
      <c r="E33" s="195"/>
      <c r="F33" s="161">
        <f t="shared" si="1"/>
        <v>0</v>
      </c>
    </row>
    <row r="34" spans="1:6" ht="15.75" x14ac:dyDescent="0.25">
      <c r="A34" s="193"/>
      <c r="B34" s="194"/>
      <c r="C34" s="195"/>
      <c r="D34" s="200"/>
      <c r="E34" s="195"/>
      <c r="F34" s="161">
        <f t="shared" si="1"/>
        <v>0</v>
      </c>
    </row>
    <row r="35" spans="1:6" ht="15.75" x14ac:dyDescent="0.25">
      <c r="A35" s="193"/>
      <c r="B35" s="194"/>
      <c r="C35" s="195"/>
      <c r="D35" s="200"/>
      <c r="E35" s="195"/>
      <c r="F35" s="161">
        <f t="shared" si="1"/>
        <v>0</v>
      </c>
    </row>
    <row r="36" spans="1:6" ht="15.75" x14ac:dyDescent="0.25">
      <c r="A36" s="193"/>
      <c r="B36" s="194"/>
      <c r="C36" s="195"/>
      <c r="D36" s="200"/>
      <c r="E36" s="195"/>
      <c r="F36" s="161">
        <f t="shared" si="1"/>
        <v>0</v>
      </c>
    </row>
    <row r="37" spans="1:6" ht="15.75" x14ac:dyDescent="0.25">
      <c r="A37" s="193"/>
      <c r="B37" s="194"/>
      <c r="C37" s="195"/>
      <c r="D37" s="200"/>
      <c r="E37" s="195"/>
      <c r="F37" s="161">
        <f t="shared" si="1"/>
        <v>0</v>
      </c>
    </row>
    <row r="38" spans="1:6" ht="15.75" x14ac:dyDescent="0.25">
      <c r="A38" s="193"/>
      <c r="B38" s="194"/>
      <c r="C38" s="195"/>
      <c r="D38" s="200"/>
      <c r="E38" s="195"/>
      <c r="F38" s="161">
        <f t="shared" si="1"/>
        <v>0</v>
      </c>
    </row>
    <row r="39" spans="1:6" ht="15.75" x14ac:dyDescent="0.25">
      <c r="A39" s="193"/>
      <c r="B39" s="194"/>
      <c r="C39" s="195"/>
      <c r="D39" s="200"/>
      <c r="E39" s="195"/>
      <c r="F39" s="161">
        <f t="shared" si="1"/>
        <v>0</v>
      </c>
    </row>
    <row r="40" spans="1:6" ht="15.75" x14ac:dyDescent="0.25">
      <c r="A40" s="193"/>
      <c r="B40" s="194"/>
      <c r="C40" s="195"/>
      <c r="D40" s="200"/>
      <c r="E40" s="195"/>
      <c r="F40" s="161">
        <f t="shared" si="1"/>
        <v>0</v>
      </c>
    </row>
    <row r="41" spans="1:6" ht="15.75" x14ac:dyDescent="0.25">
      <c r="A41" s="193"/>
      <c r="B41" s="194"/>
      <c r="C41" s="195"/>
      <c r="D41" s="200"/>
      <c r="E41" s="195"/>
      <c r="F41" s="161">
        <f t="shared" si="1"/>
        <v>0</v>
      </c>
    </row>
    <row r="42" spans="1:6" ht="15.75" x14ac:dyDescent="0.25">
      <c r="A42" s="193"/>
      <c r="B42" s="194"/>
      <c r="C42" s="195"/>
      <c r="D42" s="200"/>
      <c r="E42" s="195"/>
      <c r="F42" s="161">
        <f t="shared" si="1"/>
        <v>0</v>
      </c>
    </row>
    <row r="43" spans="1:6" ht="15.75" x14ac:dyDescent="0.25">
      <c r="A43" s="193"/>
      <c r="B43" s="194"/>
      <c r="C43" s="195"/>
      <c r="D43" s="200"/>
      <c r="E43" s="195"/>
      <c r="F43" s="161">
        <f t="shared" si="1"/>
        <v>0</v>
      </c>
    </row>
    <row r="44" spans="1:6" ht="15.75" x14ac:dyDescent="0.25">
      <c r="A44" s="193"/>
      <c r="B44" s="194"/>
      <c r="C44" s="195"/>
      <c r="D44" s="200"/>
      <c r="E44" s="195"/>
      <c r="F44" s="161">
        <f t="shared" si="1"/>
        <v>0</v>
      </c>
    </row>
    <row r="45" spans="1:6" ht="15.75" x14ac:dyDescent="0.25">
      <c r="A45" s="193"/>
      <c r="B45" s="194"/>
      <c r="C45" s="195"/>
      <c r="D45" s="200"/>
      <c r="E45" s="195"/>
      <c r="F45" s="161">
        <f t="shared" si="1"/>
        <v>0</v>
      </c>
    </row>
    <row r="46" spans="1:6" ht="15.75" x14ac:dyDescent="0.25">
      <c r="A46" s="193"/>
      <c r="B46" s="194"/>
      <c r="C46" s="195"/>
      <c r="D46" s="200"/>
      <c r="E46" s="195"/>
      <c r="F46" s="161">
        <f t="shared" si="1"/>
        <v>0</v>
      </c>
    </row>
    <row r="47" spans="1:6" ht="15.75" x14ac:dyDescent="0.25">
      <c r="A47" s="193"/>
      <c r="B47" s="194"/>
      <c r="C47" s="195"/>
      <c r="D47" s="200"/>
      <c r="E47" s="195"/>
      <c r="F47" s="161">
        <f t="shared" si="1"/>
        <v>0</v>
      </c>
    </row>
    <row r="48" spans="1:6" ht="15.75" x14ac:dyDescent="0.25">
      <c r="A48" s="193"/>
      <c r="B48" s="194"/>
      <c r="C48" s="195"/>
      <c r="D48" s="200"/>
      <c r="E48" s="195"/>
      <c r="F48" s="161">
        <f t="shared" si="1"/>
        <v>0</v>
      </c>
    </row>
    <row r="49" spans="1:6" ht="15.75" x14ac:dyDescent="0.25">
      <c r="A49" s="193"/>
      <c r="B49" s="194"/>
      <c r="C49" s="195"/>
      <c r="D49" s="200"/>
      <c r="E49" s="195"/>
      <c r="F49" s="161">
        <f t="shared" si="1"/>
        <v>0</v>
      </c>
    </row>
    <row r="50" spans="1:6" ht="15.75" x14ac:dyDescent="0.25">
      <c r="A50" s="193"/>
      <c r="B50" s="194"/>
      <c r="C50" s="195"/>
      <c r="D50" s="200"/>
      <c r="E50" s="195"/>
      <c r="F50" s="161">
        <f t="shared" si="1"/>
        <v>0</v>
      </c>
    </row>
    <row r="51" spans="1:6" ht="15.75" x14ac:dyDescent="0.25">
      <c r="A51" s="193"/>
      <c r="B51" s="194"/>
      <c r="C51" s="195"/>
      <c r="D51" s="200"/>
      <c r="E51" s="195"/>
      <c r="F51" s="161">
        <f t="shared" si="1"/>
        <v>0</v>
      </c>
    </row>
    <row r="52" spans="1:6" ht="15.75" x14ac:dyDescent="0.25">
      <c r="A52" s="193"/>
      <c r="B52" s="194"/>
      <c r="C52" s="195"/>
      <c r="D52" s="200"/>
      <c r="E52" s="195"/>
      <c r="F52" s="161">
        <f t="shared" si="1"/>
        <v>0</v>
      </c>
    </row>
    <row r="53" spans="1:6" ht="15.75" x14ac:dyDescent="0.25">
      <c r="A53" s="159"/>
      <c r="B53" s="160"/>
      <c r="C53" s="86"/>
      <c r="D53" s="159"/>
      <c r="E53" s="86"/>
      <c r="F53" s="161">
        <f t="shared" si="1"/>
        <v>0</v>
      </c>
    </row>
    <row r="54" spans="1:6" ht="15.75" x14ac:dyDescent="0.25">
      <c r="A54" s="159"/>
      <c r="B54" s="160"/>
      <c r="C54" s="86"/>
      <c r="D54" s="159"/>
      <c r="E54" s="86"/>
      <c r="F54" s="161">
        <f t="shared" si="1"/>
        <v>0</v>
      </c>
    </row>
    <row r="55" spans="1:6" ht="15.75" x14ac:dyDescent="0.25">
      <c r="A55" s="159"/>
      <c r="B55" s="160"/>
      <c r="C55" s="86"/>
      <c r="D55" s="159"/>
      <c r="E55" s="86"/>
      <c r="F55" s="161">
        <f t="shared" si="1"/>
        <v>0</v>
      </c>
    </row>
    <row r="56" spans="1:6" ht="15.75" x14ac:dyDescent="0.25">
      <c r="A56" s="163"/>
      <c r="B56" s="160"/>
      <c r="C56" s="86"/>
      <c r="D56" s="159"/>
      <c r="E56" s="86"/>
      <c r="F56" s="161">
        <f t="shared" si="1"/>
        <v>0</v>
      </c>
    </row>
    <row r="57" spans="1:6" ht="15.75" x14ac:dyDescent="0.25">
      <c r="A57" s="163"/>
      <c r="B57" s="160"/>
      <c r="C57" s="86"/>
      <c r="D57" s="159"/>
      <c r="E57" s="86"/>
      <c r="F57" s="161">
        <f t="shared" si="1"/>
        <v>0</v>
      </c>
    </row>
    <row r="58" spans="1:6" ht="15.75" x14ac:dyDescent="0.25">
      <c r="A58" s="163"/>
      <c r="B58" s="160"/>
      <c r="C58" s="86"/>
      <c r="D58" s="159"/>
      <c r="E58" s="86"/>
      <c r="F58" s="161">
        <f t="shared" si="1"/>
        <v>0</v>
      </c>
    </row>
    <row r="59" spans="1:6" ht="15.75" x14ac:dyDescent="0.25">
      <c r="A59" s="159"/>
      <c r="B59" s="160"/>
      <c r="C59" s="86"/>
      <c r="D59" s="159"/>
      <c r="E59" s="86"/>
      <c r="F59" s="161">
        <f t="shared" si="1"/>
        <v>0</v>
      </c>
    </row>
    <row r="60" spans="1:6" ht="15.75" x14ac:dyDescent="0.25">
      <c r="A60" s="159"/>
      <c r="B60" s="160"/>
      <c r="C60" s="86"/>
      <c r="D60" s="159"/>
      <c r="E60" s="86"/>
      <c r="F60" s="161">
        <f t="shared" si="1"/>
        <v>0</v>
      </c>
    </row>
    <row r="61" spans="1:6" ht="15.75" x14ac:dyDescent="0.25">
      <c r="A61" s="159"/>
      <c r="B61" s="160"/>
      <c r="C61" s="86"/>
      <c r="D61" s="159"/>
      <c r="E61" s="86"/>
      <c r="F61" s="161">
        <f t="shared" si="1"/>
        <v>0</v>
      </c>
    </row>
    <row r="62" spans="1:6" ht="15.75" x14ac:dyDescent="0.25">
      <c r="A62" s="163"/>
      <c r="B62" s="160"/>
      <c r="C62" s="86"/>
      <c r="D62" s="159"/>
      <c r="E62" s="86"/>
      <c r="F62" s="161">
        <f t="shared" si="1"/>
        <v>0</v>
      </c>
    </row>
    <row r="63" spans="1:6" ht="15.75" x14ac:dyDescent="0.25">
      <c r="A63" s="163"/>
      <c r="B63" s="160"/>
      <c r="C63" s="86"/>
      <c r="D63" s="159"/>
      <c r="E63" s="86"/>
      <c r="F63" s="161">
        <f t="shared" si="1"/>
        <v>0</v>
      </c>
    </row>
    <row r="64" spans="1:6" ht="16.5" thickBot="1" x14ac:dyDescent="0.3">
      <c r="A64" s="163"/>
      <c r="B64" s="160"/>
      <c r="C64" s="86"/>
      <c r="D64" s="159"/>
      <c r="E64" s="86"/>
      <c r="F64" s="161">
        <f t="shared" si="1"/>
        <v>0</v>
      </c>
    </row>
    <row r="65" spans="1:6" ht="15" hidden="1" customHeight="1" x14ac:dyDescent="0.25">
      <c r="A65" s="164"/>
      <c r="B65" s="165"/>
      <c r="C65" s="166"/>
      <c r="D65" s="159"/>
      <c r="E65" s="86"/>
      <c r="F65" s="161">
        <f t="shared" si="1"/>
        <v>0</v>
      </c>
    </row>
    <row r="66" spans="1:6" ht="16.5" hidden="1" thickBot="1" x14ac:dyDescent="0.3">
      <c r="A66" s="164"/>
      <c r="B66" s="165"/>
      <c r="C66" s="166"/>
      <c r="D66" s="159"/>
      <c r="E66" s="86"/>
      <c r="F66" s="161">
        <f t="shared" si="1"/>
        <v>0</v>
      </c>
    </row>
    <row r="67" spans="1:6" ht="16.5" hidden="1" thickBot="1" x14ac:dyDescent="0.3">
      <c r="A67" s="164"/>
      <c r="B67" s="165"/>
      <c r="C67" s="166"/>
      <c r="D67" s="159"/>
      <c r="E67" s="86"/>
      <c r="F67" s="161">
        <f t="shared" si="1"/>
        <v>0</v>
      </c>
    </row>
    <row r="68" spans="1:6" ht="16.5" hidden="1" thickBot="1" x14ac:dyDescent="0.3">
      <c r="A68" s="164"/>
      <c r="B68" s="165"/>
      <c r="C68" s="166"/>
      <c r="D68" s="159"/>
      <c r="E68" s="86"/>
      <c r="F68" s="161">
        <f t="shared" si="1"/>
        <v>0</v>
      </c>
    </row>
    <row r="69" spans="1:6" ht="16.5" hidden="1" thickBot="1" x14ac:dyDescent="0.3">
      <c r="A69" s="164"/>
      <c r="B69" s="165"/>
      <c r="C69" s="166"/>
      <c r="D69" s="159"/>
      <c r="E69" s="86"/>
      <c r="F69" s="161">
        <f t="shared" si="1"/>
        <v>0</v>
      </c>
    </row>
    <row r="70" spans="1:6" ht="16.5" hidden="1" thickBot="1" x14ac:dyDescent="0.3">
      <c r="A70" s="164"/>
      <c r="B70" s="165"/>
      <c r="C70" s="166"/>
      <c r="D70" s="159"/>
      <c r="E70" s="86"/>
      <c r="F70" s="161">
        <f t="shared" si="1"/>
        <v>0</v>
      </c>
    </row>
    <row r="71" spans="1:6" ht="16.5" hidden="1" thickBot="1" x14ac:dyDescent="0.3">
      <c r="A71" s="164"/>
      <c r="B71" s="165"/>
      <c r="C71" s="166"/>
      <c r="D71" s="159"/>
      <c r="E71" s="86"/>
      <c r="F71" s="161">
        <f t="shared" si="1"/>
        <v>0</v>
      </c>
    </row>
    <row r="72" spans="1:6" ht="16.5" hidden="1" thickBot="1" x14ac:dyDescent="0.3">
      <c r="A72" s="164"/>
      <c r="B72" s="165"/>
      <c r="C72" s="166"/>
      <c r="D72" s="159"/>
      <c r="E72" s="86"/>
      <c r="F72" s="161">
        <f t="shared" si="1"/>
        <v>0</v>
      </c>
    </row>
    <row r="73" spans="1:6" ht="16.5" hidden="1" thickBot="1" x14ac:dyDescent="0.3">
      <c r="A73" s="164"/>
      <c r="B73" s="165"/>
      <c r="C73" s="166"/>
      <c r="D73" s="159"/>
      <c r="E73" s="86"/>
      <c r="F73" s="161">
        <f t="shared" si="1"/>
        <v>0</v>
      </c>
    </row>
    <row r="74" spans="1:6" ht="16.5" hidden="1" thickBot="1" x14ac:dyDescent="0.3">
      <c r="A74" s="164"/>
      <c r="B74" s="165"/>
      <c r="C74" s="166"/>
      <c r="D74" s="159"/>
      <c r="E74" s="86"/>
      <c r="F74" s="161">
        <f t="shared" si="1"/>
        <v>0</v>
      </c>
    </row>
    <row r="75" spans="1:6" ht="16.5" hidden="1" thickBot="1" x14ac:dyDescent="0.3">
      <c r="A75" s="164"/>
      <c r="B75" s="165"/>
      <c r="C75" s="166"/>
      <c r="D75" s="159"/>
      <c r="E75" s="86"/>
      <c r="F75" s="161">
        <f t="shared" ref="F75:F99" si="2">F74+C75-E75</f>
        <v>0</v>
      </c>
    </row>
    <row r="76" spans="1:6" ht="16.5" hidden="1" thickBot="1" x14ac:dyDescent="0.3">
      <c r="A76" s="164"/>
      <c r="B76" s="165"/>
      <c r="C76" s="166"/>
      <c r="D76" s="159"/>
      <c r="E76" s="86"/>
      <c r="F76" s="161">
        <f t="shared" si="2"/>
        <v>0</v>
      </c>
    </row>
    <row r="77" spans="1:6" ht="16.5" hidden="1" thickBot="1" x14ac:dyDescent="0.3">
      <c r="A77" s="164"/>
      <c r="B77" s="165"/>
      <c r="C77" s="166"/>
      <c r="D77" s="159"/>
      <c r="E77" s="86"/>
      <c r="F77" s="161">
        <f t="shared" si="2"/>
        <v>0</v>
      </c>
    </row>
    <row r="78" spans="1:6" ht="16.5" hidden="1" thickBot="1" x14ac:dyDescent="0.3">
      <c r="A78" s="164"/>
      <c r="B78" s="165"/>
      <c r="C78" s="166"/>
      <c r="D78" s="159"/>
      <c r="E78" s="86"/>
      <c r="F78" s="161">
        <f t="shared" si="2"/>
        <v>0</v>
      </c>
    </row>
    <row r="79" spans="1:6" ht="16.5" hidden="1" thickBot="1" x14ac:dyDescent="0.3">
      <c r="A79" s="164"/>
      <c r="B79" s="165"/>
      <c r="C79" s="166"/>
      <c r="D79" s="159"/>
      <c r="E79" s="86"/>
      <c r="F79" s="161">
        <f t="shared" si="2"/>
        <v>0</v>
      </c>
    </row>
    <row r="80" spans="1:6" ht="16.5" hidden="1" thickBot="1" x14ac:dyDescent="0.3">
      <c r="A80" s="164"/>
      <c r="B80" s="165"/>
      <c r="C80" s="166"/>
      <c r="D80" s="159"/>
      <c r="E80" s="86"/>
      <c r="F80" s="161">
        <f t="shared" si="2"/>
        <v>0</v>
      </c>
    </row>
    <row r="81" spans="1:6" ht="16.5" hidden="1" thickBot="1" x14ac:dyDescent="0.3">
      <c r="A81" s="164"/>
      <c r="B81" s="165"/>
      <c r="C81" s="166"/>
      <c r="D81" s="159"/>
      <c r="E81" s="86"/>
      <c r="F81" s="161">
        <f t="shared" si="2"/>
        <v>0</v>
      </c>
    </row>
    <row r="82" spans="1:6" ht="16.5" hidden="1" thickBot="1" x14ac:dyDescent="0.3">
      <c r="A82" s="164"/>
      <c r="B82" s="165"/>
      <c r="C82" s="166"/>
      <c r="D82" s="159"/>
      <c r="E82" s="86"/>
      <c r="F82" s="161">
        <f t="shared" si="2"/>
        <v>0</v>
      </c>
    </row>
    <row r="83" spans="1:6" ht="16.5" hidden="1" thickBot="1" x14ac:dyDescent="0.3">
      <c r="A83" s="167"/>
      <c r="B83" s="168"/>
      <c r="C83" s="169"/>
      <c r="D83" s="170"/>
      <c r="E83" s="34"/>
      <c r="F83" s="161">
        <f t="shared" si="2"/>
        <v>0</v>
      </c>
    </row>
    <row r="84" spans="1:6" ht="16.5" hidden="1" thickBot="1" x14ac:dyDescent="0.3">
      <c r="A84" s="167"/>
      <c r="B84" s="168"/>
      <c r="C84" s="169"/>
      <c r="D84" s="170"/>
      <c r="E84" s="34"/>
      <c r="F84" s="161">
        <f t="shared" si="2"/>
        <v>0</v>
      </c>
    </row>
    <row r="85" spans="1:6" ht="16.5" hidden="1" thickBot="1" x14ac:dyDescent="0.3">
      <c r="A85" s="167"/>
      <c r="B85" s="168"/>
      <c r="C85" s="169"/>
      <c r="D85" s="170"/>
      <c r="E85" s="34"/>
      <c r="F85" s="161">
        <f t="shared" si="2"/>
        <v>0</v>
      </c>
    </row>
    <row r="86" spans="1:6" ht="16.5" hidden="1" thickBot="1" x14ac:dyDescent="0.3">
      <c r="A86" s="167"/>
      <c r="B86" s="168"/>
      <c r="C86" s="169"/>
      <c r="D86" s="170"/>
      <c r="E86" s="34"/>
      <c r="F86" s="161">
        <f t="shared" si="2"/>
        <v>0</v>
      </c>
    </row>
    <row r="87" spans="1:6" ht="16.5" hidden="1" thickBot="1" x14ac:dyDescent="0.3">
      <c r="A87" s="167"/>
      <c r="B87" s="168"/>
      <c r="C87" s="169"/>
      <c r="D87" s="170"/>
      <c r="E87" s="34"/>
      <c r="F87" s="161">
        <f t="shared" si="2"/>
        <v>0</v>
      </c>
    </row>
    <row r="88" spans="1:6" ht="16.5" hidden="1" thickBot="1" x14ac:dyDescent="0.3">
      <c r="A88" s="167"/>
      <c r="B88" s="168"/>
      <c r="C88" s="169"/>
      <c r="D88" s="170"/>
      <c r="E88" s="34"/>
      <c r="F88" s="161">
        <f t="shared" si="2"/>
        <v>0</v>
      </c>
    </row>
    <row r="89" spans="1:6" ht="16.5" hidden="1" thickBot="1" x14ac:dyDescent="0.3">
      <c r="A89" s="164"/>
      <c r="B89" s="165"/>
      <c r="C89" s="166"/>
      <c r="D89" s="171"/>
      <c r="E89" s="86"/>
      <c r="F89" s="161">
        <f t="shared" si="2"/>
        <v>0</v>
      </c>
    </row>
    <row r="90" spans="1:6" ht="16.5" hidden="1" thickBot="1" x14ac:dyDescent="0.3">
      <c r="A90" s="164"/>
      <c r="B90" s="165"/>
      <c r="C90" s="166"/>
      <c r="D90" s="171"/>
      <c r="E90" s="86"/>
      <c r="F90" s="161">
        <f t="shared" si="2"/>
        <v>0</v>
      </c>
    </row>
    <row r="91" spans="1:6" ht="16.5" hidden="1" thickBot="1" x14ac:dyDescent="0.3">
      <c r="A91" s="164"/>
      <c r="B91" s="165"/>
      <c r="C91" s="166"/>
      <c r="D91" s="171"/>
      <c r="E91" s="86"/>
      <c r="F91" s="161">
        <f t="shared" si="2"/>
        <v>0</v>
      </c>
    </row>
    <row r="92" spans="1:6" ht="16.5" hidden="1" thickBot="1" x14ac:dyDescent="0.3">
      <c r="A92" s="164"/>
      <c r="B92" s="165"/>
      <c r="C92" s="166"/>
      <c r="D92" s="171"/>
      <c r="E92" s="86"/>
      <c r="F92" s="161">
        <f t="shared" si="2"/>
        <v>0</v>
      </c>
    </row>
    <row r="93" spans="1:6" ht="16.5" hidden="1" thickBot="1" x14ac:dyDescent="0.3">
      <c r="A93" s="164"/>
      <c r="B93" s="165"/>
      <c r="C93" s="166"/>
      <c r="D93" s="171"/>
      <c r="E93" s="86"/>
      <c r="F93" s="161">
        <f t="shared" si="2"/>
        <v>0</v>
      </c>
    </row>
    <row r="94" spans="1:6" ht="16.5" hidden="1" thickBot="1" x14ac:dyDescent="0.3">
      <c r="A94" s="164"/>
      <c r="B94" s="165"/>
      <c r="C94" s="166"/>
      <c r="D94" s="171"/>
      <c r="E94" s="86"/>
      <c r="F94" s="161">
        <f t="shared" si="2"/>
        <v>0</v>
      </c>
    </row>
    <row r="95" spans="1:6" ht="16.5" hidden="1" thickBot="1" x14ac:dyDescent="0.3">
      <c r="A95" s="164"/>
      <c r="B95" s="165"/>
      <c r="C95" s="166"/>
      <c r="D95" s="171"/>
      <c r="E95" s="86"/>
      <c r="F95" s="161">
        <f t="shared" si="2"/>
        <v>0</v>
      </c>
    </row>
    <row r="96" spans="1:6" ht="16.5" hidden="1" thickBot="1" x14ac:dyDescent="0.3">
      <c r="A96" s="164"/>
      <c r="B96" s="165"/>
      <c r="C96" s="166"/>
      <c r="D96" s="171"/>
      <c r="E96" s="86"/>
      <c r="F96" s="161">
        <f t="shared" si="2"/>
        <v>0</v>
      </c>
    </row>
    <row r="97" spans="1:6" ht="16.5" hidden="1" thickBot="1" x14ac:dyDescent="0.3">
      <c r="A97" s="164"/>
      <c r="B97" s="165"/>
      <c r="C97" s="166"/>
      <c r="D97" s="171"/>
      <c r="E97" s="86"/>
      <c r="F97" s="161">
        <f t="shared" si="2"/>
        <v>0</v>
      </c>
    </row>
    <row r="98" spans="1:6" ht="16.5" hidden="1" thickBot="1" x14ac:dyDescent="0.3">
      <c r="A98" s="164"/>
      <c r="B98" s="165"/>
      <c r="C98" s="166"/>
      <c r="D98" s="171"/>
      <c r="E98" s="86"/>
      <c r="F98" s="161">
        <f t="shared" si="2"/>
        <v>0</v>
      </c>
    </row>
    <row r="99" spans="1:6" ht="16.5" hidden="1" thickBot="1" x14ac:dyDescent="0.3">
      <c r="A99" s="172"/>
      <c r="B99" s="173"/>
      <c r="C99" s="34">
        <v>0</v>
      </c>
      <c r="D99" s="174"/>
      <c r="E99" s="34"/>
      <c r="F99" s="161">
        <f t="shared" si="2"/>
        <v>0</v>
      </c>
    </row>
    <row r="100" spans="1:6" ht="19.5" thickBot="1" x14ac:dyDescent="0.35">
      <c r="A100" s="175"/>
      <c r="B100" s="176"/>
      <c r="C100" s="177">
        <f>SUM(C5:C99)</f>
        <v>0</v>
      </c>
      <c r="D100" s="189"/>
      <c r="E100" s="178">
        <f>SUM(E5:E99)</f>
        <v>0</v>
      </c>
      <c r="F100" s="179">
        <f>F99</f>
        <v>0</v>
      </c>
    </row>
    <row r="101" spans="1:6" x14ac:dyDescent="0.25">
      <c r="D101" s="170"/>
    </row>
    <row r="102" spans="1:6" x14ac:dyDescent="0.25">
      <c r="D102" s="170"/>
    </row>
    <row r="103" spans="1:6" x14ac:dyDescent="0.25">
      <c r="B103" s="190"/>
    </row>
    <row r="104" spans="1:6" x14ac:dyDescent="0.25">
      <c r="B104" s="190"/>
    </row>
    <row r="105" spans="1:6" x14ac:dyDescent="0.25">
      <c r="B105" s="190"/>
    </row>
    <row r="106" spans="1:6" x14ac:dyDescent="0.25">
      <c r="B106" s="190"/>
      <c r="F106" s="117"/>
    </row>
    <row r="107" spans="1:6" x14ac:dyDescent="0.25">
      <c r="B107" s="190"/>
      <c r="F107" s="117"/>
    </row>
    <row r="108" spans="1:6" x14ac:dyDescent="0.25">
      <c r="B108" s="190"/>
      <c r="F108" s="117"/>
    </row>
    <row r="109" spans="1:6" x14ac:dyDescent="0.25">
      <c r="B109" s="190"/>
      <c r="F109" s="117"/>
    </row>
    <row r="110" spans="1:6" x14ac:dyDescent="0.25">
      <c r="B110" s="190"/>
      <c r="F110" s="117"/>
    </row>
    <row r="111" spans="1:6" x14ac:dyDescent="0.25">
      <c r="B111" s="190"/>
      <c r="F111" s="117"/>
    </row>
    <row r="112" spans="1:6" x14ac:dyDescent="0.25">
      <c r="B112" s="190"/>
      <c r="F112" s="117"/>
    </row>
    <row r="113" spans="2:6" x14ac:dyDescent="0.25">
      <c r="B113" s="190"/>
      <c r="F113" s="117"/>
    </row>
    <row r="114" spans="2:6" x14ac:dyDescent="0.25">
      <c r="B114" s="190"/>
      <c r="F114" s="117"/>
    </row>
    <row r="115" spans="2:6" x14ac:dyDescent="0.25">
      <c r="B115" s="190"/>
      <c r="E115" s="117"/>
      <c r="F115" s="117"/>
    </row>
    <row r="116" spans="2:6" x14ac:dyDescent="0.25">
      <c r="B116" s="190"/>
      <c r="E116" s="117"/>
      <c r="F116" s="117"/>
    </row>
    <row r="117" spans="2:6" x14ac:dyDescent="0.25">
      <c r="B117" s="190"/>
      <c r="E117" s="117"/>
      <c r="F117" s="117"/>
    </row>
    <row r="118" spans="2:6" x14ac:dyDescent="0.25">
      <c r="B118" s="190"/>
      <c r="E118" s="117"/>
      <c r="F118" s="117"/>
    </row>
    <row r="119" spans="2:6" x14ac:dyDescent="0.25">
      <c r="B119" s="190"/>
      <c r="E119" s="117"/>
      <c r="F119" s="117"/>
    </row>
    <row r="120" spans="2:6" x14ac:dyDescent="0.25">
      <c r="B120" s="190"/>
      <c r="E120" s="117"/>
      <c r="F120" s="117"/>
    </row>
    <row r="121" spans="2:6" x14ac:dyDescent="0.25">
      <c r="B121" s="190"/>
      <c r="E121" s="117"/>
    </row>
    <row r="122" spans="2:6" x14ac:dyDescent="0.25">
      <c r="B122" s="190"/>
      <c r="E122" s="117"/>
    </row>
    <row r="123" spans="2:6" x14ac:dyDescent="0.25">
      <c r="B123" s="190"/>
      <c r="E123" s="117"/>
    </row>
    <row r="124" spans="2:6" x14ac:dyDescent="0.25">
      <c r="B124" s="190"/>
      <c r="E124" s="117"/>
    </row>
    <row r="125" spans="2:6" x14ac:dyDescent="0.25">
      <c r="B125" s="190"/>
      <c r="E125" s="117"/>
    </row>
    <row r="126" spans="2:6" x14ac:dyDescent="0.25">
      <c r="B126" s="190"/>
      <c r="E126" s="117"/>
    </row>
    <row r="127" spans="2:6" x14ac:dyDescent="0.25">
      <c r="B127" s="190"/>
      <c r="E127" s="117"/>
    </row>
    <row r="128" spans="2:6" x14ac:dyDescent="0.25">
      <c r="B128" s="190"/>
      <c r="E128" s="117"/>
    </row>
    <row r="129" spans="2:5" x14ac:dyDescent="0.25">
      <c r="B129" s="190"/>
      <c r="E129" s="117"/>
    </row>
    <row r="130" spans="2:5" x14ac:dyDescent="0.25">
      <c r="B130" s="190"/>
    </row>
    <row r="131" spans="2:5" x14ac:dyDescent="0.25">
      <c r="B131" s="190"/>
    </row>
    <row r="132" spans="2:5" x14ac:dyDescent="0.25">
      <c r="B132" s="190"/>
    </row>
    <row r="133" spans="2:5" x14ac:dyDescent="0.25">
      <c r="B133" s="190"/>
    </row>
    <row r="134" spans="2:5" x14ac:dyDescent="0.25">
      <c r="B134" s="190"/>
    </row>
    <row r="135" spans="2:5" x14ac:dyDescent="0.25">
      <c r="B135" s="190"/>
    </row>
    <row r="136" spans="2:5" ht="18.75" x14ac:dyDescent="0.3">
      <c r="C136" s="18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 N E R O    2 0 2 2         </vt:lpstr>
      <vt:lpstr>REMISIONES    ENERO    2 0 2 2 </vt:lpstr>
      <vt:lpstr>F E B R E R O      2 0 2 2     </vt:lpstr>
      <vt:lpstr>REMISIONES  FEBRERO   2 0 2 2  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2022-01-21T15:44:41Z</cp:lastPrinted>
  <dcterms:created xsi:type="dcterms:W3CDTF">2022-01-21T15:38:45Z</dcterms:created>
  <dcterms:modified xsi:type="dcterms:W3CDTF">2022-02-15T16:34:51Z</dcterms:modified>
</cp:coreProperties>
</file>