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r:id="rId6"/>
    <sheet name="PUNTAS DE CAÑA DE LOMO  " sheetId="208" state="hidden" r:id="rId7"/>
    <sheet name="PIERNA  S H    DE CERDO   VAC  " sheetId="226" state="hidden" r:id="rId8"/>
    <sheet name="    CANAL     DE    R ES    " sheetId="237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  DE   L O M O    " sheetId="139" r:id="rId44"/>
    <sheet name="C A M A R O N E S      " sheetId="188" r:id="rId45"/>
    <sheet name="  PUNTAS   DE    CHULETA   " sheetId="205" state="hidden" r:id="rId46"/>
    <sheet name="PIERNA    SH   CONGELADA   " sheetId="190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COSTILLA    AGUJA    E V " sheetId="224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7" i="38" l="1"/>
  <c r="H157" i="38"/>
  <c r="S119" i="38" l="1"/>
  <c r="T119" i="38" s="1"/>
  <c r="F157" i="38" l="1"/>
  <c r="P22" i="65" l="1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P98" i="65"/>
  <c r="R98" i="65" s="1"/>
  <c r="W98" i="65" s="1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P87" i="65"/>
  <c r="R87" i="65" s="1"/>
  <c r="W87" i="65" s="1"/>
  <c r="R86" i="65"/>
  <c r="W86" i="65" s="1"/>
  <c r="P86" i="65"/>
  <c r="P85" i="65"/>
  <c r="R85" i="65" s="1"/>
  <c r="W85" i="65" s="1"/>
  <c r="W84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P70" i="65"/>
  <c r="R70" i="65" s="1"/>
  <c r="W70" i="65" s="1"/>
  <c r="R69" i="65"/>
  <c r="W69" i="65" s="1"/>
  <c r="P69" i="65"/>
  <c r="P68" i="65"/>
  <c r="R68" i="65" s="1"/>
  <c r="W68" i="65" s="1"/>
  <c r="W67" i="65"/>
  <c r="R67" i="65"/>
  <c r="P67" i="65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W60" i="65"/>
  <c r="P60" i="65"/>
  <c r="R60" i="65" s="1"/>
  <c r="R59" i="65"/>
  <c r="W59" i="65" s="1"/>
  <c r="P59" i="65"/>
  <c r="P58" i="65"/>
  <c r="R58" i="65" s="1"/>
  <c r="W58" i="65" s="1"/>
  <c r="R57" i="65"/>
  <c r="W57" i="65" s="1"/>
  <c r="P57" i="65"/>
  <c r="P56" i="65"/>
  <c r="R56" i="65" s="1"/>
  <c r="W56" i="65" s="1"/>
  <c r="W55" i="65"/>
  <c r="R55" i="65"/>
  <c r="P55" i="65"/>
  <c r="W54" i="65"/>
  <c r="R54" i="65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W47" i="65"/>
  <c r="R47" i="65"/>
  <c r="P47" i="65"/>
  <c r="W46" i="65"/>
  <c r="R46" i="65"/>
  <c r="P46" i="65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R41" i="65"/>
  <c r="W41" i="65" s="1"/>
  <c r="P41" i="65"/>
  <c r="P40" i="65"/>
  <c r="R40" i="65" s="1"/>
  <c r="W40" i="65" s="1"/>
  <c r="W39" i="65"/>
  <c r="R39" i="65"/>
  <c r="P39" i="65"/>
  <c r="W38" i="65"/>
  <c r="R38" i="65"/>
  <c r="P38" i="65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W31" i="65"/>
  <c r="R31" i="65"/>
  <c r="P31" i="65"/>
  <c r="W30" i="65"/>
  <c r="R30" i="65"/>
  <c r="P30" i="65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R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27" i="159"/>
  <c r="I24" i="159"/>
  <c r="I23" i="159"/>
  <c r="I12" i="159"/>
  <c r="I13" i="159"/>
  <c r="I14" i="159" s="1"/>
  <c r="I15" i="159" s="1"/>
  <c r="I16" i="159" s="1"/>
  <c r="I17" i="159" s="1"/>
  <c r="I18" i="159" s="1"/>
  <c r="I19" i="159" s="1"/>
  <c r="I20" i="159" s="1"/>
  <c r="I21" i="159" s="1"/>
  <c r="I22" i="159" s="1"/>
  <c r="I11" i="159"/>
  <c r="I10" i="159"/>
  <c r="P11" i="159"/>
  <c r="P12" i="159"/>
  <c r="P10" i="159"/>
  <c r="F31" i="159"/>
  <c r="F3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Q113" i="65" l="1"/>
  <c r="S5" i="65"/>
  <c r="T5" i="65" s="1"/>
  <c r="F79" i="238"/>
  <c r="E84" i="238" l="1"/>
  <c r="G6" i="238"/>
  <c r="H6" i="238" s="1"/>
  <c r="X27" i="219" l="1"/>
  <c r="W27" i="219"/>
  <c r="Z30" i="219" s="1"/>
  <c r="U27" i="219"/>
  <c r="Z26" i="219"/>
  <c r="Z25" i="219"/>
  <c r="Z24" i="219"/>
  <c r="Z23" i="219"/>
  <c r="Z22" i="219"/>
  <c r="Z21" i="219"/>
  <c r="Z20" i="219"/>
  <c r="Z19" i="219"/>
  <c r="Z18" i="219"/>
  <c r="Z17" i="219"/>
  <c r="Z16" i="219"/>
  <c r="Z15" i="219"/>
  <c r="Z14" i="219"/>
  <c r="Z13" i="219"/>
  <c r="Z12" i="219"/>
  <c r="Z11" i="219"/>
  <c r="Z10" i="219"/>
  <c r="Z9" i="219"/>
  <c r="AC9" i="219" s="1"/>
  <c r="AC10" i="219" s="1"/>
  <c r="V9" i="219"/>
  <c r="V10" i="219" s="1"/>
  <c r="V11" i="219" s="1"/>
  <c r="V12" i="219" s="1"/>
  <c r="V13" i="219" s="1"/>
  <c r="V14" i="219" s="1"/>
  <c r="V15" i="219" s="1"/>
  <c r="V16" i="219" s="1"/>
  <c r="V17" i="219" s="1"/>
  <c r="V18" i="219" s="1"/>
  <c r="V19" i="219" s="1"/>
  <c r="V20" i="219" s="1"/>
  <c r="V21" i="219" s="1"/>
  <c r="V22" i="219" s="1"/>
  <c r="V23" i="219" s="1"/>
  <c r="V24" i="219" s="1"/>
  <c r="V25" i="219" s="1"/>
  <c r="V26" i="219" s="1"/>
  <c r="AC11" i="219" l="1"/>
  <c r="AC12" i="219" s="1"/>
  <c r="AC13" i="219" s="1"/>
  <c r="AC14" i="219" s="1"/>
  <c r="AC15" i="219" s="1"/>
  <c r="AC16" i="219" s="1"/>
  <c r="AC17" i="219" s="1"/>
  <c r="AC18" i="219" s="1"/>
  <c r="AC19" i="219" s="1"/>
  <c r="AC20" i="219" s="1"/>
  <c r="AC21" i="219" s="1"/>
  <c r="AC22" i="219" s="1"/>
  <c r="AC23" i="219" s="1"/>
  <c r="AC24" i="219" s="1"/>
  <c r="AC25" i="219" s="1"/>
  <c r="AC26" i="219" s="1"/>
  <c r="Z27" i="219"/>
  <c r="AA5" i="219" s="1"/>
  <c r="Z29" i="219" l="1"/>
  <c r="AB6" i="219"/>
  <c r="J11" i="231" l="1"/>
  <c r="H5" i="14"/>
  <c r="D10" i="210" l="1"/>
  <c r="Q8" i="38" l="1"/>
  <c r="Q24" i="38" l="1"/>
  <c r="Q31" i="38" l="1"/>
  <c r="Q18" i="38" l="1"/>
  <c r="Q37" i="38" l="1"/>
  <c r="Q27" i="38" l="1"/>
  <c r="S145" i="38" l="1"/>
  <c r="T145" i="38" s="1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 s="1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G5" i="237" l="1"/>
  <c r="I9" i="237" s="1"/>
  <c r="AB30" i="189"/>
  <c r="H6" i="237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l="1"/>
  <c r="H7" i="231"/>
  <c r="G34" i="23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J78" i="188" l="1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1" i="194" l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AK6" i="188"/>
  <c r="AL6" i="188" s="1"/>
  <c r="P35" i="194"/>
  <c r="O40" i="194" s="1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 s="1"/>
  <c r="I107" i="38"/>
  <c r="Q105" i="38" l="1"/>
  <c r="Q1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U55" i="129"/>
  <c r="Q55" i="129"/>
  <c r="Q54" i="129"/>
  <c r="U54" i="129" s="1"/>
  <c r="U53" i="129"/>
  <c r="Q53" i="129"/>
  <c r="Q52" i="129"/>
  <c r="U52" i="129" s="1"/>
  <c r="U51" i="129"/>
  <c r="Q51" i="129"/>
  <c r="Q50" i="129"/>
  <c r="U50" i="129" s="1"/>
  <c r="Q49" i="129"/>
  <c r="U49" i="129" s="1"/>
  <c r="Q48" i="129"/>
  <c r="U48" i="129" s="1"/>
  <c r="U47" i="129"/>
  <c r="Q47" i="129"/>
  <c r="Q46" i="129"/>
  <c r="U46" i="129" s="1"/>
  <c r="U45" i="129"/>
  <c r="Q45" i="129"/>
  <c r="Q44" i="129"/>
  <c r="U44" i="129" s="1"/>
  <c r="U43" i="129"/>
  <c r="Q43" i="129"/>
  <c r="Q42" i="129"/>
  <c r="U42" i="129" s="1"/>
  <c r="U41" i="129"/>
  <c r="Q41" i="129"/>
  <c r="Q40" i="129"/>
  <c r="U40" i="129" s="1"/>
  <c r="U39" i="129"/>
  <c r="Q39" i="129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T10" i="129" l="1"/>
  <c r="S11" i="219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Q30" i="220"/>
  <c r="Q30" i="189"/>
  <c r="R5" i="189" s="1"/>
  <c r="S5" i="189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27" i="219"/>
  <c r="Q9" i="38"/>
  <c r="P33" i="189" l="1"/>
  <c r="R6" i="129"/>
  <c r="S6" i="129" s="1"/>
  <c r="P29" i="219"/>
  <c r="Q6" i="219"/>
  <c r="R6" i="21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P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L1" i="54"/>
  <c r="F41" i="210" l="1"/>
  <c r="O40" i="159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W29" i="1" l="1"/>
  <c r="S29" i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P73" i="54" l="1"/>
  <c r="D18" i="129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29" i="159"/>
  <c r="F28" i="159"/>
  <c r="F26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25" i="159"/>
  <c r="I26" i="159" s="1"/>
  <c r="I27" i="159" s="1"/>
  <c r="I28" i="159" s="1"/>
  <c r="I29" i="159" s="1"/>
  <c r="I30" i="159" s="1"/>
  <c r="I31" i="159" s="1"/>
  <c r="I32" i="159" s="1"/>
  <c r="I33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T21" i="38" s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<sst xmlns="http://schemas.openxmlformats.org/spreadsheetml/2006/main" count="4603" uniqueCount="805">
  <si>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</si>
  <si>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</si>
  <si>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</si>
  <si>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</si>
  <si>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</si>
  <si>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</si>
  <si>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</si>
  <si>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</si>
  <si>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</si>
  <si>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</si>
  <si>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</si>
  <si>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</si>
  <si>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</si>
  <si>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</si>
  <si>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</si>
  <si>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</si>
  <si>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</si>
  <si>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</si>
  <si>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</si>
  <si>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</si>
  <si>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</si>
  <si>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</si>
  <si>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</si>
  <si>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</si>
  <si>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</si>
  <si>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</si>
  <si>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</si>
  <si>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</si>
  <si>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</si>
  <si>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</si>
  <si>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</si>
  <si>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</si>
  <si>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</si>
  <si>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</si>
  <si>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</si>
  <si>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</si>
  <si>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</si>
  <si>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</si>
  <si>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</si>
  <si>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</si>
  <si>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</si>
  <si>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</si>
  <si>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</si>
  <si>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</si>
  <si>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</si>
  <si>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</si>
  <si>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</si>
  <si>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</si>
  <si>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</si>
  <si>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</si>
  <si>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</si>
  <si>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</si>
  <si>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</si>
  <si>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</si>
  <si>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</si>
  <si>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</si>
  <si>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</si>
  <si>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</si>
  <si>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</si>
  <si>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</si>
  <si>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</si>
  <si>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</si>
  <si>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</si>
  <si>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</si>
  <si>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</si>
  <si>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</si>
  <si>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</si>
  <si>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</si>
  <si>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</si>
  <si>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</si>
  <si>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</si>
  <si>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</si>
  <si>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</si>
  <si>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</si>
  <si>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</si>
  <si>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</si>
  <si>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</si>
  <si>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</si>
  <si>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</si>
  <si>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</si>
  <si>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</si>
  <si>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</si>
  <si>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</si>
  <si>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</si>
  <si>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</si>
  <si>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</si>
  <si>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</si>
  <si>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</si>
  <si>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</si>
  <si>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</si>
  <si>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</si>
  <si>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</si>
  <si>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</si>
  <si>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</si>
  <si>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</si>
  <si>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</si>
  <si>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</si>
  <si>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</si>
  <si>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</si>
  <si>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</si>
  <si>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</si>
  <si>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</si>
  <si>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</si>
  <si>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</si>
  <si>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</si>
  <si>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</si>
  <si>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</si>
  <si>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</si>
  <si>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</si>
  <si>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</si>
  <si>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</si>
  <si>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</si>
  <si>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</si>
  <si>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</si>
  <si>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</si>
  <si>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</si>
  <si>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</si>
  <si>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</si>
  <si>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</si>
  <si>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</si>
  <si>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</si>
  <si>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</si>
  <si>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</si>
  <si>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</si>
  <si>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</si>
  <si>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</si>
  <si>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</si>
  <si>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</si>
  <si>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</si>
  <si>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</si>
  <si>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</si>
  <si>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</si>
  <si>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</si>
  <si>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</si>
  <si>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</si>
  <si>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</si>
  <si>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</si>
  <si>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</si>
  <si>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</si>
  <si>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</si>
  <si>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</si>
  <si>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</si>
  <si>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</si>
  <si>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</si>
  <si>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</si>
  <si>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</si>
  <si>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</si>
  <si>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</si>
  <si>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</si>
  <si>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</si>
  <si>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</si>
  <si>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</si>
  <si>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</si>
  <si>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</si>
  <si>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</si>
  <si>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</si>
  <si>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</si>
  <si>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</si>
  <si>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</si>
  <si>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</si>
  <si>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</si>
  <si>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</si>
  <si>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</si>
  <si>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</si>
  <si>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</si>
  <si>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</si>
  <si>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</si>
  <si>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</si>
  <si>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</si>
  <si>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</si>
  <si>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</si>
  <si>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</si>
  <si>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</si>
  <si>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</si>
  <si>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</si>
  <si>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</si>
  <si>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</si>
  <si>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</si>
  <si>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</si>
  <si>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</si>
  <si>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</si>
  <si>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</si>
  <si>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</si>
  <si>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</si>
  <si>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</si>
  <si>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</si>
  <si>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</si>
  <si>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</si>
  <si>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</si>
  <si>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</si>
  <si>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</si>
  <si>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</si>
  <si>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</si>
  <si>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</si>
  <si>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</si>
  <si>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</si>
  <si>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</si>
  <si>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</si>
  <si>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</si>
  <si>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</si>
  <si>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</si>
  <si>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</si>
  <si>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</si>
  <si>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</si>
  <si>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</si>
  <si>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</si>
  <si>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</si>
  <si>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</si>
  <si>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</si>
  <si>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</si>
  <si>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</si>
  <si>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</si>
  <si>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</si>
  <si>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</si>
  <si>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</si>
  <si>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</si>
  <si>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</si>
  <si>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</si>
  <si>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</si>
  <si>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</si>
  <si>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</si>
  <si>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</si>
  <si>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</si>
  <si>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</si>
  <si>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</si>
  <si>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</si>
  <si>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</si>
  <si>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</si>
  <si>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</si>
  <si>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</si>
  <si>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</si>
  <si>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</si>
  <si>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</si>
  <si>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</si>
  <si>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</si>
  <si>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</si>
  <si>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</si>
  <si>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</si>
  <si>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</si>
  <si>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</si>
  <si>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</si>
  <si>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</si>
  <si>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</si>
  <si>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</si>
  <si>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</si>
  <si>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</si>
  <si>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</si>
  <si>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</si>
  <si>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</si>
  <si>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</si>
  <si>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</si>
  <si>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</si>
  <si>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</si>
  <si>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</si>
  <si>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</si>
  <si>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</si>
  <si>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</si>
  <si>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</si>
  <si>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</si>
  <si>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</si>
  <si>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</si>
  <si>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</si>
  <si>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</si>
  <si>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</si>
  <si>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</si>
  <si>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</si>
  <si>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</si>
  <si>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</si>
  <si>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</si>
  <si>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</si>
  <si>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</si>
  <si>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</si>
  <si>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</si>
  <si>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</si>
  <si>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</si>
  <si>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</si>
  <si>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</si>
  <si>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</si>
  <si>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</si>
  <si>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</si>
  <si>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</si>
  <si>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</si>
  <si>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</si>
  <si>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</si>
  <si>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</si>
  <si>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</si>
  <si>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</si>
  <si>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</si>
  <si>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</si>
  <si>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</si>
  <si>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</si>
  <si>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</si>
  <si>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</si>
  <si>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</si>
  <si>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</si>
  <si>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</si>
  <si>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</si>
  <si>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</si>
  <si>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</si>
  <si>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</si>
  <si>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</si>
  <si>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</si>
  <si>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</si>
  <si>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</si>
  <si>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</si>
  <si>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</si>
  <si>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</si>
  <si>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</si>
  <si>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</si>
  <si>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</si>
  <si>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</si>
  <si>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</si>
  <si>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</si>
  <si>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</si>
  <si>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</si>
  <si>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</si>
  <si>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</si>
  <si>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</si>
  <si>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</si>
  <si>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</si>
  <si>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</si>
  <si>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</si>
  <si>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</si>
  <si>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</si>
  <si>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</si>
  <si>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</si>
  <si>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</si>
  <si>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</si>
  <si>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</si>
  <si>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</si>
  <si>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</si>
  <si>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</si>
  <si>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</si>
  <si>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</si>
  <si>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</si>
  <si>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</si>
  <si>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</si>
  <si>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</si>
  <si>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</si>
  <si>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</si>
  <si>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</si>
  <si>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</si>
  <si>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</si>
  <si>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</si>
  <si>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</si>
  <si>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</si>
  <si>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</si>
  <si>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</si>
  <si>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</si>
  <si>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</si>
  <si>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</si>
  <si>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</si>
  <si>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</si>
  <si>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</si>
  <si>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</si>
  <si>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</si>
  <si>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</si>
  <si>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</si>
  <si>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</si>
  <si>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</si>
  <si>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</si>
  <si>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</si>
  <si>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</si>
  <si>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</si>
  <si>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</si>
  <si>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</si>
  <si>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</si>
  <si>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</si>
  <si>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</si>
  <si>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</si>
  <si>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</si>
  <si>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</si>
  <si>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</si>
  <si>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</si>
  <si>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</si>
  <si>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</si>
  <si>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</si>
  <si>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</si>
  <si>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</si>
  <si>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</si>
  <si>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</si>
  <si>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</si>
  <si>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</si>
  <si>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</si>
  <si>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</si>
  <si>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</si>
  <si>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</si>
  <si>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</si>
  <si>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</si>
  <si>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</si>
  <si>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</si>
  <si>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</si>
  <si>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</si>
  <si>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</si>
  <si>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</si>
  <si>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</si>
  <si>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</si>
  <si>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</si>
  <si>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</si>
  <si>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</si>
  <si>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</si>
  <si>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</si>
  <si>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</si>
  <si>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</si>
  <si>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</si>
  <si>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</si>
  <si>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</si>
  <si>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</si>
  <si>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</si>
  <si>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</si>
  <si>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</si>
  <si>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</si>
  <si>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</si>
  <si>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</si>
  <si>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</si>
  <si>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</si>
  <si>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</si>
  <si>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</si>
  <si>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</si>
  <si>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</si>
  <si>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</si>
  <si>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</si>
  <si>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</si>
  <si>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</si>
  <si>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</si>
  <si>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</si>
  <si>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</si>
  <si>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</si>
  <si>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</si>
  <si>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</si>
  <si>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</si>
  <si>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</si>
  <si>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</si>
  <si>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</si>
  <si>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</si>
  <si>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</si>
  <si>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</si>
  <si>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</si>
  <si>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</si>
  <si>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</si>
  <si>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</si>
  <si>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</si>
  <si>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</si>
  <si>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</si>
  <si>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</si>
  <si>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</si>
  <si>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</si>
  <si>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</si>
  <si>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</si>
  <si>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</si>
  <si>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</si>
  <si>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</si>
  <si>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</si>
  <si>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</si>
  <si>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</si>
  <si>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</si>
  <si>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</si>
  <si>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</si>
  <si>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</si>
  <si>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</si>
  <si>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</si>
  <si>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</si>
  <si>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</si>
  <si>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</si>
  <si>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</si>
  <si>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</si>
  <si>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</si>
  <si>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</si>
  <si>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</si>
  <si>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</si>
  <si>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</si>
  <si>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</si>
  <si>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</si>
  <si>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</si>
  <si>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</si>
  <si>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</si>
  <si>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</si>
  <si>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</si>
  <si>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</si>
  <si>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</si>
  <si>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</si>
  <si>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</si>
  <si>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</si>
  <si>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</si>
  <si>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</si>
  <si>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</si>
  <si>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</si>
  <si>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</si>
  <si>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</si>
  <si>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</si>
  <si>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</si>
  <si>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</si>
  <si>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</si>
  <si>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</si>
  <si>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</si>
  <si>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</si>
  <si>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Transfer B 15-Sept-23</t>
  </si>
  <si>
    <t>Transfer B 20-Sept-23</t>
  </si>
  <si>
    <t>Transfer B 21-Sept-23</t>
  </si>
  <si>
    <t>Tranfer B 22-Sept-23</t>
  </si>
  <si>
    <t>Transfer S 19-Sept-23</t>
  </si>
  <si>
    <t xml:space="preserve">Transfer B 5-Sept-23  ZAVALETA </t>
  </si>
  <si>
    <t>Transfer B 11-Sept-23      ZAVALETA</t>
  </si>
  <si>
    <t xml:space="preserve">Transfer B 12-Sept-23    ZAVALETA </t>
  </si>
  <si>
    <t>Transfer B 18-Sept-23  ZAVALETA</t>
  </si>
  <si>
    <t xml:space="preserve">Transfer B 25-Sept-23   ZAVALETA </t>
  </si>
  <si>
    <t xml:space="preserve">Transfer B 26-Sept-23  ZAVALETA </t>
  </si>
  <si>
    <t xml:space="preserve">Transfer B 5-Sept-23   Herradura </t>
  </si>
  <si>
    <t xml:space="preserve">Transfer B 6-Sept-23   Herradura </t>
  </si>
  <si>
    <t xml:space="preserve">Transfer B 11-Sept-23 Herradura </t>
  </si>
  <si>
    <t xml:space="preserve">Transfer B 18-Sept-23  Herradura </t>
  </si>
  <si>
    <t xml:space="preserve">Transfer B 20-Sept-23   Herradura </t>
  </si>
  <si>
    <t xml:space="preserve">Transfer B 28-Ago-23   Herradura </t>
  </si>
  <si>
    <t>0876 D1</t>
  </si>
  <si>
    <t>11 SUR</t>
  </si>
  <si>
    <t>0877 D1</t>
  </si>
  <si>
    <t>0878 D1</t>
  </si>
  <si>
    <t>0879 D1</t>
  </si>
  <si>
    <t>0883 D1</t>
  </si>
  <si>
    <t>0892 D1</t>
  </si>
  <si>
    <t>0888 D1</t>
  </si>
  <si>
    <t>0898 D1</t>
  </si>
  <si>
    <t>0881 D1</t>
  </si>
  <si>
    <t>0882 D1</t>
  </si>
  <si>
    <t>0884 D1</t>
  </si>
  <si>
    <t>0894 D1</t>
  </si>
  <si>
    <t>0886 D1</t>
  </si>
  <si>
    <t>0887 D1</t>
  </si>
  <si>
    <t>0890 D1</t>
  </si>
  <si>
    <t>0885 D1</t>
  </si>
  <si>
    <t>0889 D1</t>
  </si>
  <si>
    <t>0891 D1</t>
  </si>
  <si>
    <t>0893 D1</t>
  </si>
  <si>
    <t>0896 D1</t>
  </si>
  <si>
    <t>0897 D1</t>
  </si>
  <si>
    <t>0900 D1</t>
  </si>
  <si>
    <t>0901 D1</t>
  </si>
  <si>
    <t>0902 D1</t>
  </si>
  <si>
    <t>0908 D1</t>
  </si>
  <si>
    <t>0907 D1</t>
  </si>
  <si>
    <t>0905 D1</t>
  </si>
  <si>
    <t>0903 D1</t>
  </si>
  <si>
    <t>0904 D1</t>
  </si>
  <si>
    <t>0906 D1</t>
  </si>
  <si>
    <t>0911 D1</t>
  </si>
  <si>
    <t>0912 D1</t>
  </si>
  <si>
    <t>0913 D1</t>
  </si>
  <si>
    <t>ZAVALETA</t>
  </si>
  <si>
    <t>0914 D1</t>
  </si>
  <si>
    <t>0915 D1</t>
  </si>
  <si>
    <t>0916 D1</t>
  </si>
  <si>
    <t>0917 D1</t>
  </si>
  <si>
    <t>0918 D1</t>
  </si>
  <si>
    <t>0919 D1</t>
  </si>
  <si>
    <t>0920 D1</t>
  </si>
  <si>
    <t>0921 D1</t>
  </si>
  <si>
    <t>0922 D1</t>
  </si>
  <si>
    <t>0923 D1</t>
  </si>
  <si>
    <t>0925 D1</t>
  </si>
  <si>
    <t>0926 D1</t>
  </si>
  <si>
    <t>0927 D1</t>
  </si>
  <si>
    <t>0928 D1</t>
  </si>
  <si>
    <t>0929 D1</t>
  </si>
  <si>
    <t>0930 D1</t>
  </si>
  <si>
    <t>0931 D1</t>
  </si>
  <si>
    <t>0932 D1</t>
  </si>
  <si>
    <t>0933 D1</t>
  </si>
  <si>
    <t>0934 D1</t>
  </si>
  <si>
    <t>0935 D1</t>
  </si>
  <si>
    <t>0936 D1</t>
  </si>
  <si>
    <t>0937 D1</t>
  </si>
  <si>
    <t>0938 D1</t>
  </si>
  <si>
    <t>0939 D1</t>
  </si>
  <si>
    <t>0940 D1</t>
  </si>
  <si>
    <t>0941 D1</t>
  </si>
  <si>
    <t>0942 D1</t>
  </si>
  <si>
    <t>0943 D1</t>
  </si>
  <si>
    <t>0944 D1</t>
  </si>
  <si>
    <t>0945 D1</t>
  </si>
  <si>
    <t>0946 D1</t>
  </si>
  <si>
    <t>0947 D1</t>
  </si>
  <si>
    <t>0948 D1</t>
  </si>
  <si>
    <t>0949 D1</t>
  </si>
  <si>
    <t>0950 D1</t>
  </si>
  <si>
    <t>0951 D1</t>
  </si>
  <si>
    <t>0952 D1</t>
  </si>
  <si>
    <t>0953 d1</t>
  </si>
  <si>
    <t>0954 d1</t>
  </si>
  <si>
    <t>0955 d1</t>
  </si>
  <si>
    <t>0957 D1</t>
  </si>
  <si>
    <t>0958 D1</t>
  </si>
  <si>
    <t>0959 D1</t>
  </si>
  <si>
    <t>0960 D1</t>
  </si>
  <si>
    <t>0961 D1</t>
  </si>
  <si>
    <t>0962 D1</t>
  </si>
  <si>
    <t>0963 D1</t>
  </si>
  <si>
    <t>0966 D1</t>
  </si>
  <si>
    <t>0967 D1</t>
  </si>
  <si>
    <t>0968 D1</t>
  </si>
  <si>
    <t>0969 D1</t>
  </si>
  <si>
    <t>0970 D1</t>
  </si>
  <si>
    <t>0971 D1</t>
  </si>
  <si>
    <t>0972 D1</t>
  </si>
  <si>
    <t>0973 D1</t>
  </si>
  <si>
    <t>0974 D1</t>
  </si>
  <si>
    <t>0975 D1</t>
  </si>
  <si>
    <t>0976 D1</t>
  </si>
  <si>
    <t>0977 D1</t>
  </si>
  <si>
    <t>0978 D1</t>
  </si>
  <si>
    <t>0979 D1</t>
  </si>
  <si>
    <t>0981 D1</t>
  </si>
  <si>
    <t>0982 D1</t>
  </si>
  <si>
    <t>0983 D1</t>
  </si>
  <si>
    <t>0984 D1</t>
  </si>
  <si>
    <t>0986 D1</t>
  </si>
  <si>
    <t>0987 D1</t>
  </si>
  <si>
    <t>0988 D1</t>
  </si>
  <si>
    <t>0985 D1</t>
  </si>
  <si>
    <t>0989 D1</t>
  </si>
  <si>
    <t>0990 D1</t>
  </si>
  <si>
    <t>0991 D1</t>
  </si>
  <si>
    <t>0992 D1</t>
  </si>
  <si>
    <t>0993 D1</t>
  </si>
  <si>
    <t>0994 D1</t>
  </si>
  <si>
    <t>0995 D1</t>
  </si>
  <si>
    <t>0996 D1</t>
  </si>
  <si>
    <t>0998 D1</t>
  </si>
  <si>
    <t>0999 D1</t>
  </si>
  <si>
    <t>1000 D1</t>
  </si>
  <si>
    <t>0001 E1</t>
  </si>
  <si>
    <t>0002 E1</t>
  </si>
  <si>
    <t>0003 E1</t>
  </si>
  <si>
    <t>0004 E1</t>
  </si>
  <si>
    <t>0005 E1</t>
  </si>
  <si>
    <t>0006 E1</t>
  </si>
  <si>
    <t>0007 E1</t>
  </si>
  <si>
    <t>0008 E1</t>
  </si>
  <si>
    <t>0010 E1</t>
  </si>
  <si>
    <t>0011 E1</t>
  </si>
  <si>
    <t>0012 E1</t>
  </si>
  <si>
    <t>0013 E1</t>
  </si>
  <si>
    <t>0014 E1</t>
  </si>
  <si>
    <t>0015 E1</t>
  </si>
  <si>
    <t>14--9</t>
  </si>
  <si>
    <t>0016 E1</t>
  </si>
  <si>
    <t>0026 E1</t>
  </si>
  <si>
    <t>0017 E1</t>
  </si>
  <si>
    <t>0018 E1</t>
  </si>
  <si>
    <t>0019 E1</t>
  </si>
  <si>
    <t xml:space="preserve">Zavaleta </t>
  </si>
  <si>
    <t>0020 E1</t>
  </si>
  <si>
    <t>0021 E1</t>
  </si>
  <si>
    <t>0022 E1</t>
  </si>
  <si>
    <t>0024 E1</t>
  </si>
  <si>
    <t>0027 E1</t>
  </si>
  <si>
    <t>0029 E1</t>
  </si>
  <si>
    <t>0031 E1</t>
  </si>
  <si>
    <t>0041 E1</t>
  </si>
  <si>
    <t>0051 E1</t>
  </si>
  <si>
    <t>0061 E1</t>
  </si>
  <si>
    <t>0032 E1</t>
  </si>
  <si>
    <t>0033 E1</t>
  </si>
  <si>
    <t>0034 E1</t>
  </si>
  <si>
    <t>0035 E1</t>
  </si>
  <si>
    <t>0036 E1</t>
  </si>
  <si>
    <t>0037 E1</t>
  </si>
  <si>
    <t>0038 E1</t>
  </si>
  <si>
    <t>0039 E1</t>
  </si>
  <si>
    <t>0040 E1</t>
  </si>
  <si>
    <t>0042 E1</t>
  </si>
  <si>
    <t>0044 E1</t>
  </si>
  <si>
    <t>0045 E1</t>
  </si>
  <si>
    <t>0046 E1</t>
  </si>
  <si>
    <t>0047 E1</t>
  </si>
  <si>
    <t>0048 E1</t>
  </si>
  <si>
    <t>0049 E1</t>
  </si>
  <si>
    <t>0050 E1</t>
  </si>
  <si>
    <t>0052 E1</t>
  </si>
  <si>
    <t>0053 E1</t>
  </si>
  <si>
    <t>0054 E1</t>
  </si>
  <si>
    <t>0055 E1</t>
  </si>
  <si>
    <t>0077 E1</t>
  </si>
  <si>
    <t>0099 E1</t>
  </si>
  <si>
    <t>0066 E1</t>
  </si>
  <si>
    <t>0076 E1</t>
  </si>
  <si>
    <t>0097 E1</t>
  </si>
  <si>
    <t>0062 E1</t>
  </si>
  <si>
    <t>0072 E1</t>
  </si>
  <si>
    <t>0092 E1</t>
  </si>
  <si>
    <t>0056 E1</t>
  </si>
  <si>
    <t>0057 E1</t>
  </si>
  <si>
    <t>0058 E1</t>
  </si>
  <si>
    <t>11364  11 SUR</t>
  </si>
  <si>
    <t>0063 E1</t>
  </si>
  <si>
    <t>0065 E1</t>
  </si>
  <si>
    <t>0067 E1</t>
  </si>
  <si>
    <t>0068 E1</t>
  </si>
  <si>
    <t>0069 E1</t>
  </si>
  <si>
    <t>0071 E1</t>
  </si>
  <si>
    <t>0073 E1</t>
  </si>
  <si>
    <t>0074 E1</t>
  </si>
  <si>
    <t>0075 E1</t>
  </si>
  <si>
    <t>0077 D1</t>
  </si>
  <si>
    <t xml:space="preserve">                                                     </t>
  </si>
  <si>
    <t>0078 E1</t>
  </si>
  <si>
    <t>0079 E1</t>
  </si>
  <si>
    <t>0081 E1</t>
  </si>
  <si>
    <t>0082 E1</t>
  </si>
  <si>
    <t>0064 E1</t>
  </si>
  <si>
    <t>0083 E1</t>
  </si>
  <si>
    <t>0084 E1</t>
  </si>
  <si>
    <t>0094 E1</t>
  </si>
  <si>
    <t>0085 E1</t>
  </si>
  <si>
    <t>0086 E1</t>
  </si>
  <si>
    <t>0087 E1</t>
  </si>
  <si>
    <t>0088 E1</t>
  </si>
  <si>
    <t>0089 E1</t>
  </si>
  <si>
    <t>0098 E1</t>
  </si>
  <si>
    <t>0090 E1</t>
  </si>
  <si>
    <t>0091 E1</t>
  </si>
  <si>
    <t>0093 E1</t>
  </si>
  <si>
    <t>0095 E1</t>
  </si>
  <si>
    <t>0096 E1</t>
  </si>
  <si>
    <t>11365  11 SUR</t>
  </si>
  <si>
    <t>0100 E1</t>
  </si>
  <si>
    <t>0102 E1</t>
  </si>
  <si>
    <t>0103 E1</t>
  </si>
  <si>
    <t>0104 E1</t>
  </si>
  <si>
    <t>0105 E1</t>
  </si>
  <si>
    <t>0106 E1</t>
  </si>
  <si>
    <t>0107 E1</t>
  </si>
  <si>
    <t>0108 E1</t>
  </si>
  <si>
    <t>0109 E1</t>
  </si>
  <si>
    <t>0110 E1</t>
  </si>
  <si>
    <t>0111 E1</t>
  </si>
  <si>
    <t>0112 E1</t>
  </si>
  <si>
    <t>0113 E1</t>
  </si>
  <si>
    <t>0114 E1</t>
  </si>
  <si>
    <t>0115 E1</t>
  </si>
  <si>
    <t>0116 E1</t>
  </si>
  <si>
    <t xml:space="preserve">11366  11 SUR </t>
  </si>
  <si>
    <t xml:space="preserve">11 SUR </t>
  </si>
  <si>
    <t>0117 E1</t>
  </si>
  <si>
    <t>0118 E1</t>
  </si>
  <si>
    <t>0119 E1</t>
  </si>
  <si>
    <t>0120 E1</t>
  </si>
  <si>
    <t>0121 E1</t>
  </si>
  <si>
    <t>0122 E1</t>
  </si>
  <si>
    <t>0123 E1</t>
  </si>
  <si>
    <t>0124 E1</t>
  </si>
  <si>
    <t>0125 E1</t>
  </si>
  <si>
    <t>0127 E1</t>
  </si>
  <si>
    <t>0128 E1</t>
  </si>
  <si>
    <t>0138 E1</t>
  </si>
  <si>
    <t>0148 E1</t>
  </si>
  <si>
    <t>0158 E1</t>
  </si>
  <si>
    <t>0129 E1</t>
  </si>
  <si>
    <t>0130 E1</t>
  </si>
  <si>
    <t>0140 E1</t>
  </si>
  <si>
    <t>0150 E1</t>
  </si>
  <si>
    <t>0131 E1</t>
  </si>
  <si>
    <t>0132 E1</t>
  </si>
  <si>
    <t>0133 E1</t>
  </si>
  <si>
    <t>0135 E1</t>
  </si>
  <si>
    <t>0136 E1</t>
  </si>
  <si>
    <t>0137 E1</t>
  </si>
  <si>
    <t>0139 E1</t>
  </si>
  <si>
    <t>0142 E1</t>
  </si>
  <si>
    <t>0143 E1</t>
  </si>
  <si>
    <t>0144 E1</t>
  </si>
  <si>
    <t>0145 E1</t>
  </si>
  <si>
    <t>0146 E1</t>
  </si>
  <si>
    <t>0147 E1</t>
  </si>
  <si>
    <t>0149 E1</t>
  </si>
  <si>
    <t>0151 E1</t>
  </si>
  <si>
    <t>0152 E1</t>
  </si>
  <si>
    <t>0153 E1</t>
  </si>
  <si>
    <t>0154 E1</t>
  </si>
  <si>
    <t>0155 E1</t>
  </si>
  <si>
    <t>0156 E1</t>
  </si>
  <si>
    <t>0157 E1</t>
  </si>
  <si>
    <t>0159 E1</t>
  </si>
  <si>
    <t>0161 E1</t>
  </si>
  <si>
    <t>0162 E1</t>
  </si>
  <si>
    <t>0163 E1</t>
  </si>
  <si>
    <t>0085 E12</t>
  </si>
  <si>
    <t>ENTRADA DEL MES DE SEPTIEMBRE</t>
  </si>
  <si>
    <t>INVENTARIO  DEL MES DE   AGOSTO 2023</t>
  </si>
  <si>
    <t>0023 E1</t>
  </si>
  <si>
    <t>REGISTRO  409.31</t>
  </si>
  <si>
    <t>A-77817-------B-74658</t>
  </si>
  <si>
    <t xml:space="preserve">PULPA </t>
  </si>
  <si>
    <t>29-Sept-23------04-Oct-23</t>
  </si>
  <si>
    <t>Transfer S 4-Oct-23</t>
  </si>
  <si>
    <t>HC-14608</t>
  </si>
  <si>
    <t>Transfer B 2-Ocy-23</t>
  </si>
  <si>
    <t>Transer B 2-Oct-23</t>
  </si>
  <si>
    <t>Transfer B 3-Oct-23</t>
  </si>
  <si>
    <t>Trnsfer S 29-Sept-23---Transfer B 3-Oct-23</t>
  </si>
  <si>
    <t>Transfer B 9-Oct-23</t>
  </si>
  <si>
    <t>Transfer B 10-Oct-23</t>
  </si>
  <si>
    <t>Transfer B 13-Oct-23</t>
  </si>
  <si>
    <t>Transfer B 16-Oct-23</t>
  </si>
  <si>
    <t>Devolucion de  90.75 kg  x 69.00  =  6,261.75  Pend  N/C</t>
  </si>
  <si>
    <t>Transfer S 23-Oct-23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</si>
</sst>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</fills>
  <borders count="1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9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166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39" fillId="0" borderId="33" xfId="0" applyFont="1" applyBorder="1" applyAlignment="1">
      <alignment vertical="center"/>
    </xf>
    <xf numFmtId="0" fontId="39" fillId="0" borderId="33" xfId="0" applyFont="1" applyBorder="1" applyAlignment="1">
      <alignment horizontal="center" vertical="center"/>
    </xf>
    <xf numFmtId="0" fontId="7" fillId="0" borderId="48" xfId="0" applyFont="1" applyBorder="1" applyAlignment="1">
      <alignment vertical="center" wrapText="1"/>
    </xf>
    <xf numFmtId="0" fontId="7" fillId="0" borderId="6" xfId="0" applyFont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4" fontId="22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0" fontId="73" fillId="0" borderId="33" xfId="0" applyFont="1" applyBorder="1" applyAlignment="1">
      <alignment vertical="center" wrapText="1"/>
    </xf>
    <xf numFmtId="168" fontId="39" fillId="0" borderId="33" xfId="0" applyNumberFormat="1" applyFont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168" fontId="7" fillId="0" borderId="33" xfId="0" applyNumberFormat="1" applyFont="1" applyBorder="1" applyAlignment="1">
      <alignment vertical="center"/>
    </xf>
    <xf numFmtId="0" fontId="73" fillId="0" borderId="33" xfId="0" applyFont="1" applyBorder="1" applyAlignment="1">
      <alignment horizontal="center" vertical="center" wrapText="1"/>
    </xf>
    <xf numFmtId="168" fontId="10" fillId="0" borderId="33" xfId="0" applyNumberFormat="1" applyFont="1" applyBorder="1" applyAlignment="1">
      <alignment vertical="center" wrapText="1"/>
    </xf>
    <xf numFmtId="0" fontId="40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left"/>
    </xf>
    <xf numFmtId="164" fontId="17" fillId="0" borderId="33" xfId="0" applyNumberFormat="1" applyFont="1" applyBorder="1" applyAlignment="1">
      <alignment vertical="center" wrapText="1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horizontal="center" wrapText="1"/>
    </xf>
    <xf numFmtId="0" fontId="69" fillId="0" borderId="33" xfId="0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 wrapText="1"/>
    </xf>
    <xf numFmtId="0" fontId="39" fillId="0" borderId="33" xfId="0" applyFont="1" applyBorder="1"/>
    <xf numFmtId="168" fontId="39" fillId="0" borderId="33" xfId="0" applyNumberFormat="1" applyFont="1" applyBorder="1" applyAlignment="1">
      <alignment vertical="center" wrapText="1"/>
    </xf>
    <xf numFmtId="2" fontId="7" fillId="0" borderId="33" xfId="0" applyNumberFormat="1" applyFont="1" applyBorder="1"/>
    <xf numFmtId="2" fontId="37" fillId="0" borderId="33" xfId="0" applyNumberFormat="1" applyFont="1" applyBorder="1"/>
    <xf numFmtId="2" fontId="28" fillId="0" borderId="33" xfId="0" applyNumberFormat="1" applyFont="1" applyBorder="1"/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168" fontId="28" fillId="0" borderId="33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44" fontId="28" fillId="0" borderId="33" xfId="1" applyFont="1" applyFill="1" applyBorder="1" applyAlignment="1">
      <alignment wrapText="1"/>
    </xf>
    <xf numFmtId="44" fontId="28" fillId="0" borderId="89" xfId="1" applyFont="1" applyFill="1" applyBorder="1" applyAlignment="1">
      <alignment wrapText="1"/>
    </xf>
    <xf numFmtId="167" fontId="7" fillId="0" borderId="33" xfId="0" applyNumberFormat="1" applyFont="1" applyBorder="1" applyAlignment="1">
      <alignment horizontal="center"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Border="1"/>
    <xf numFmtId="174" fontId="7" fillId="0" borderId="33" xfId="0" applyNumberFormat="1" applyFont="1" applyBorder="1"/>
    <xf numFmtId="174" fontId="39" fillId="0" borderId="33" xfId="0" applyNumberFormat="1" applyFont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28" fillId="0" borderId="33" xfId="0" applyNumberFormat="1" applyFont="1" applyBorder="1" applyAlignment="1">
      <alignment horizontal="center" vertical="center"/>
    </xf>
    <xf numFmtId="174" fontId="39" fillId="0" borderId="33" xfId="0" applyNumberFormat="1" applyFont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Border="1" applyAlignment="1">
      <alignment horizontal="center" vertical="center"/>
    </xf>
    <xf numFmtId="2" fontId="52" fillId="0" borderId="78" xfId="0" applyNumberFormat="1" applyFont="1" applyBorder="1"/>
    <xf numFmtId="174" fontId="52" fillId="0" borderId="33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5" fontId="27" fillId="0" borderId="15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54" fillId="0" borderId="33" xfId="0" applyFont="1" applyBorder="1"/>
    <xf numFmtId="0" fontId="15" fillId="0" borderId="33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167" fontId="28" fillId="0" borderId="33" xfId="0" applyNumberFormat="1" applyFont="1" applyBorder="1" applyAlignment="1">
      <alignment vertical="center" wrapText="1"/>
    </xf>
    <xf numFmtId="167" fontId="7" fillId="0" borderId="33" xfId="0" applyNumberFormat="1" applyFont="1" applyBorder="1" applyAlignment="1">
      <alignment vertical="center" wrapText="1"/>
    </xf>
    <xf numFmtId="167" fontId="22" fillId="0" borderId="89" xfId="0" applyNumberFormat="1" applyFont="1" applyBorder="1" applyAlignment="1">
      <alignment wrapText="1"/>
    </xf>
    <xf numFmtId="2" fontId="28" fillId="0" borderId="78" xfId="0" applyNumberFormat="1" applyFont="1" applyBorder="1"/>
    <xf numFmtId="0" fontId="40" fillId="0" borderId="33" xfId="0" applyFont="1" applyBorder="1" applyAlignment="1">
      <alignment vertical="center"/>
    </xf>
    <xf numFmtId="2" fontId="39" fillId="0" borderId="0" xfId="0" applyNumberFormat="1" applyFont="1"/>
    <xf numFmtId="0" fontId="40" fillId="0" borderId="33" xfId="0" applyFont="1" applyBorder="1" applyAlignment="1">
      <alignment vertical="center" wrapText="1"/>
    </xf>
    <xf numFmtId="0" fontId="52" fillId="0" borderId="33" xfId="0" applyFont="1" applyBorder="1" applyAlignment="1">
      <alignment vertical="center" wrapText="1"/>
    </xf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164" fontId="18" fillId="0" borderId="97" xfId="0" applyNumberFormat="1" applyFont="1" applyBorder="1" applyAlignment="1">
      <alignment wrapText="1"/>
    </xf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0" fontId="52" fillId="0" borderId="89" xfId="0" applyFont="1" applyBorder="1" applyAlignment="1">
      <alignment vertical="center" wrapText="1"/>
    </xf>
    <xf numFmtId="174" fontId="52" fillId="0" borderId="33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74" fontId="28" fillId="0" borderId="33" xfId="0" applyNumberFormat="1" applyFont="1" applyBorder="1" applyAlignment="1">
      <alignment horizontal="right" vertical="center"/>
    </xf>
    <xf numFmtId="174" fontId="52" fillId="0" borderId="33" xfId="0" applyNumberFormat="1" applyFont="1" applyBorder="1" applyAlignment="1">
      <alignment horizontal="right" vertic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72" fillId="0" borderId="33" xfId="0" applyNumberFormat="1" applyFont="1" applyBorder="1" applyAlignment="1">
      <alignment vertical="center" textRotation="91" wrapText="1"/>
    </xf>
    <xf numFmtId="1" fontId="72" fillId="0" borderId="33" xfId="0" applyNumberFormat="1" applyFont="1" applyBorder="1" applyAlignment="1">
      <alignment vertical="center" textRotation="255" wrapText="1"/>
    </xf>
    <xf numFmtId="1" fontId="72" fillId="0" borderId="33" xfId="0" applyNumberFormat="1" applyFont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52" fillId="0" borderId="33" xfId="0" applyFont="1" applyBorder="1" applyAlignment="1">
      <alignment horizontal="center" vertic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" fontId="54" fillId="0" borderId="33" xfId="0" applyNumberFormat="1" applyFont="1" applyBorder="1" applyAlignment="1">
      <alignment horizontal="center"/>
    </xf>
    <xf numFmtId="0" fontId="74" fillId="0" borderId="33" xfId="0" applyFont="1" applyBorder="1" applyAlignment="1">
      <alignment horizontal="center" vertical="center"/>
    </xf>
    <xf numFmtId="167" fontId="18" fillId="0" borderId="33" xfId="0" applyNumberFormat="1" applyFont="1" applyBorder="1"/>
    <xf numFmtId="44" fontId="40" fillId="0" borderId="33" xfId="1" applyFont="1" applyFill="1" applyBorder="1" applyAlignment="1"/>
    <xf numFmtId="167" fontId="22" fillId="0" borderId="33" xfId="0" applyNumberFormat="1" applyFont="1" applyBorder="1"/>
    <xf numFmtId="164" fontId="18" fillId="0" borderId="33" xfId="0" applyNumberFormat="1" applyFont="1" applyBorder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Border="1" applyAlignment="1">
      <alignment vertical="center" wrapText="1"/>
    </xf>
    <xf numFmtId="167" fontId="22" fillId="0" borderId="33" xfId="0" applyNumberFormat="1" applyFont="1" applyBorder="1" applyAlignment="1">
      <alignment vertical="center" wrapText="1"/>
    </xf>
    <xf numFmtId="0" fontId="28" fillId="27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0" fontId="81" fillId="0" borderId="33" xfId="0" applyFont="1" applyBorder="1" applyAlignment="1">
      <alignment horizontal="center"/>
    </xf>
    <xf numFmtId="2" fontId="82" fillId="0" borderId="0" xfId="0" applyNumberFormat="1" applyFont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1" fontId="28" fillId="0" borderId="33" xfId="0" applyNumberFormat="1" applyFont="1" applyBorder="1" applyAlignment="1">
      <alignment horizontal="center" vertical="center" wrapText="1"/>
    </xf>
    <xf numFmtId="0" fontId="79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horizontal="center" vertical="center"/>
    </xf>
    <xf numFmtId="0" fontId="52" fillId="0" borderId="33" xfId="0" applyFont="1" applyBorder="1" applyAlignment="1">
      <alignment vertical="center"/>
    </xf>
    <xf numFmtId="4" fontId="28" fillId="0" borderId="33" xfId="0" applyNumberFormat="1" applyFont="1" applyBorder="1" applyAlignment="1">
      <alignment vertical="center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6" fillId="0" borderId="0" xfId="0" applyNumberFormat="1" applyFont="1" applyAlignment="1">
      <alignment horizontal="right"/>
    </xf>
    <xf numFmtId="15" fontId="86" fillId="0" borderId="4" xfId="0" applyNumberFormat="1" applyFont="1" applyBorder="1"/>
    <xf numFmtId="2" fontId="86" fillId="0" borderId="5" xfId="0" applyNumberFormat="1" applyFont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68" fontId="86" fillId="0" borderId="0" xfId="0" applyNumberFormat="1" applyFont="1"/>
    <xf numFmtId="164" fontId="74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5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5" fontId="87" fillId="0" borderId="0" xfId="0" applyNumberFormat="1" applyFont="1"/>
    <xf numFmtId="2" fontId="87" fillId="0" borderId="0" xfId="0" applyNumberFormat="1" applyFont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164" fontId="7" fillId="0" borderId="97" xfId="0" applyNumberFormat="1" applyFont="1" applyBorder="1"/>
    <xf numFmtId="167" fontId="22" fillId="0" borderId="48" xfId="0" applyNumberFormat="1" applyFont="1" applyBorder="1" applyAlignment="1">
      <alignment vertical="center" wrapText="1"/>
    </xf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81" fillId="0" borderId="0" xfId="0" applyFont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Border="1" applyAlignment="1">
      <alignment wrapText="1"/>
    </xf>
    <xf numFmtId="0" fontId="79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89" xfId="0" applyFont="1" applyBorder="1"/>
    <xf numFmtId="0" fontId="50" fillId="0" borderId="97" xfId="0" applyFont="1" applyBorder="1"/>
    <xf numFmtId="0" fontId="92" fillId="0" borderId="33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 wrapText="1"/>
    </xf>
    <xf numFmtId="1" fontId="72" fillId="0" borderId="33" xfId="0" applyNumberFormat="1" applyFont="1" applyBorder="1" applyAlignment="1">
      <alignment horizontal="center" vertical="center"/>
    </xf>
    <xf numFmtId="167" fontId="40" fillId="0" borderId="33" xfId="0" applyNumberFormat="1" applyFont="1" applyBorder="1" applyAlignment="1">
      <alignment horizontal="center" vertical="center"/>
    </xf>
    <xf numFmtId="1" fontId="72" fillId="0" borderId="33" xfId="0" applyNumberFormat="1" applyFont="1" applyBorder="1" applyAlignment="1">
      <alignment horizontal="center" vertical="center" wrapText="1"/>
    </xf>
    <xf numFmtId="4" fontId="28" fillId="0" borderId="33" xfId="0" applyNumberFormat="1" applyFont="1" applyBorder="1" applyAlignment="1">
      <alignment horizontal="left" vertical="center"/>
    </xf>
    <xf numFmtId="0" fontId="68" fillId="0" borderId="33" xfId="0" applyFont="1" applyBorder="1" applyAlignment="1">
      <alignment horizont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3" fillId="0" borderId="5" xfId="0" applyNumberFormat="1" applyFont="1" applyBorder="1" applyAlignment="1">
      <alignment horizontal="right"/>
    </xf>
    <xf numFmtId="15" fontId="83" fillId="0" borderId="51" xfId="0" applyNumberFormat="1" applyFont="1" applyBorder="1"/>
    <xf numFmtId="44" fontId="83" fillId="0" borderId="0" xfId="1" applyFont="1" applyFill="1"/>
    <xf numFmtId="168" fontId="83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/>
    <xf numFmtId="16" fontId="82" fillId="0" borderId="12" xfId="0" applyNumberFormat="1" applyFont="1" applyBorder="1"/>
    <xf numFmtId="0" fontId="82" fillId="0" borderId="13" xfId="0" applyFont="1" applyBorder="1" applyAlignment="1">
      <alignment horizontal="right"/>
    </xf>
    <xf numFmtId="164" fontId="82" fillId="0" borderId="12" xfId="0" applyNumberFormat="1" applyFont="1" applyBorder="1"/>
    <xf numFmtId="15" fontId="54" fillId="0" borderId="15" xfId="0" applyNumberFormat="1" applyFont="1" applyBorder="1"/>
    <xf numFmtId="2" fontId="74" fillId="0" borderId="0" xfId="0" applyNumberFormat="1" applyFont="1" applyAlignment="1">
      <alignment horizontal="right"/>
    </xf>
    <xf numFmtId="168" fontId="74" fillId="0" borderId="0" xfId="0" applyNumberFormat="1" applyFont="1"/>
    <xf numFmtId="2" fontId="74" fillId="0" borderId="5" xfId="0" applyNumberFormat="1" applyFont="1" applyBorder="1" applyAlignment="1">
      <alignment horizontal="right"/>
    </xf>
    <xf numFmtId="0" fontId="74" fillId="0" borderId="10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9" fillId="0" borderId="0" xfId="0" applyFont="1" applyAlignment="1">
      <alignment horizontal="center" wrapText="1"/>
    </xf>
    <xf numFmtId="0" fontId="79" fillId="0" borderId="0" xfId="0" applyFont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52" fillId="0" borderId="33" xfId="0" applyFont="1" applyBorder="1" applyAlignment="1">
      <alignment horizontal="center" vertical="center" wrapText="1"/>
    </xf>
    <xf numFmtId="0" fontId="93" fillId="0" borderId="33" xfId="0" applyFont="1" applyBorder="1" applyAlignment="1">
      <alignment horizontal="center" vertical="center"/>
    </xf>
    <xf numFmtId="164" fontId="7" fillId="0" borderId="89" xfId="0" applyNumberFormat="1" applyFont="1" applyBorder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44" fontId="40" fillId="0" borderId="0" xfId="1" applyFont="1" applyFill="1" applyBorder="1" applyAlignment="1">
      <alignment wrapText="1"/>
    </xf>
    <xf numFmtId="0" fontId="52" fillId="0" borderId="89" xfId="0" applyFont="1" applyBorder="1" applyAlignment="1">
      <alignment horizontal="center"/>
    </xf>
    <xf numFmtId="4" fontId="82" fillId="0" borderId="0" xfId="0" applyNumberFormat="1" applyFont="1"/>
    <xf numFmtId="2" fontId="52" fillId="0" borderId="96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Border="1" applyAlignment="1">
      <alignment horizontal="center" wrapText="1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Alignment="1">
      <alignment horizontal="center"/>
    </xf>
    <xf numFmtId="1" fontId="79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28" fillId="0" borderId="0" xfId="0" applyFont="1" applyAlignment="1">
      <alignment horizontal="center" vertical="center" wrapText="1"/>
    </xf>
    <xf numFmtId="0" fontId="82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68" fontId="28" fillId="0" borderId="33" xfId="0" applyNumberFormat="1" applyFont="1" applyBorder="1" applyAlignment="1">
      <alignment horizontal="center" vertical="center"/>
    </xf>
    <xf numFmtId="4" fontId="79" fillId="0" borderId="33" xfId="0" applyNumberFormat="1" applyFont="1" applyBorder="1" applyAlignment="1">
      <alignment horizontal="center" vertical="center"/>
    </xf>
    <xf numFmtId="168" fontId="28" fillId="0" borderId="33" xfId="0" applyNumberFormat="1" applyFont="1" applyBorder="1" applyAlignment="1">
      <alignment vertical="center" wrapText="1"/>
    </xf>
    <xf numFmtId="1" fontId="72" fillId="0" borderId="33" xfId="0" applyNumberFormat="1" applyFont="1" applyBorder="1" applyAlignment="1">
      <alignment vertical="center" wrapText="1"/>
    </xf>
    <xf numFmtId="167" fontId="40" fillId="0" borderId="33" xfId="0" applyNumberFormat="1" applyFont="1" applyBorder="1" applyAlignment="1">
      <alignment vertical="center"/>
    </xf>
    <xf numFmtId="1" fontId="78" fillId="0" borderId="33" xfId="0" applyNumberFormat="1" applyFont="1" applyBorder="1" applyAlignment="1">
      <alignment horizontal="center" vertical="center"/>
    </xf>
    <xf numFmtId="167" fontId="72" fillId="0" borderId="33" xfId="0" applyNumberFormat="1" applyFont="1" applyBorder="1" applyAlignment="1">
      <alignment vertical="center"/>
    </xf>
    <xf numFmtId="167" fontId="72" fillId="0" borderId="33" xfId="0" applyNumberFormat="1" applyFont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vertical="center"/>
    </xf>
    <xf numFmtId="167" fontId="50" fillId="0" borderId="33" xfId="0" applyNumberFormat="1" applyFont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2" fontId="83" fillId="0" borderId="0" xfId="0" applyNumberFormat="1" applyFont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Alignment="1">
      <alignment horizontal="right"/>
    </xf>
    <xf numFmtId="168" fontId="95" fillId="0" borderId="0" xfId="0" applyNumberFormat="1" applyFont="1"/>
    <xf numFmtId="2" fontId="95" fillId="0" borderId="5" xfId="0" applyNumberFormat="1" applyFont="1" applyBorder="1" applyAlignment="1">
      <alignment horizontal="right"/>
    </xf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44" fontId="83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0" fontId="7" fillId="10" borderId="0" xfId="0" applyFont="1" applyFill="1"/>
    <xf numFmtId="15" fontId="83" fillId="0" borderId="15" xfId="0" applyNumberFormat="1" applyFont="1" applyBorder="1"/>
    <xf numFmtId="4" fontId="83" fillId="0" borderId="76" xfId="0" applyNumberFormat="1" applyFont="1" applyBorder="1"/>
    <xf numFmtId="2" fontId="83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10" xfId="0" applyNumberFormat="1" applyFont="1" applyBorder="1" applyAlignment="1">
      <alignment horizontal="right"/>
    </xf>
    <xf numFmtId="15" fontId="83" fillId="0" borderId="4" xfId="0" applyNumberFormat="1" applyFont="1" applyBorder="1"/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7" xfId="0" applyFont="1" applyBorder="1" applyAlignment="1">
      <alignment horizontal="left"/>
    </xf>
    <xf numFmtId="0" fontId="7" fillId="0" borderId="73" xfId="0" applyFont="1" applyBorder="1" applyAlignment="1">
      <alignment vertical="center" wrapText="1"/>
    </xf>
    <xf numFmtId="4" fontId="54" fillId="0" borderId="89" xfId="0" applyNumberFormat="1" applyFont="1" applyBorder="1" applyAlignment="1">
      <alignment horizontal="center"/>
    </xf>
    <xf numFmtId="174" fontId="28" fillId="0" borderId="97" xfId="0" applyNumberFormat="1" applyFont="1" applyBorder="1" applyAlignment="1">
      <alignment horizontal="right"/>
    </xf>
    <xf numFmtId="168" fontId="28" fillId="0" borderId="73" xfId="0" applyNumberFormat="1" applyFont="1" applyBorder="1" applyAlignment="1">
      <alignment vertical="center"/>
    </xf>
    <xf numFmtId="0" fontId="7" fillId="0" borderId="97" xfId="0" applyFont="1" applyBorder="1" applyAlignment="1">
      <alignment horizontal="left" vertical="center"/>
    </xf>
    <xf numFmtId="4" fontId="54" fillId="0" borderId="89" xfId="0" applyNumberFormat="1" applyFont="1" applyBorder="1" applyAlignment="1">
      <alignment vertical="center"/>
    </xf>
    <xf numFmtId="4" fontId="54" fillId="0" borderId="89" xfId="0" applyNumberFormat="1" applyFont="1" applyBorder="1" applyAlignment="1">
      <alignment horizontal="center" vertical="center"/>
    </xf>
    <xf numFmtId="167" fontId="22" fillId="0" borderId="89" xfId="0" applyNumberFormat="1" applyFont="1" applyBorder="1"/>
    <xf numFmtId="167" fontId="28" fillId="0" borderId="97" xfId="0" applyNumberFormat="1" applyFont="1" applyBorder="1" applyAlignment="1">
      <alignment horizontal="center" vertical="center"/>
    </xf>
    <xf numFmtId="1" fontId="72" fillId="0" borderId="67" xfId="0" applyNumberFormat="1" applyFont="1" applyBorder="1" applyAlignment="1">
      <alignment vertical="center" wrapText="1"/>
    </xf>
    <xf numFmtId="167" fontId="22" fillId="0" borderId="97" xfId="0" applyNumberFormat="1" applyFont="1" applyBorder="1"/>
    <xf numFmtId="0" fontId="12" fillId="0" borderId="89" xfId="0" applyFont="1" applyBorder="1"/>
    <xf numFmtId="0" fontId="54" fillId="0" borderId="89" xfId="0" applyFont="1" applyBorder="1" applyAlignment="1">
      <alignment horizontal="center"/>
    </xf>
    <xf numFmtId="174" fontId="28" fillId="0" borderId="97" xfId="0" applyNumberFormat="1" applyFont="1" applyBorder="1" applyAlignment="1">
      <alignment vertical="center"/>
    </xf>
    <xf numFmtId="168" fontId="7" fillId="0" borderId="67" xfId="0" applyNumberFormat="1" applyFont="1" applyBorder="1" applyAlignment="1">
      <alignment vertical="center"/>
    </xf>
    <xf numFmtId="0" fontId="52" fillId="0" borderId="67" xfId="0" applyFont="1" applyBorder="1" applyAlignment="1">
      <alignment vertical="center" wrapText="1"/>
    </xf>
    <xf numFmtId="4" fontId="28" fillId="0" borderId="89" xfId="0" applyNumberFormat="1" applyFont="1" applyBorder="1" applyAlignment="1">
      <alignment vertical="center"/>
    </xf>
    <xf numFmtId="167" fontId="40" fillId="0" borderId="97" xfId="0" applyNumberFormat="1" applyFont="1" applyBorder="1" applyAlignment="1">
      <alignment horizontal="center" vertical="center"/>
    </xf>
    <xf numFmtId="44" fontId="40" fillId="0" borderId="97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3" xfId="0" applyNumberFormat="1" applyFont="1" applyBorder="1" applyAlignment="1">
      <alignment horizontal="center" vertical="center"/>
    </xf>
    <xf numFmtId="1" fontId="78" fillId="0" borderId="67" xfId="0" applyNumberFormat="1" applyFont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2" xfId="0" applyFont="1" applyBorder="1" applyAlignment="1">
      <alignment horizontal="center"/>
    </xf>
    <xf numFmtId="168" fontId="28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0" fontId="52" fillId="0" borderId="111" xfId="0" applyFont="1" applyBorder="1" applyAlignment="1">
      <alignment horizontal="center" vertical="center" wrapText="1"/>
    </xf>
    <xf numFmtId="174" fontId="52" fillId="0" borderId="111" xfId="0" applyNumberFormat="1" applyFont="1" applyBorder="1"/>
    <xf numFmtId="0" fontId="52" fillId="0" borderId="67" xfId="0" applyFont="1" applyBorder="1" applyAlignment="1">
      <alignment horizontal="center"/>
    </xf>
    <xf numFmtId="174" fontId="52" fillId="0" borderId="67" xfId="0" applyNumberFormat="1" applyFont="1" applyBorder="1"/>
    <xf numFmtId="1" fontId="40" fillId="0" borderId="33" xfId="0" applyNumberFormat="1" applyFont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31" borderId="0" xfId="0" applyFont="1" applyFill="1" applyAlignment="1">
      <alignment horizontal="center"/>
    </xf>
    <xf numFmtId="168" fontId="28" fillId="0" borderId="0" xfId="0" applyNumberFormat="1" applyFont="1" applyAlignment="1">
      <alignment horizontal="center" vertical="center"/>
    </xf>
    <xf numFmtId="1" fontId="72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vertical="center"/>
    </xf>
    <xf numFmtId="4" fontId="28" fillId="0" borderId="97" xfId="0" applyNumberFormat="1" applyFont="1" applyBorder="1" applyAlignment="1">
      <alignment horizontal="left" vertical="center"/>
    </xf>
    <xf numFmtId="4" fontId="81" fillId="0" borderId="97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52" fillId="0" borderId="67" xfId="0" applyFont="1" applyBorder="1" applyAlignment="1">
      <alignment vertical="center"/>
    </xf>
    <xf numFmtId="1" fontId="78" fillId="0" borderId="89" xfId="0" applyNumberFormat="1" applyFont="1" applyBorder="1" applyAlignment="1">
      <alignment vertical="center" wrapText="1"/>
    </xf>
    <xf numFmtId="4" fontId="40" fillId="0" borderId="97" xfId="0" applyNumberFormat="1" applyFont="1" applyBorder="1" applyAlignment="1">
      <alignment horizontal="left" vertical="center"/>
    </xf>
    <xf numFmtId="0" fontId="68" fillId="0" borderId="89" xfId="0" applyFont="1" applyBorder="1" applyAlignment="1">
      <alignment horizontal="center"/>
    </xf>
    <xf numFmtId="168" fontId="7" fillId="0" borderId="67" xfId="0" applyNumberFormat="1" applyFont="1" applyBorder="1" applyAlignment="1">
      <alignment horizontal="center" vertical="center"/>
    </xf>
    <xf numFmtId="1" fontId="72" fillId="0" borderId="89" xfId="0" applyNumberFormat="1" applyFont="1" applyBorder="1" applyAlignment="1">
      <alignment vertical="center"/>
    </xf>
    <xf numFmtId="44" fontId="40" fillId="0" borderId="67" xfId="1" applyFont="1" applyFill="1" applyBorder="1" applyAlignment="1">
      <alignment horizontal="center" vertical="center"/>
    </xf>
    <xf numFmtId="4" fontId="79" fillId="0" borderId="97" xfId="0" applyNumberFormat="1" applyFont="1" applyBorder="1" applyAlignment="1">
      <alignment horizontal="center"/>
    </xf>
    <xf numFmtId="0" fontId="52" fillId="0" borderId="73" xfId="0" applyFont="1" applyBorder="1" applyAlignment="1">
      <alignment vertical="center" wrapText="1"/>
    </xf>
    <xf numFmtId="168" fontId="82" fillId="0" borderId="73" xfId="0" applyNumberFormat="1" applyFont="1" applyBorder="1" applyAlignment="1">
      <alignment vertical="center"/>
    </xf>
    <xf numFmtId="4" fontId="28" fillId="0" borderId="97" xfId="0" applyNumberFormat="1" applyFont="1" applyBorder="1" applyAlignment="1">
      <alignment horizontal="left"/>
    </xf>
    <xf numFmtId="167" fontId="28" fillId="0" borderId="97" xfId="0" applyNumberFormat="1" applyFont="1" applyBorder="1" applyAlignment="1">
      <alignment horizontal="center"/>
    </xf>
    <xf numFmtId="1" fontId="72" fillId="0" borderId="73" xfId="0" applyNumberFormat="1" applyFont="1" applyBorder="1" applyAlignment="1">
      <alignment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Border="1" applyAlignment="1">
      <alignment vertical="center" wrapText="1"/>
    </xf>
    <xf numFmtId="167" fontId="22" fillId="0" borderId="67" xfId="0" applyNumberFormat="1" applyFont="1" applyBorder="1" applyAlignment="1">
      <alignment vertical="center" wrapText="1"/>
    </xf>
    <xf numFmtId="167" fontId="28" fillId="0" borderId="67" xfId="0" applyNumberFormat="1" applyFont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7" xfId="0" applyFont="1" applyBorder="1" applyAlignment="1">
      <alignment vertical="center"/>
    </xf>
    <xf numFmtId="0" fontId="7" fillId="0" borderId="116" xfId="0" applyFont="1" applyBorder="1" applyAlignment="1">
      <alignment horizontal="left"/>
    </xf>
    <xf numFmtId="4" fontId="54" fillId="0" borderId="117" xfId="0" applyNumberFormat="1" applyFont="1" applyBorder="1" applyAlignment="1">
      <alignment horizontal="center" vertical="center"/>
    </xf>
    <xf numFmtId="174" fontId="28" fillId="0" borderId="116" xfId="0" applyNumberFormat="1" applyFont="1" applyBorder="1" applyAlignment="1">
      <alignment horizontal="right"/>
    </xf>
    <xf numFmtId="1" fontId="28" fillId="0" borderId="73" xfId="0" applyNumberFormat="1" applyFont="1" applyBorder="1" applyAlignment="1">
      <alignment horizontal="center"/>
    </xf>
    <xf numFmtId="174" fontId="57" fillId="0" borderId="73" xfId="0" applyNumberFormat="1" applyFont="1" applyBorder="1"/>
    <xf numFmtId="0" fontId="52" fillId="0" borderId="86" xfId="0" applyFont="1" applyBorder="1" applyAlignment="1">
      <alignment vertical="center"/>
    </xf>
    <xf numFmtId="168" fontId="28" fillId="0" borderId="86" xfId="0" applyNumberFormat="1" applyFont="1" applyBorder="1" applyAlignment="1">
      <alignment vertical="center"/>
    </xf>
    <xf numFmtId="174" fontId="28" fillId="0" borderId="67" xfId="0" applyNumberFormat="1" applyFont="1" applyBorder="1" applyAlignment="1">
      <alignment horizontal="right"/>
    </xf>
    <xf numFmtId="1" fontId="28" fillId="0" borderId="67" xfId="0" applyNumberFormat="1" applyFont="1" applyBorder="1" applyAlignment="1">
      <alignment horizontal="center"/>
    </xf>
    <xf numFmtId="174" fontId="57" fillId="0" borderId="67" xfId="0" applyNumberFormat="1" applyFont="1" applyBorder="1"/>
    <xf numFmtId="0" fontId="28" fillId="0" borderId="115" xfId="0" applyFont="1" applyBorder="1" applyAlignment="1">
      <alignment vertical="center"/>
    </xf>
    <xf numFmtId="4" fontId="7" fillId="0" borderId="115" xfId="0" applyNumberFormat="1" applyFont="1" applyBorder="1" applyAlignment="1">
      <alignment vertical="center"/>
    </xf>
    <xf numFmtId="0" fontId="12" fillId="0" borderId="115" xfId="0" applyFont="1" applyBorder="1"/>
    <xf numFmtId="168" fontId="28" fillId="0" borderId="115" xfId="0" applyNumberFormat="1" applyFont="1" applyBorder="1" applyAlignment="1">
      <alignment vertical="center"/>
    </xf>
    <xf numFmtId="174" fontId="28" fillId="0" borderId="115" xfId="0" applyNumberFormat="1" applyFont="1" applyBorder="1" applyAlignment="1">
      <alignment horizontal="right"/>
    </xf>
    <xf numFmtId="1" fontId="28" fillId="0" borderId="115" xfId="0" applyNumberFormat="1" applyFont="1" applyBorder="1" applyAlignment="1">
      <alignment horizontal="center"/>
    </xf>
    <xf numFmtId="174" fontId="57" fillId="0" borderId="115" xfId="0" applyNumberFormat="1" applyFont="1" applyBorder="1"/>
    <xf numFmtId="2" fontId="7" fillId="0" borderId="115" xfId="0" applyNumberFormat="1" applyFont="1" applyBorder="1"/>
    <xf numFmtId="167" fontId="18" fillId="0" borderId="89" xfId="0" applyNumberFormat="1" applyFont="1" applyBorder="1"/>
    <xf numFmtId="167" fontId="22" fillId="0" borderId="73" xfId="0" applyNumberFormat="1" applyFont="1" applyBorder="1"/>
    <xf numFmtId="44" fontId="40" fillId="30" borderId="97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44" fontId="40" fillId="4" borderId="89" xfId="1" applyFont="1" applyFill="1" applyBorder="1" applyAlignment="1"/>
    <xf numFmtId="0" fontId="7" fillId="4" borderId="97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52" fillId="0" borderId="86" xfId="0" applyFont="1" applyBorder="1" applyAlignment="1">
      <alignment vertical="center" wrapText="1"/>
    </xf>
    <xf numFmtId="0" fontId="7" fillId="0" borderId="89" xfId="0" applyFont="1" applyBorder="1" applyAlignment="1">
      <alignment vertical="center"/>
    </xf>
    <xf numFmtId="174" fontId="52" fillId="0" borderId="97" xfId="0" applyNumberFormat="1" applyFont="1" applyBorder="1" applyAlignment="1">
      <alignment vertical="center"/>
    </xf>
    <xf numFmtId="168" fontId="82" fillId="0" borderId="86" xfId="0" applyNumberFormat="1" applyFont="1" applyBorder="1" applyAlignment="1">
      <alignment vertical="center"/>
    </xf>
    <xf numFmtId="168" fontId="79" fillId="0" borderId="67" xfId="0" applyNumberFormat="1" applyFont="1" applyBorder="1" applyAlignment="1">
      <alignment vertical="center"/>
    </xf>
    <xf numFmtId="0" fontId="79" fillId="0" borderId="97" xfId="0" applyFont="1" applyBorder="1" applyAlignment="1">
      <alignment horizontal="center" vertical="center"/>
    </xf>
    <xf numFmtId="0" fontId="90" fillId="0" borderId="97" xfId="0" applyFont="1" applyBorder="1" applyAlignment="1">
      <alignment horizontal="center" vertical="center"/>
    </xf>
    <xf numFmtId="44" fontId="40" fillId="0" borderId="97" xfId="1" applyFont="1" applyFill="1" applyBorder="1" applyAlignment="1">
      <alignment vertic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172" fontId="7" fillId="0" borderId="0" xfId="2" applyNumberFormat="1" applyFont="1" applyAlignment="1">
      <alignment horizontal="center"/>
    </xf>
    <xf numFmtId="0" fontId="28" fillId="0" borderId="97" xfId="0" applyFont="1" applyBorder="1" applyAlignment="1">
      <alignment horizontal="left" wrapText="1"/>
    </xf>
    <xf numFmtId="174" fontId="28" fillId="0" borderId="97" xfId="0" applyNumberFormat="1" applyFont="1" applyBorder="1"/>
    <xf numFmtId="167" fontId="40" fillId="0" borderId="97" xfId="0" applyNumberFormat="1" applyFont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68" fontId="82" fillId="0" borderId="0" xfId="0" applyNumberFormat="1" applyFont="1" applyAlignment="1">
      <alignment horizontal="center" vertical="center"/>
    </xf>
    <xf numFmtId="164" fontId="18" fillId="0" borderId="89" xfId="0" applyNumberFormat="1" applyFont="1" applyBorder="1"/>
    <xf numFmtId="167" fontId="22" fillId="0" borderId="47" xfId="0" applyNumberFormat="1" applyFont="1" applyBorder="1"/>
    <xf numFmtId="164" fontId="7" fillId="0" borderId="89" xfId="0" applyNumberFormat="1" applyFont="1" applyBorder="1" applyAlignment="1">
      <alignment vertical="center"/>
    </xf>
    <xf numFmtId="167" fontId="22" fillId="0" borderId="78" xfId="0" applyNumberFormat="1" applyFont="1" applyBorder="1"/>
    <xf numFmtId="167" fontId="22" fillId="0" borderId="78" xfId="0" applyNumberFormat="1" applyFont="1" applyBorder="1" applyAlignment="1">
      <alignment wrapText="1"/>
    </xf>
    <xf numFmtId="167" fontId="22" fillId="0" borderId="111" xfId="0" applyNumberFormat="1" applyFont="1" applyBorder="1"/>
    <xf numFmtId="1" fontId="72" fillId="0" borderId="0" xfId="0" applyNumberFormat="1" applyFont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7" xfId="0" applyFont="1" applyBorder="1" applyAlignment="1">
      <alignment horizontal="left" vertical="center"/>
    </xf>
    <xf numFmtId="0" fontId="94" fillId="0" borderId="97" xfId="0" applyFont="1" applyBorder="1" applyAlignment="1">
      <alignment horizontal="left" vertical="center"/>
    </xf>
    <xf numFmtId="0" fontId="52" fillId="0" borderId="73" xfId="0" applyFont="1" applyBorder="1" applyAlignment="1">
      <alignment vertical="center"/>
    </xf>
    <xf numFmtId="0" fontId="7" fillId="0" borderId="89" xfId="0" applyFont="1" applyBorder="1"/>
    <xf numFmtId="174" fontId="52" fillId="0" borderId="97" xfId="0" applyNumberFormat="1" applyFont="1" applyBorder="1"/>
    <xf numFmtId="168" fontId="79" fillId="0" borderId="73" xfId="0" applyNumberFormat="1" applyFont="1" applyBorder="1" applyAlignment="1">
      <alignment vertical="center"/>
    </xf>
    <xf numFmtId="1" fontId="78" fillId="0" borderId="73" xfId="0" applyNumberFormat="1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/>
    </xf>
    <xf numFmtId="4" fontId="91" fillId="0" borderId="97" xfId="0" applyNumberFormat="1" applyFont="1" applyBorder="1" applyAlignment="1">
      <alignment horizontal="left"/>
    </xf>
    <xf numFmtId="44" fontId="28" fillId="0" borderId="117" xfId="1" applyFont="1" applyFill="1" applyBorder="1" applyAlignment="1"/>
    <xf numFmtId="1" fontId="72" fillId="0" borderId="120" xfId="0" applyNumberFormat="1" applyFont="1" applyBorder="1" applyAlignment="1">
      <alignment vertical="center" wrapText="1"/>
    </xf>
    <xf numFmtId="44" fontId="28" fillId="0" borderId="89" xfId="1" applyFont="1" applyFill="1" applyBorder="1" applyAlignment="1"/>
    <xf numFmtId="167" fontId="7" fillId="0" borderId="67" xfId="0" applyNumberFormat="1" applyFont="1" applyBorder="1" applyAlignment="1">
      <alignment horizontal="center" vertical="center" wrapText="1"/>
    </xf>
    <xf numFmtId="44" fontId="28" fillId="0" borderId="97" xfId="1" applyFont="1" applyFill="1" applyBorder="1" applyAlignment="1"/>
    <xf numFmtId="44" fontId="7" fillId="0" borderId="97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2" xfId="1" applyFont="1" applyFill="1" applyBorder="1" applyAlignment="1"/>
    <xf numFmtId="167" fontId="7" fillId="0" borderId="86" xfId="0" applyNumberFormat="1" applyFont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8" xfId="1" applyFont="1" applyFill="1" applyBorder="1" applyAlignment="1"/>
    <xf numFmtId="4" fontId="79" fillId="0" borderId="97" xfId="0" applyNumberFormat="1" applyFont="1" applyBorder="1" applyAlignment="1">
      <alignment horizontal="center" vertical="center"/>
    </xf>
    <xf numFmtId="164" fontId="7" fillId="0" borderId="67" xfId="0" applyNumberFormat="1" applyFont="1" applyBorder="1"/>
    <xf numFmtId="167" fontId="18" fillId="0" borderId="73" xfId="0" applyNumberFormat="1" applyFont="1" applyBorder="1"/>
    <xf numFmtId="167" fontId="18" fillId="0" borderId="67" xfId="0" applyNumberFormat="1" applyFont="1" applyBorder="1"/>
    <xf numFmtId="167" fontId="18" fillId="0" borderId="112" xfId="0" applyNumberFormat="1" applyFont="1" applyBorder="1"/>
    <xf numFmtId="0" fontId="28" fillId="0" borderId="73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164" fontId="10" fillId="0" borderId="67" xfId="0" applyNumberFormat="1" applyFont="1" applyBorder="1"/>
    <xf numFmtId="0" fontId="7" fillId="0" borderId="73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/>
    </xf>
    <xf numFmtId="4" fontId="7" fillId="0" borderId="86" xfId="0" applyNumberFormat="1" applyFont="1" applyBorder="1" applyAlignment="1">
      <alignment vertical="center"/>
    </xf>
    <xf numFmtId="0" fontId="12" fillId="0" borderId="86" xfId="0" applyFont="1" applyBorder="1"/>
    <xf numFmtId="4" fontId="79" fillId="0" borderId="111" xfId="0" applyNumberFormat="1" applyFont="1" applyBorder="1" applyAlignment="1">
      <alignment horizontal="center" vertical="center"/>
    </xf>
    <xf numFmtId="0" fontId="12" fillId="0" borderId="112" xfId="0" applyFont="1" applyBorder="1"/>
    <xf numFmtId="4" fontId="7" fillId="0" borderId="33" xfId="0" applyNumberFormat="1" applyFont="1" applyBorder="1" applyAlignment="1">
      <alignment vertical="center"/>
    </xf>
    <xf numFmtId="44" fontId="40" fillId="0" borderId="116" xfId="1" applyFont="1" applyFill="1" applyBorder="1" applyAlignment="1">
      <alignment horizontal="center" vertical="center"/>
    </xf>
    <xf numFmtId="167" fontId="22" fillId="30" borderId="67" xfId="0" applyNumberFormat="1" applyFont="1" applyFill="1" applyBorder="1" applyAlignment="1">
      <alignment vertical="center" wrapText="1"/>
    </xf>
    <xf numFmtId="0" fontId="7" fillId="0" borderId="33" xfId="0" applyFont="1" applyBorder="1" applyAlignment="1">
      <alignment horizontal="left" wrapText="1"/>
    </xf>
    <xf numFmtId="168" fontId="28" fillId="0" borderId="67" xfId="0" applyNumberFormat="1" applyFont="1" applyBorder="1" applyAlignment="1">
      <alignment horizontal="center" vertical="center"/>
    </xf>
    <xf numFmtId="0" fontId="52" fillId="0" borderId="97" xfId="0" applyFont="1" applyBorder="1" applyAlignment="1">
      <alignment horizontal="center" vertical="center"/>
    </xf>
    <xf numFmtId="0" fontId="28" fillId="0" borderId="97" xfId="0" applyFont="1" applyBorder="1" applyAlignment="1">
      <alignment horizontal="left" vertical="center"/>
    </xf>
    <xf numFmtId="0" fontId="52" fillId="0" borderId="97" xfId="0" applyFont="1" applyBorder="1" applyAlignment="1">
      <alignment horizontal="center"/>
    </xf>
    <xf numFmtId="0" fontId="40" fillId="0" borderId="67" xfId="0" applyFont="1" applyBorder="1" applyAlignment="1">
      <alignment horizontal="center" vertical="center" wrapText="1"/>
    </xf>
    <xf numFmtId="0" fontId="68" fillId="0" borderId="89" xfId="0" applyFont="1" applyBorder="1" applyAlignment="1">
      <alignment vertical="center"/>
    </xf>
    <xf numFmtId="0" fontId="7" fillId="0" borderId="89" xfId="0" applyFont="1" applyBorder="1" applyAlignment="1">
      <alignment horizontal="center"/>
    </xf>
    <xf numFmtId="167" fontId="40" fillId="0" borderId="89" xfId="0" applyNumberFormat="1" applyFont="1" applyBorder="1" applyAlignment="1">
      <alignment vertical="center"/>
    </xf>
    <xf numFmtId="167" fontId="72" fillId="0" borderId="67" xfId="0" applyNumberFormat="1" applyFont="1" applyBorder="1" applyAlignment="1">
      <alignment horizontal="center" vertical="center"/>
    </xf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4" fontId="7" fillId="22" borderId="33" xfId="0" applyNumberFormat="1" applyFont="1" applyFill="1" applyBorder="1"/>
    <xf numFmtId="167" fontId="17" fillId="22" borderId="33" xfId="0" applyNumberFormat="1" applyFont="1" applyFill="1" applyBorder="1" applyAlignment="1">
      <alignment wrapText="1"/>
    </xf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 vertical="center"/>
    </xf>
    <xf numFmtId="44" fontId="28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6" fontId="17" fillId="22" borderId="33" xfId="0" applyNumberFormat="1" applyFont="1" applyFill="1" applyBorder="1" applyAlignment="1">
      <alignment horizontal="left" wrapText="1"/>
    </xf>
    <xf numFmtId="44" fontId="7" fillId="22" borderId="33" xfId="1" applyFont="1" applyFill="1" applyBorder="1"/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0" fontId="17" fillId="22" borderId="33" xfId="0" applyFont="1" applyFill="1" applyBorder="1" applyAlignment="1">
      <alignment horizontal="left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7" fillId="2" borderId="73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/>
    <xf numFmtId="4" fontId="8" fillId="7" borderId="0" xfId="0" applyNumberFormat="1" applyFont="1" applyFill="1"/>
    <xf numFmtId="2" fontId="83" fillId="7" borderId="0" xfId="0" applyNumberFormat="1" applyFont="1" applyFill="1" applyAlignment="1">
      <alignment horizontal="right"/>
    </xf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2" fontId="10" fillId="7" borderId="0" xfId="0" applyNumberFormat="1" applyFont="1" applyFill="1"/>
    <xf numFmtId="164" fontId="7" fillId="7" borderId="0" xfId="0" applyNumberFormat="1" applyFont="1" applyFill="1"/>
    <xf numFmtId="2" fontId="7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1" fontId="7" fillId="30" borderId="4" xfId="0" applyNumberFormat="1" applyFont="1" applyFill="1" applyBorder="1" applyAlignment="1">
      <alignment horizontal="center"/>
    </xf>
    <xf numFmtId="0" fontId="79" fillId="29" borderId="0" xfId="0" applyFont="1" applyFill="1" applyAlignment="1">
      <alignment horizontal="center"/>
    </xf>
    <xf numFmtId="2" fontId="83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82" fillId="7" borderId="0" xfId="0" applyNumberFormat="1" applyFont="1" applyFill="1"/>
    <xf numFmtId="0" fontId="7" fillId="29" borderId="4" xfId="0" applyFont="1" applyFill="1" applyBorder="1"/>
    <xf numFmtId="0" fontId="7" fillId="29" borderId="4" xfId="0" applyFont="1" applyFill="1" applyBorder="1" applyAlignment="1">
      <alignment horizontal="left"/>
    </xf>
    <xf numFmtId="164" fontId="83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81" fillId="2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2" fontId="83" fillId="0" borderId="0" xfId="0" applyNumberFormat="1" applyFont="1" applyFill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164" fontId="8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83" fillId="7" borderId="10" xfId="0" applyNumberFormat="1" applyFont="1" applyFill="1" applyBorder="1" applyAlignment="1">
      <alignment horizontal="right"/>
    </xf>
    <xf numFmtId="0" fontId="64" fillId="0" borderId="4" xfId="0" applyFont="1" applyBorder="1" applyAlignment="1">
      <alignment horizontal="right"/>
    </xf>
    <xf numFmtId="4" fontId="0" fillId="7" borderId="5" xfId="0" applyNumberFormat="1" applyFill="1" applyBorder="1"/>
    <xf numFmtId="164" fontId="10" fillId="7" borderId="79" xfId="0" applyNumberFormat="1" applyFont="1" applyFill="1" applyBorder="1"/>
    <xf numFmtId="4" fontId="12" fillId="7" borderId="5" xfId="0" applyNumberFormat="1" applyFont="1" applyFill="1" applyBorder="1"/>
    <xf numFmtId="164" fontId="7" fillId="7" borderId="0" xfId="0" applyNumberFormat="1" applyFont="1" applyFill="1" applyAlignment="1">
      <alignment horizontal="center"/>
    </xf>
    <xf numFmtId="4" fontId="3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90" fillId="29" borderId="33" xfId="0" applyFont="1" applyFill="1" applyBorder="1" applyAlignment="1">
      <alignment horizontal="center"/>
    </xf>
    <xf numFmtId="164" fontId="44" fillId="7" borderId="0" xfId="0" applyNumberFormat="1" applyFont="1" applyFill="1"/>
    <xf numFmtId="0" fontId="81" fillId="4" borderId="0" xfId="0" applyFont="1" applyFill="1" applyAlignment="1">
      <alignment horizontal="center" wrapText="1"/>
    </xf>
    <xf numFmtId="0" fontId="71" fillId="4" borderId="33" xfId="0" applyFont="1" applyFill="1" applyBorder="1" applyAlignment="1">
      <alignment horizontal="center" vertical="center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wrapText="1"/>
    </xf>
    <xf numFmtId="168" fontId="7" fillId="4" borderId="0" xfId="0" applyNumberFormat="1" applyFont="1" applyFill="1"/>
    <xf numFmtId="0" fontId="90" fillId="4" borderId="0" xfId="0" applyFont="1" applyFill="1" applyAlignment="1">
      <alignment horizontal="center"/>
    </xf>
    <xf numFmtId="167" fontId="17" fillId="4" borderId="33" xfId="0" applyNumberFormat="1" applyFont="1" applyFill="1" applyBorder="1" applyAlignment="1">
      <alignment horizontal="left" wrapText="1"/>
    </xf>
    <xf numFmtId="2" fontId="83" fillId="7" borderId="5" xfId="0" applyNumberFormat="1" applyFont="1" applyFill="1" applyBorder="1" applyAlignment="1">
      <alignment horizontal="right"/>
    </xf>
    <xf numFmtId="164" fontId="83" fillId="7" borderId="0" xfId="0" applyNumberFormat="1" applyFont="1" applyFill="1" applyAlignment="1">
      <alignment horizontal="right"/>
    </xf>
    <xf numFmtId="44" fontId="83" fillId="7" borderId="0" xfId="1" applyFont="1" applyFill="1"/>
    <xf numFmtId="0" fontId="90" fillId="4" borderId="0" xfId="0" applyFont="1" applyFill="1" applyAlignment="1">
      <alignment horizontal="center" wrapText="1"/>
    </xf>
    <xf numFmtId="0" fontId="52" fillId="4" borderId="33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44" fontId="7" fillId="4" borderId="33" xfId="1" applyFont="1" applyFill="1" applyBorder="1"/>
    <xf numFmtId="0" fontId="17" fillId="4" borderId="33" xfId="0" applyFont="1" applyFill="1" applyBorder="1" applyAlignment="1">
      <alignment horizontal="left" wrapText="1"/>
    </xf>
    <xf numFmtId="15" fontId="7" fillId="0" borderId="4" xfId="0" applyNumberFormat="1" applyFont="1" applyFill="1" applyBorder="1"/>
    <xf numFmtId="0" fontId="7" fillId="4" borderId="4" xfId="0" applyFont="1" applyFill="1" applyBorder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1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7" borderId="0" xfId="0" applyNumberFormat="1" applyFill="1"/>
    <xf numFmtId="164" fontId="34" fillId="7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0" fontId="7" fillId="4" borderId="10" xfId="0" applyFont="1" applyFill="1" applyBorder="1" applyAlignment="1">
      <alignment horizontal="right"/>
    </xf>
    <xf numFmtId="0" fontId="7" fillId="4" borderId="50" xfId="0" applyFont="1" applyFill="1" applyBorder="1" applyAlignment="1">
      <alignment horizontal="right"/>
    </xf>
    <xf numFmtId="0" fontId="7" fillId="33" borderId="0" xfId="0" applyFont="1" applyFill="1" applyAlignment="1">
      <alignment vertical="center" wrapText="1"/>
    </xf>
    <xf numFmtId="164" fontId="97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2" fontId="8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3" fillId="2" borderId="15" xfId="0" applyNumberFormat="1" applyFont="1" applyFill="1" applyBorder="1"/>
    <xf numFmtId="0" fontId="83" fillId="2" borderId="10" xfId="0" applyFont="1" applyFill="1" applyBorder="1" applyAlignment="1">
      <alignment horizontal="right"/>
    </xf>
    <xf numFmtId="164" fontId="83" fillId="2" borderId="0" xfId="0" applyNumberFormat="1" applyFont="1" applyFill="1"/>
    <xf numFmtId="0" fontId="85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3" fillId="22" borderId="37" xfId="0" applyNumberFormat="1" applyFont="1" applyFill="1" applyBorder="1" applyAlignment="1">
      <alignment horizontal="right"/>
    </xf>
    <xf numFmtId="0" fontId="28" fillId="32" borderId="129" xfId="0" applyFont="1" applyFill="1" applyBorder="1" applyAlignment="1">
      <alignment horizontal="center" wrapText="1"/>
    </xf>
    <xf numFmtId="0" fontId="28" fillId="32" borderId="128" xfId="0" applyFont="1" applyFill="1" applyBorder="1" applyAlignment="1">
      <alignment vertical="center" wrapText="1"/>
    </xf>
    <xf numFmtId="0" fontId="100" fillId="4" borderId="0" xfId="0" applyFont="1" applyFill="1" applyAlignment="1">
      <alignment horizontal="center"/>
    </xf>
    <xf numFmtId="2" fontId="83" fillId="0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82" fillId="0" borderId="0" xfId="0" applyFont="1" applyAlignment="1">
      <alignment wrapText="1"/>
    </xf>
    <xf numFmtId="44" fontId="7" fillId="35" borderId="0" xfId="1" applyFont="1" applyFill="1"/>
    <xf numFmtId="0" fontId="7" fillId="35" borderId="4" xfId="0" applyFont="1" applyFill="1" applyBorder="1" applyAlignment="1">
      <alignment horizontal="center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4" fontId="83" fillId="7" borderId="51" xfId="0" applyNumberFormat="1" applyFont="1" applyFill="1" applyBorder="1"/>
    <xf numFmtId="0" fontId="83" fillId="7" borderId="0" xfId="0" applyFont="1" applyFill="1" applyAlignment="1">
      <alignment horizontal="center"/>
    </xf>
    <xf numFmtId="0" fontId="94" fillId="2" borderId="67" xfId="0" applyFont="1" applyFill="1" applyBorder="1" applyAlignment="1">
      <alignment horizontal="center" vertical="center" wrapText="1"/>
    </xf>
    <xf numFmtId="44" fontId="63" fillId="2" borderId="33" xfId="1" applyFont="1" applyFill="1" applyBorder="1" applyAlignment="1"/>
    <xf numFmtId="167" fontId="10" fillId="2" borderId="67" xfId="0" applyNumberFormat="1" applyFont="1" applyFill="1" applyBorder="1" applyAlignment="1">
      <alignment horizontal="center" vertical="center" wrapText="1"/>
    </xf>
    <xf numFmtId="167" fontId="28" fillId="4" borderId="33" xfId="0" applyNumberFormat="1" applyFont="1" applyFill="1" applyBorder="1" applyAlignment="1">
      <alignment horizontal="center" vertical="center"/>
    </xf>
    <xf numFmtId="1" fontId="72" fillId="0" borderId="86" xfId="0" applyNumberFormat="1" applyFont="1" applyBorder="1" applyAlignment="1">
      <alignment horizontal="center" vertical="center"/>
    </xf>
    <xf numFmtId="44" fontId="79" fillId="2" borderId="33" xfId="1" applyFont="1" applyFill="1" applyBorder="1" applyAlignment="1"/>
    <xf numFmtId="167" fontId="82" fillId="2" borderId="73" xfId="0" applyNumberFormat="1" applyFont="1" applyFill="1" applyBorder="1" applyAlignment="1">
      <alignment vertical="center" wrapText="1"/>
    </xf>
    <xf numFmtId="44" fontId="81" fillId="2" borderId="33" xfId="1" applyFont="1" applyFill="1" applyBorder="1" applyAlignment="1"/>
    <xf numFmtId="167" fontId="82" fillId="2" borderId="86" xfId="0" applyNumberFormat="1" applyFont="1" applyFill="1" applyBorder="1" applyAlignment="1">
      <alignment wrapText="1"/>
    </xf>
    <xf numFmtId="167" fontId="82" fillId="2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44" fontId="82" fillId="2" borderId="33" xfId="1" applyFont="1" applyFill="1" applyBorder="1" applyAlignment="1">
      <alignment horizontal="right"/>
    </xf>
    <xf numFmtId="0" fontId="92" fillId="2" borderId="33" xfId="0" applyFont="1" applyFill="1" applyBorder="1" applyAlignment="1">
      <alignment horizontal="left" wrapText="1"/>
    </xf>
    <xf numFmtId="44" fontId="81" fillId="2" borderId="89" xfId="1" applyFont="1" applyFill="1" applyBorder="1" applyAlignment="1"/>
    <xf numFmtId="44" fontId="81" fillId="2" borderId="112" xfId="1" applyFont="1" applyFill="1" applyBorder="1" applyAlignment="1"/>
    <xf numFmtId="44" fontId="40" fillId="0" borderId="73" xfId="1" applyFont="1" applyFill="1" applyBorder="1" applyAlignment="1"/>
    <xf numFmtId="167" fontId="22" fillId="0" borderId="86" xfId="0" applyNumberFormat="1" applyFont="1" applyBorder="1" applyAlignment="1">
      <alignment vertical="center" wrapText="1"/>
    </xf>
    <xf numFmtId="44" fontId="81" fillId="2" borderId="98" xfId="1" applyFont="1" applyFill="1" applyBorder="1" applyAlignment="1"/>
    <xf numFmtId="167" fontId="92" fillId="2" borderId="100" xfId="0" applyNumberFormat="1" applyFont="1" applyFill="1" applyBorder="1" applyAlignment="1">
      <alignment vertical="center" wrapText="1"/>
    </xf>
    <xf numFmtId="167" fontId="82" fillId="2" borderId="86" xfId="0" applyNumberFormat="1" applyFont="1" applyFill="1" applyBorder="1" applyAlignment="1">
      <alignment vertical="center" wrapText="1"/>
    </xf>
    <xf numFmtId="167" fontId="7" fillId="0" borderId="89" xfId="0" applyNumberFormat="1" applyFont="1" applyBorder="1" applyAlignment="1">
      <alignment vertical="center"/>
    </xf>
    <xf numFmtId="167" fontId="22" fillId="0" borderId="117" xfId="0" applyNumberFormat="1" applyFont="1" applyBorder="1"/>
    <xf numFmtId="167" fontId="7" fillId="0" borderId="67" xfId="0" applyNumberFormat="1" applyFont="1" applyBorder="1" applyAlignment="1">
      <alignment wrapText="1"/>
    </xf>
    <xf numFmtId="44" fontId="7" fillId="9" borderId="33" xfId="1" applyFont="1" applyFill="1" applyBorder="1" applyAlignment="1">
      <alignment horizontal="right"/>
    </xf>
    <xf numFmtId="44" fontId="7" fillId="9" borderId="33" xfId="1" applyFont="1" applyFill="1" applyBorder="1" applyAlignment="1">
      <alignment horizontal="center"/>
    </xf>
    <xf numFmtId="44" fontId="7" fillId="9" borderId="33" xfId="1" applyFont="1" applyFill="1" applyBorder="1" applyAlignment="1">
      <alignment horizontal="right" vertical="center"/>
    </xf>
    <xf numFmtId="44" fontId="7" fillId="36" borderId="33" xfId="1" applyFont="1" applyFill="1" applyBorder="1" applyAlignment="1">
      <alignment horizontal="right"/>
    </xf>
    <xf numFmtId="44" fontId="7" fillId="36" borderId="33" xfId="1" applyFont="1" applyFill="1" applyBorder="1" applyAlignment="1">
      <alignment horizontal="center" wrapText="1"/>
    </xf>
    <xf numFmtId="44" fontId="7" fillId="36" borderId="33" xfId="1" applyFont="1" applyFill="1" applyBorder="1" applyAlignment="1">
      <alignment horizontal="center" vertical="center"/>
    </xf>
    <xf numFmtId="44" fontId="7" fillId="36" borderId="33" xfId="1" applyFont="1" applyFill="1" applyBorder="1" applyAlignment="1">
      <alignment horizontal="center"/>
    </xf>
    <xf numFmtId="164" fontId="7" fillId="0" borderId="73" xfId="0" applyNumberFormat="1" applyFont="1" applyBorder="1" applyAlignment="1">
      <alignment vertical="center"/>
    </xf>
    <xf numFmtId="0" fontId="28" fillId="0" borderId="67" xfId="0" applyFont="1" applyBorder="1" applyAlignment="1">
      <alignment horizontal="center"/>
    </xf>
    <xf numFmtId="164" fontId="18" fillId="0" borderId="67" xfId="0" applyNumberFormat="1" applyFont="1" applyBorder="1"/>
    <xf numFmtId="44" fontId="40" fillId="23" borderId="139" xfId="1" applyFont="1" applyFill="1" applyBorder="1" applyAlignment="1">
      <alignment horizontal="center" vertical="center"/>
    </xf>
    <xf numFmtId="44" fontId="40" fillId="23" borderId="140" xfId="1" applyFont="1" applyFill="1" applyBorder="1" applyAlignment="1">
      <alignment horizontal="center" vertical="center"/>
    </xf>
    <xf numFmtId="44" fontId="40" fillId="23" borderId="141" xfId="1" applyFont="1" applyFill="1" applyBorder="1" applyAlignment="1">
      <alignment horizontal="center" vertical="center"/>
    </xf>
    <xf numFmtId="167" fontId="7" fillId="0" borderId="48" xfId="0" applyNumberFormat="1" applyFont="1" applyBorder="1" applyAlignment="1">
      <alignment horizontal="center" vertical="center" wrapText="1"/>
    </xf>
    <xf numFmtId="167" fontId="7" fillId="0" borderId="51" xfId="0" applyNumberFormat="1" applyFont="1" applyBorder="1" applyAlignment="1">
      <alignment horizontal="center" vertical="center" wrapText="1"/>
    </xf>
    <xf numFmtId="167" fontId="7" fillId="0" borderId="49" xfId="0" applyNumberFormat="1" applyFont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 wrapText="1"/>
    </xf>
    <xf numFmtId="167" fontId="22" fillId="0" borderId="51" xfId="0" applyNumberFormat="1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horizontal="center" vertical="center" wrapText="1"/>
    </xf>
    <xf numFmtId="167" fontId="22" fillId="0" borderId="108" xfId="0" applyNumberFormat="1" applyFont="1" applyBorder="1" applyAlignment="1">
      <alignment horizontal="center" vertical="center" wrapText="1"/>
    </xf>
    <xf numFmtId="167" fontId="22" fillId="0" borderId="109" xfId="0" applyNumberFormat="1" applyFont="1" applyBorder="1" applyAlignment="1">
      <alignment horizontal="center" vertical="center" wrapText="1"/>
    </xf>
    <xf numFmtId="167" fontId="22" fillId="0" borderId="110" xfId="0" applyNumberFormat="1" applyFont="1" applyBorder="1" applyAlignment="1">
      <alignment horizontal="center" vertical="center" wrapText="1"/>
    </xf>
    <xf numFmtId="167" fontId="7" fillId="0" borderId="75" xfId="0" applyNumberFormat="1" applyFont="1" applyBorder="1" applyAlignment="1">
      <alignment horizontal="center" vertical="center" wrapText="1"/>
    </xf>
    <xf numFmtId="167" fontId="7" fillId="0" borderId="76" xfId="0" applyNumberFormat="1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69" xfId="0" applyNumberFormat="1" applyFont="1" applyBorder="1" applyAlignment="1">
      <alignment horizontal="center" vertical="center" wrapText="1"/>
    </xf>
    <xf numFmtId="167" fontId="7" fillId="0" borderId="114" xfId="0" applyNumberFormat="1" applyFont="1" applyBorder="1" applyAlignment="1">
      <alignment horizontal="center" vertical="center" wrapText="1"/>
    </xf>
    <xf numFmtId="167" fontId="7" fillId="0" borderId="70" xfId="0" applyNumberFormat="1" applyFont="1" applyBorder="1" applyAlignment="1">
      <alignment horizontal="center" vertical="center" wrapText="1"/>
    </xf>
    <xf numFmtId="167" fontId="28" fillId="0" borderId="48" xfId="0" applyNumberFormat="1" applyFont="1" applyBorder="1" applyAlignment="1">
      <alignment horizontal="center" vertical="center" wrapText="1"/>
    </xf>
    <xf numFmtId="167" fontId="28" fillId="0" borderId="49" xfId="0" applyNumberFormat="1" applyFont="1" applyBorder="1" applyAlignment="1">
      <alignment horizontal="center" vertical="center" wrapText="1"/>
    </xf>
    <xf numFmtId="167" fontId="82" fillId="2" borderId="51" xfId="0" applyNumberFormat="1" applyFont="1" applyFill="1" applyBorder="1" applyAlignment="1">
      <alignment horizontal="center" vertical="center" wrapText="1"/>
    </xf>
    <xf numFmtId="167" fontId="82" fillId="2" borderId="49" xfId="0" applyNumberFormat="1" applyFont="1" applyFill="1" applyBorder="1" applyAlignment="1">
      <alignment horizontal="center" vertical="center" wrapText="1"/>
    </xf>
    <xf numFmtId="0" fontId="52" fillId="0" borderId="48" xfId="0" applyFont="1" applyBorder="1" applyAlignment="1">
      <alignment horizontal="center" vertical="center" wrapText="1"/>
    </xf>
    <xf numFmtId="0" fontId="52" fillId="0" borderId="49" xfId="0" applyFont="1" applyBorder="1" applyAlignment="1">
      <alignment horizontal="center" vertical="center" wrapText="1"/>
    </xf>
    <xf numFmtId="0" fontId="52" fillId="2" borderId="119" xfId="0" applyFont="1" applyFill="1" applyBorder="1" applyAlignment="1">
      <alignment horizontal="center" vertical="center" wrapText="1"/>
    </xf>
    <xf numFmtId="0" fontId="52" fillId="2" borderId="85" xfId="0" applyFont="1" applyFill="1" applyBorder="1" applyAlignment="1">
      <alignment horizontal="center" vertical="center" wrapText="1"/>
    </xf>
    <xf numFmtId="0" fontId="52" fillId="2" borderId="120" xfId="0" applyFont="1" applyFill="1" applyBorder="1" applyAlignment="1">
      <alignment horizontal="center" vertical="center" wrapText="1"/>
    </xf>
    <xf numFmtId="168" fontId="82" fillId="2" borderId="119" xfId="0" applyNumberFormat="1" applyFont="1" applyFill="1" applyBorder="1" applyAlignment="1">
      <alignment horizontal="center" vertical="center" wrapText="1"/>
    </xf>
    <xf numFmtId="168" fontId="82" fillId="2" borderId="85" xfId="0" applyNumberFormat="1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0" fontId="52" fillId="0" borderId="107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168" fontId="79" fillId="0" borderId="107" xfId="0" applyNumberFormat="1" applyFont="1" applyBorder="1" applyAlignment="1">
      <alignment horizontal="center" vertical="center"/>
    </xf>
    <xf numFmtId="168" fontId="79" fillId="0" borderId="70" xfId="0" applyNumberFormat="1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3" xfId="0" applyFont="1" applyBorder="1" applyAlignment="1">
      <alignment horizontal="center" vertical="center"/>
    </xf>
    <xf numFmtId="0" fontId="52" fillId="0" borderId="38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168" fontId="82" fillId="0" borderId="48" xfId="0" applyNumberFormat="1" applyFont="1" applyBorder="1" applyAlignment="1">
      <alignment horizontal="center" vertical="center"/>
    </xf>
    <xf numFmtId="168" fontId="82" fillId="0" borderId="49" xfId="0" applyNumberFormat="1" applyFont="1" applyBorder="1" applyAlignment="1">
      <alignment horizontal="center" vertical="center"/>
    </xf>
    <xf numFmtId="168" fontId="28" fillId="0" borderId="48" xfId="0" applyNumberFormat="1" applyFont="1" applyBorder="1" applyAlignment="1">
      <alignment horizontal="center" vertical="center"/>
    </xf>
    <xf numFmtId="168" fontId="28" fillId="0" borderId="51" xfId="0" applyNumberFormat="1" applyFont="1" applyBorder="1" applyAlignment="1">
      <alignment horizontal="center" vertical="center"/>
    </xf>
    <xf numFmtId="168" fontId="28" fillId="0" borderId="49" xfId="0" applyNumberFormat="1" applyFont="1" applyBorder="1" applyAlignment="1">
      <alignment horizontal="center" vertical="center"/>
    </xf>
    <xf numFmtId="1" fontId="72" fillId="2" borderId="119" xfId="0" applyNumberFormat="1" applyFont="1" applyFill="1" applyBorder="1" applyAlignment="1">
      <alignment horizontal="center" vertical="center" wrapText="1"/>
    </xf>
    <xf numFmtId="1" fontId="72" fillId="2" borderId="85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49" xfId="0" applyNumberFormat="1" applyFont="1" applyBorder="1" applyAlignment="1">
      <alignment horizontal="center" vertical="center"/>
    </xf>
    <xf numFmtId="164" fontId="7" fillId="23" borderId="29" xfId="0" applyNumberFormat="1" applyFont="1" applyFill="1" applyBorder="1" applyAlignment="1">
      <alignment horizontal="center" vertical="center" wrapText="1"/>
    </xf>
    <xf numFmtId="164" fontId="7" fillId="23" borderId="31" xfId="0" applyNumberFormat="1" applyFont="1" applyFill="1" applyBorder="1" applyAlignment="1">
      <alignment horizontal="center" vertical="center" wrapText="1"/>
    </xf>
    <xf numFmtId="1" fontId="78" fillId="0" borderId="48" xfId="0" applyNumberFormat="1" applyFont="1" applyBorder="1" applyAlignment="1">
      <alignment horizontal="center" vertical="center"/>
    </xf>
    <xf numFmtId="1" fontId="78" fillId="0" borderId="49" xfId="0" applyNumberFormat="1" applyFont="1" applyBorder="1" applyAlignment="1">
      <alignment horizontal="center" vertical="center"/>
    </xf>
    <xf numFmtId="44" fontId="40" fillId="9" borderId="121" xfId="1" applyFont="1" applyFill="1" applyBorder="1" applyAlignment="1">
      <alignment horizontal="center" vertical="center"/>
    </xf>
    <xf numFmtId="44" fontId="40" fillId="9" borderId="122" xfId="1" applyFont="1" applyFill="1" applyBorder="1" applyAlignment="1">
      <alignment horizontal="center" vertical="center"/>
    </xf>
    <xf numFmtId="44" fontId="40" fillId="9" borderId="123" xfId="1" applyFont="1" applyFill="1" applyBorder="1" applyAlignment="1">
      <alignment horizontal="center" vertical="center"/>
    </xf>
    <xf numFmtId="44" fontId="28" fillId="9" borderId="121" xfId="1" applyFont="1" applyFill="1" applyBorder="1" applyAlignment="1">
      <alignment horizontal="center" vertical="center"/>
    </xf>
    <xf numFmtId="44" fontId="28" fillId="9" borderId="122" xfId="1" applyFont="1" applyFill="1" applyBorder="1" applyAlignment="1">
      <alignment horizontal="center" vertical="center"/>
    </xf>
    <xf numFmtId="44" fontId="28" fillId="9" borderId="123" xfId="1" applyFont="1" applyFill="1" applyBorder="1" applyAlignment="1">
      <alignment horizontal="center" vertical="center"/>
    </xf>
    <xf numFmtId="168" fontId="79" fillId="0" borderId="113" xfId="0" applyNumberFormat="1" applyFont="1" applyBorder="1" applyAlignment="1">
      <alignment horizontal="center" vertical="center"/>
    </xf>
    <xf numFmtId="168" fontId="79" fillId="0" borderId="3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/>
    </xf>
    <xf numFmtId="167" fontId="22" fillId="0" borderId="51" xfId="0" applyNumberFormat="1" applyFont="1" applyBorder="1" applyAlignment="1">
      <alignment horizontal="center" vertical="center"/>
    </xf>
    <xf numFmtId="167" fontId="22" fillId="0" borderId="49" xfId="0" applyNumberFormat="1" applyFont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3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Border="1" applyAlignment="1">
      <alignment horizontal="center" vertical="center" wrapText="1"/>
    </xf>
    <xf numFmtId="1" fontId="72" fillId="0" borderId="51" xfId="0" applyNumberFormat="1" applyFont="1" applyBorder="1" applyAlignment="1">
      <alignment horizontal="center" vertical="center" wrapText="1"/>
    </xf>
    <xf numFmtId="1" fontId="72" fillId="0" borderId="49" xfId="0" applyNumberFormat="1" applyFont="1" applyBorder="1" applyAlignment="1">
      <alignment horizontal="center" vertical="center" wrapText="1"/>
    </xf>
    <xf numFmtId="44" fontId="28" fillId="30" borderId="130" xfId="1" applyFont="1" applyFill="1" applyBorder="1" applyAlignment="1">
      <alignment horizontal="center" vertical="center"/>
    </xf>
    <xf numFmtId="44" fontId="28" fillId="30" borderId="70" xfId="1" applyFont="1" applyFill="1" applyBorder="1" applyAlignment="1">
      <alignment horizontal="center" vertical="center"/>
    </xf>
    <xf numFmtId="1" fontId="72" fillId="0" borderId="108" xfId="0" applyNumberFormat="1" applyFont="1" applyBorder="1" applyAlignment="1">
      <alignment horizontal="center" vertical="center"/>
    </xf>
    <xf numFmtId="1" fontId="72" fillId="0" borderId="109" xfId="0" applyNumberFormat="1" applyFont="1" applyBorder="1" applyAlignment="1">
      <alignment horizontal="center" vertical="center"/>
    </xf>
    <xf numFmtId="1" fontId="72" fillId="0" borderId="110" xfId="0" applyNumberFormat="1" applyFont="1" applyBorder="1" applyAlignment="1">
      <alignment horizontal="center" vertical="center"/>
    </xf>
    <xf numFmtId="0" fontId="28" fillId="0" borderId="107" xfId="0" applyFont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168" fontId="28" fillId="22" borderId="107" xfId="0" applyNumberFormat="1" applyFont="1" applyFill="1" applyBorder="1" applyAlignment="1">
      <alignment horizontal="center" vertical="center"/>
    </xf>
    <xf numFmtId="168" fontId="28" fillId="22" borderId="114" xfId="0" applyNumberFormat="1" applyFont="1" applyFill="1" applyBorder="1" applyAlignment="1">
      <alignment horizontal="center" vertical="center"/>
    </xf>
    <xf numFmtId="168" fontId="28" fillId="22" borderId="70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4" xfId="0" applyFont="1" applyBorder="1" applyAlignment="1">
      <alignment horizontal="center" vertical="center"/>
    </xf>
    <xf numFmtId="0" fontId="69" fillId="0" borderId="125" xfId="0" applyFont="1" applyBorder="1" applyAlignment="1">
      <alignment horizontal="center" vertical="center"/>
    </xf>
    <xf numFmtId="0" fontId="69" fillId="0" borderId="126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52" fillId="0" borderId="75" xfId="0" applyFont="1" applyBorder="1" applyAlignment="1">
      <alignment horizontal="center" vertical="center" wrapText="1"/>
    </xf>
    <xf numFmtId="0" fontId="52" fillId="0" borderId="76" xfId="0" applyFont="1" applyBorder="1" applyAlignment="1">
      <alignment horizontal="center" vertical="center" wrapText="1"/>
    </xf>
    <xf numFmtId="0" fontId="52" fillId="0" borderId="118" xfId="0" applyFont="1" applyBorder="1" applyAlignment="1">
      <alignment horizontal="center" vertical="center" wrapText="1"/>
    </xf>
    <xf numFmtId="168" fontId="82" fillId="0" borderId="75" xfId="0" applyNumberFormat="1" applyFont="1" applyBorder="1" applyAlignment="1">
      <alignment horizontal="center" vertical="center"/>
    </xf>
    <xf numFmtId="168" fontId="82" fillId="0" borderId="76" xfId="0" applyNumberFormat="1" applyFont="1" applyBorder="1" applyAlignment="1">
      <alignment horizontal="center" vertical="center"/>
    </xf>
    <xf numFmtId="168" fontId="82" fillId="0" borderId="118" xfId="0" applyNumberFormat="1" applyFont="1" applyBorder="1" applyAlignment="1">
      <alignment horizontal="center" vertical="center"/>
    </xf>
    <xf numFmtId="0" fontId="52" fillId="32" borderId="48" xfId="0" applyFont="1" applyFill="1" applyBorder="1" applyAlignment="1">
      <alignment horizontal="center" vertical="center" wrapText="1"/>
    </xf>
    <xf numFmtId="0" fontId="52" fillId="32" borderId="51" xfId="0" applyFont="1" applyFill="1" applyBorder="1" applyAlignment="1">
      <alignment horizontal="center" vertical="center" wrapText="1"/>
    </xf>
    <xf numFmtId="0" fontId="52" fillId="32" borderId="49" xfId="0" applyFont="1" applyFill="1" applyBorder="1" applyAlignment="1">
      <alignment horizontal="center" vertical="center" wrapText="1"/>
    </xf>
    <xf numFmtId="1" fontId="72" fillId="0" borderId="69" xfId="0" applyNumberFormat="1" applyFont="1" applyBorder="1" applyAlignment="1">
      <alignment horizontal="center" vertical="center" wrapText="1"/>
    </xf>
    <xf numFmtId="1" fontId="72" fillId="0" borderId="114" xfId="0" applyNumberFormat="1" applyFont="1" applyBorder="1" applyAlignment="1">
      <alignment horizontal="center" vertical="center" wrapText="1"/>
    </xf>
    <xf numFmtId="1" fontId="72" fillId="0" borderId="70" xfId="0" applyNumberFormat="1" applyFont="1" applyBorder="1" applyAlignment="1">
      <alignment horizontal="center" vertical="center" wrapText="1"/>
    </xf>
    <xf numFmtId="1" fontId="72" fillId="0" borderId="75" xfId="0" applyNumberFormat="1" applyFont="1" applyBorder="1" applyAlignment="1">
      <alignment horizontal="center" vertical="center"/>
    </xf>
    <xf numFmtId="1" fontId="72" fillId="0" borderId="76" xfId="0" applyNumberFormat="1" applyFont="1" applyBorder="1" applyAlignment="1">
      <alignment horizontal="center" vertical="center"/>
    </xf>
    <xf numFmtId="1" fontId="72" fillId="0" borderId="118" xfId="0" applyNumberFormat="1" applyFont="1" applyBorder="1" applyAlignment="1">
      <alignment horizontal="center" vertical="center"/>
    </xf>
    <xf numFmtId="0" fontId="52" fillId="33" borderId="127" xfId="0" applyFont="1" applyFill="1" applyBorder="1" applyAlignment="1">
      <alignment horizontal="center" vertical="center" wrapText="1"/>
    </xf>
    <xf numFmtId="0" fontId="52" fillId="33" borderId="76" xfId="0" applyFont="1" applyFill="1" applyBorder="1" applyAlignment="1">
      <alignment horizontal="center" vertical="center" wrapText="1"/>
    </xf>
    <xf numFmtId="0" fontId="52" fillId="33" borderId="38" xfId="0" applyFont="1" applyFill="1" applyBorder="1" applyAlignment="1">
      <alignment horizontal="center" vertical="center" wrapText="1"/>
    </xf>
    <xf numFmtId="168" fontId="28" fillId="33" borderId="127" xfId="0" applyNumberFormat="1" applyFont="1" applyFill="1" applyBorder="1" applyAlignment="1">
      <alignment horizontal="center" vertical="center" wrapText="1"/>
    </xf>
    <xf numFmtId="168" fontId="28" fillId="33" borderId="76" xfId="0" applyNumberFormat="1" applyFont="1" applyFill="1" applyBorder="1" applyAlignment="1">
      <alignment horizontal="center" vertical="center" wrapText="1"/>
    </xf>
    <xf numFmtId="168" fontId="28" fillId="33" borderId="38" xfId="0" applyNumberFormat="1" applyFont="1" applyFill="1" applyBorder="1" applyAlignment="1">
      <alignment horizontal="center" vertical="center" wrapText="1"/>
    </xf>
    <xf numFmtId="1" fontId="78" fillId="0" borderId="107" xfId="0" applyNumberFormat="1" applyFont="1" applyBorder="1" applyAlignment="1">
      <alignment horizontal="center" vertical="center" wrapText="1"/>
    </xf>
    <xf numFmtId="1" fontId="78" fillId="0" borderId="114" xfId="0" applyNumberFormat="1" applyFont="1" applyBorder="1" applyAlignment="1">
      <alignment horizontal="center" vertical="center" wrapText="1"/>
    </xf>
    <xf numFmtId="1" fontId="78" fillId="0" borderId="70" xfId="0" applyNumberFormat="1" applyFont="1" applyBorder="1" applyAlignment="1">
      <alignment horizontal="center" vertical="center" wrapText="1"/>
    </xf>
    <xf numFmtId="0" fontId="74" fillId="0" borderId="48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4" fillId="0" borderId="49" xfId="0" applyFont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1" xfId="0" applyNumberFormat="1" applyFont="1" applyFill="1" applyBorder="1" applyAlignment="1">
      <alignment horizontal="center" vertical="center" wrapText="1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168" fontId="7" fillId="0" borderId="69" xfId="0" applyNumberFormat="1" applyFont="1" applyBorder="1" applyAlignment="1">
      <alignment horizontal="center" vertical="center"/>
    </xf>
    <xf numFmtId="168" fontId="7" fillId="0" borderId="114" xfId="0" applyNumberFormat="1" applyFont="1" applyBorder="1" applyAlignment="1">
      <alignment horizontal="center" vertical="center"/>
    </xf>
    <xf numFmtId="168" fontId="7" fillId="0" borderId="70" xfId="0" applyNumberFormat="1" applyFont="1" applyBorder="1" applyAlignment="1">
      <alignment horizontal="center" vertical="center"/>
    </xf>
    <xf numFmtId="164" fontId="28" fillId="0" borderId="48" xfId="0" applyNumberFormat="1" applyFont="1" applyBorder="1" applyAlignment="1">
      <alignment horizontal="center" vertical="center"/>
    </xf>
    <xf numFmtId="164" fontId="28" fillId="0" borderId="51" xfId="0" applyNumberFormat="1" applyFont="1" applyBorder="1" applyAlignment="1">
      <alignment horizontal="center" vertical="center"/>
    </xf>
    <xf numFmtId="164" fontId="28" fillId="0" borderId="49" xfId="0" applyNumberFormat="1" applyFont="1" applyBorder="1" applyAlignment="1">
      <alignment horizontal="center" vertical="center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0" fontId="28" fillId="33" borderId="56" xfId="0" applyFont="1" applyFill="1" applyBorder="1" applyAlignment="1">
      <alignment horizontal="center" vertical="center"/>
    </xf>
    <xf numFmtId="0" fontId="28" fillId="33" borderId="131" xfId="0" applyFont="1" applyFill="1" applyBorder="1" applyAlignment="1">
      <alignment horizontal="center" vertical="center"/>
    </xf>
    <xf numFmtId="0" fontId="28" fillId="33" borderId="132" xfId="0" applyFont="1" applyFill="1" applyBorder="1" applyAlignment="1">
      <alignment horizontal="center" vertical="center"/>
    </xf>
    <xf numFmtId="164" fontId="40" fillId="33" borderId="136" xfId="0" applyNumberFormat="1" applyFont="1" applyFill="1" applyBorder="1" applyAlignment="1">
      <alignment horizontal="center" vertical="center"/>
    </xf>
    <xf numFmtId="164" fontId="40" fillId="33" borderId="137" xfId="0" applyNumberFormat="1" applyFont="1" applyFill="1" applyBorder="1" applyAlignment="1">
      <alignment horizontal="center" vertical="center"/>
    </xf>
    <xf numFmtId="164" fontId="40" fillId="33" borderId="138" xfId="0" applyNumberFormat="1" applyFont="1" applyFill="1" applyBorder="1" applyAlignment="1">
      <alignment horizontal="center" vertical="center"/>
    </xf>
    <xf numFmtId="164" fontId="7" fillId="33" borderId="133" xfId="0" applyNumberFormat="1" applyFont="1" applyFill="1" applyBorder="1" applyAlignment="1">
      <alignment horizontal="center" vertical="center" wrapText="1"/>
    </xf>
    <xf numFmtId="164" fontId="7" fillId="33" borderId="134" xfId="0" applyNumberFormat="1" applyFont="1" applyFill="1" applyBorder="1" applyAlignment="1">
      <alignment horizontal="center" vertical="center" wrapText="1"/>
    </xf>
    <xf numFmtId="164" fontId="7" fillId="33" borderId="135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9" fillId="4" borderId="50" xfId="0" applyFont="1" applyFill="1" applyBorder="1" applyAlignment="1">
      <alignment horizontal="center" vertical="center" textRotation="255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99"/>
      <color rgb="FFFF99FF"/>
      <color rgb="FFCC99FF"/>
      <color rgb="FF99FFCC"/>
      <color rgb="FF3333FF"/>
      <color rgb="FFFF33CC"/>
      <color rgb="FF00FF00"/>
      <color rgb="FF66FFFF"/>
      <color rgb="FFCC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0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" formatCode="&quot;$&quot;#,##0.00">
                  <c:v>11424</c:v>
                </c:pt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4" formatCode="&quot;$&quot;#,##0.00">
                  <c:v>12424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0" formatCode="&quot;$&quot;#,##0.00">
                  <c:v>12424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5">
                  <c:v>10124</c:v>
                </c:pt>
                <c:pt idx="27">
                  <c:v>11424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2214699</c:v>
                </c:pt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7">
                  <c:v>38130</c:v>
                </c:pt>
                <c:pt idx="18">
                  <c:v>2219120</c:v>
                </c:pt>
                <c:pt idx="19">
                  <c:v>2219121</c:v>
                </c:pt>
                <c:pt idx="20">
                  <c:v>2218992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7">
                  <c:v>2221744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">
                  <c:v>4611</c:v>
                </c:pt>
                <c:pt idx="6">
                  <c:v>4524</c:v>
                </c:pt>
                <c:pt idx="7">
                  <c:v>4611</c:v>
                </c:pt>
                <c:pt idx="8">
                  <c:v>4872</c:v>
                </c:pt>
                <c:pt idx="9">
                  <c:v>0</c:v>
                </c:pt>
                <c:pt idx="10">
                  <c:v>4959</c:v>
                </c:pt>
                <c:pt idx="11">
                  <c:v>0</c:v>
                </c:pt>
                <c:pt idx="12">
                  <c:v>0</c:v>
                </c:pt>
                <c:pt idx="13">
                  <c:v>5005.3999999999996</c:v>
                </c:pt>
                <c:pt idx="14">
                  <c:v>0</c:v>
                </c:pt>
                <c:pt idx="15">
                  <c:v>5278</c:v>
                </c:pt>
                <c:pt idx="16">
                  <c:v>5278</c:v>
                </c:pt>
                <c:pt idx="18">
                  <c:v>4901</c:v>
                </c:pt>
                <c:pt idx="19">
                  <c:v>4814</c:v>
                </c:pt>
                <c:pt idx="20">
                  <c:v>0</c:v>
                </c:pt>
                <c:pt idx="21">
                  <c:v>0</c:v>
                </c:pt>
                <c:pt idx="22">
                  <c:v>4698</c:v>
                </c:pt>
                <c:pt idx="23">
                  <c:v>4843</c:v>
                </c:pt>
                <c:pt idx="24">
                  <c:v>4843</c:v>
                </c:pt>
                <c:pt idx="25">
                  <c:v>4756</c:v>
                </c:pt>
                <c:pt idx="26">
                  <c:v>0</c:v>
                </c:pt>
                <c:pt idx="27">
                  <c:v>0</c:v>
                </c:pt>
                <c:pt idx="28">
                  <c:v>4060</c:v>
                </c:pt>
                <c:pt idx="29">
                  <c:v>4466</c:v>
                </c:pt>
                <c:pt idx="30">
                  <c:v>4437</c:v>
                </c:pt>
                <c:pt idx="31">
                  <c:v>4437</c:v>
                </c:pt>
                <c:pt idx="32">
                  <c:v>4495</c:v>
                </c:pt>
                <c:pt idx="33">
                  <c:v>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720319.51250000007</c:v>
                </c:pt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7">
                  <c:v>828948.99</c:v>
                </c:pt>
                <c:pt idx="18">
                  <c:v>784873.1852999999</c:v>
                </c:pt>
                <c:pt idx="19">
                  <c:v>770564.41248000006</c:v>
                </c:pt>
                <c:pt idx="20">
                  <c:v>784455.27659999998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7">
                  <c:v>704960.63060000003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768863.51250000007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54005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834722.63890000002</c:v>
                </c:pt>
                <c:pt idx="15">
                  <c:v>897064.09499999997</c:v>
                </c:pt>
                <c:pt idx="16">
                  <c:v>903943.98699999996</c:v>
                </c:pt>
                <c:pt idx="17">
                  <c:v>828948.99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833999.27659999998</c:v>
                </c:pt>
                <c:pt idx="21">
                  <c:v>0</c:v>
                </c:pt>
                <c:pt idx="22">
                  <c:v>794538.27760000003</c:v>
                </c:pt>
                <c:pt idx="23">
                  <c:v>827913.16110000003</c:v>
                </c:pt>
                <c:pt idx="24">
                  <c:v>828168.32590000005</c:v>
                </c:pt>
                <c:pt idx="25">
                  <c:v>817252.01295</c:v>
                </c:pt>
                <c:pt idx="26">
                  <c:v>0</c:v>
                </c:pt>
                <c:pt idx="27">
                  <c:v>753504.63060000003</c:v>
                </c:pt>
                <c:pt idx="28">
                  <c:v>686209.52275</c:v>
                </c:pt>
                <c:pt idx="29">
                  <c:v>766450.66559999995</c:v>
                </c:pt>
                <c:pt idx="30">
                  <c:v>762022.09600000002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40.671131470634798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2.8985780394148408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45.217947716057054</c:v>
                </c:pt>
                <c:pt idx="15">
                  <c:v>46.821114924689063</c:v>
                </c:pt>
                <c:pt idx="16">
                  <c:v>47.081558959273195</c:v>
                </c:pt>
                <c:pt idx="17">
                  <c:v>44.150685602741873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43.771217859092246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43.550656871749396</c:v>
                </c:pt>
                <c:pt idx="24">
                  <c:v>43.540565971129439</c:v>
                </c:pt>
                <c:pt idx="25">
                  <c:v>42.637293908684931</c:v>
                </c:pt>
                <c:pt idx="26">
                  <c:v>0.1</c:v>
                </c:pt>
                <c:pt idx="27">
                  <c:v>39.96079914724335</c:v>
                </c:pt>
                <c:pt idx="28">
                  <c:v>40.387771331027963</c:v>
                </c:pt>
                <c:pt idx="29">
                  <c:v>40.924025438760019</c:v>
                </c:pt>
                <c:pt idx="30">
                  <c:v>40.68165868725869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3" ySplit="2" topLeftCell="K152" activePane="bottomRight" state="frozen"/>
      <selection pane="topRight" activeCell="D1" sqref="D1"/>
      <selection pane="bottomLeft" activeCell="A3" sqref="A3"/>
      <selection pane="bottomRight" activeCell="P161" sqref="P16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704" bestFit="1" customWidth="1"/>
    <col min="7" max="7" width="7.28515625" style="12" customWidth="1"/>
    <col min="8" max="8" width="14.7109375" style="704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5" customWidth="1"/>
    <col min="13" max="13" width="16.85546875" bestFit="1" customWidth="1"/>
    <col min="14" max="14" width="16" style="610" customWidth="1"/>
    <col min="15" max="15" width="16.28515625" style="780" customWidth="1"/>
    <col min="16" max="16" width="15.5703125" style="368" bestFit="1" customWidth="1"/>
    <col min="17" max="17" width="20.85546875" style="358" bestFit="1" customWidth="1"/>
    <col min="18" max="18" width="18.42578125" style="432" customWidth="1"/>
    <col min="19" max="19" width="16.140625" style="398" bestFit="1" customWidth="1"/>
    <col min="20" max="20" width="11.42578125" style="39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7" t="s">
        <v>178</v>
      </c>
      <c r="C1" s="452"/>
      <c r="D1" s="453"/>
      <c r="E1" s="454"/>
      <c r="F1" s="689"/>
      <c r="G1" s="455"/>
      <c r="H1" s="689"/>
      <c r="I1" s="456"/>
      <c r="J1" s="457"/>
      <c r="K1" s="1492" t="s">
        <v>26</v>
      </c>
      <c r="L1" s="519"/>
      <c r="M1" s="1494" t="s">
        <v>27</v>
      </c>
      <c r="N1" s="604"/>
      <c r="P1" s="652" t="s">
        <v>38</v>
      </c>
      <c r="Q1" s="1490" t="s">
        <v>28</v>
      </c>
      <c r="R1" s="526"/>
    </row>
    <row r="2" spans="1:29" ht="24.75" customHeight="1" thickTop="1" thickBot="1" x14ac:dyDescent="0.3">
      <c r="A2" s="34"/>
      <c r="B2" s="349" t="s">
        <v>0</v>
      </c>
      <c r="C2" s="257" t="s">
        <v>10</v>
      </c>
      <c r="D2" s="25"/>
      <c r="E2" s="405" t="s">
        <v>25</v>
      </c>
      <c r="F2" s="690" t="s">
        <v>3</v>
      </c>
      <c r="G2" s="66" t="s">
        <v>8</v>
      </c>
      <c r="H2" s="705" t="s">
        <v>5</v>
      </c>
      <c r="I2" s="256" t="s">
        <v>6</v>
      </c>
      <c r="K2" s="1493"/>
      <c r="L2" s="520" t="s">
        <v>29</v>
      </c>
      <c r="M2" s="1495"/>
      <c r="N2" s="605" t="s">
        <v>29</v>
      </c>
      <c r="O2" s="781" t="s">
        <v>30</v>
      </c>
      <c r="P2" s="653" t="s">
        <v>39</v>
      </c>
      <c r="Q2" s="1491"/>
      <c r="R2" s="53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6">
        <f>PIERNA!E3</f>
        <v>0</v>
      </c>
      <c r="F3" s="691">
        <f>PIERNA!F3</f>
        <v>0</v>
      </c>
      <c r="G3" s="97">
        <f>PIERNA!G3</f>
        <v>0</v>
      </c>
      <c r="H3" s="706">
        <f>PIERNA!H3</f>
        <v>0</v>
      </c>
      <c r="I3" s="102">
        <f>PIERNA!I3</f>
        <v>0</v>
      </c>
      <c r="J3" s="285"/>
      <c r="K3" s="105"/>
      <c r="L3" s="521"/>
      <c r="M3" s="333"/>
      <c r="N3" s="604"/>
      <c r="O3" s="782"/>
      <c r="P3" s="368"/>
      <c r="Q3" s="230"/>
      <c r="R3" s="527"/>
      <c r="S3" s="726">
        <f t="shared" ref="S3:S31" si="0">Q3+M3+K3+P3</f>
        <v>0</v>
      </c>
      <c r="T3" s="726" t="e">
        <f>S3/H3</f>
        <v>#DIV/0!</v>
      </c>
    </row>
    <row r="4" spans="1:29" s="148" customFormat="1" ht="35.25" customHeight="1" x14ac:dyDescent="0.3">
      <c r="A4" s="97">
        <v>1</v>
      </c>
      <c r="B4" s="818" t="str">
        <f>PIERNA!B4</f>
        <v>SEABOARD FOODS</v>
      </c>
      <c r="C4" s="256" t="str">
        <f>PIERNA!C4</f>
        <v>Seaboard</v>
      </c>
      <c r="D4" s="866" t="str">
        <f>PIERNA!D4</f>
        <v xml:space="preserve">PED. </v>
      </c>
      <c r="E4" s="867">
        <f>PIERNA!E4</f>
        <v>45168</v>
      </c>
      <c r="F4" s="692">
        <f>PIERNA!F4</f>
        <v>19104.28</v>
      </c>
      <c r="G4" s="350">
        <f>PIERNA!G4</f>
        <v>21</v>
      </c>
      <c r="H4" s="707">
        <f>PIERNA!H4</f>
        <v>19097</v>
      </c>
      <c r="I4" s="544">
        <f>PIERNA!I4</f>
        <v>7.2799999999988358</v>
      </c>
      <c r="J4" s="1061"/>
      <c r="K4" s="354"/>
      <c r="L4" s="568"/>
      <c r="M4" s="354"/>
      <c r="N4" s="559"/>
      <c r="O4" s="836"/>
      <c r="P4" s="464"/>
      <c r="Q4" s="464"/>
      <c r="R4" s="560"/>
      <c r="S4" s="726">
        <f>Q4</f>
        <v>0</v>
      </c>
      <c r="T4" s="726">
        <f>S4/H4</f>
        <v>0</v>
      </c>
      <c r="U4" s="200"/>
    </row>
    <row r="5" spans="1:29" s="148" customFormat="1" ht="30" customHeight="1" x14ac:dyDescent="0.25">
      <c r="A5" s="97">
        <v>2</v>
      </c>
      <c r="B5" s="504" t="str">
        <f>PIERNA!B5</f>
        <v>SEABOARD FODDS</v>
      </c>
      <c r="C5" s="256" t="str">
        <f>PIERNA!C5</f>
        <v>Seaboard</v>
      </c>
      <c r="D5" s="866" t="str">
        <f>PIERNA!D5</f>
        <v>PED. 3001811</v>
      </c>
      <c r="E5" s="867">
        <f>PIERNA!E5</f>
        <v>45169</v>
      </c>
      <c r="F5" s="692">
        <f>PIERNA!F5</f>
        <v>18678.36</v>
      </c>
      <c r="G5" s="350">
        <f>PIERNA!G5</f>
        <v>21</v>
      </c>
      <c r="H5" s="707">
        <f>PIERNA!H5</f>
        <v>18733.3</v>
      </c>
      <c r="I5" s="544">
        <f>PIERNA!I5</f>
        <v>-54.93999999999869</v>
      </c>
      <c r="J5" s="1062" t="str">
        <f>PIERNA!U6</f>
        <v>NLSE23-154</v>
      </c>
      <c r="K5" s="870"/>
      <c r="L5" s="932"/>
      <c r="M5" s="354"/>
      <c r="N5" s="559"/>
      <c r="O5" s="836"/>
      <c r="P5" s="464"/>
      <c r="Q5" s="874"/>
      <c r="R5" s="871"/>
      <c r="S5" s="726">
        <f>Q5+M5+K5+P5</f>
        <v>0</v>
      </c>
      <c r="T5" s="726">
        <f>S5/H5+0.1</f>
        <v>0.1</v>
      </c>
      <c r="U5" s="179"/>
    </row>
    <row r="6" spans="1:29" s="148" customFormat="1" ht="30" customHeight="1" x14ac:dyDescent="0.25">
      <c r="A6" s="97">
        <v>3</v>
      </c>
      <c r="B6" s="505" t="str">
        <f>PIERNA!B6</f>
        <v>SEABOARD FOODS</v>
      </c>
      <c r="C6" s="256" t="str">
        <f>PIERNA!C6</f>
        <v>Seaboard</v>
      </c>
      <c r="D6" s="866" t="str">
        <f>PIERNA!D6</f>
        <v>PED. 102732186</v>
      </c>
      <c r="E6" s="867">
        <f>PIERNA!E6</f>
        <v>45170</v>
      </c>
      <c r="F6" s="692">
        <f>PIERNA!F6</f>
        <v>18993.75</v>
      </c>
      <c r="G6" s="350">
        <f>PIERNA!G6</f>
        <v>21</v>
      </c>
      <c r="H6" s="707">
        <f>PIERNA!H6</f>
        <v>18991</v>
      </c>
      <c r="I6" s="544">
        <f>PIERNA!I6</f>
        <v>2.75</v>
      </c>
      <c r="J6" s="1062" t="str">
        <f>PIERNA!AE6</f>
        <v>NLSES23-128</v>
      </c>
      <c r="K6" s="354"/>
      <c r="L6" s="568"/>
      <c r="M6" s="354"/>
      <c r="N6" s="559"/>
      <c r="O6" s="836"/>
      <c r="P6" s="464"/>
      <c r="Q6" s="868"/>
      <c r="R6" s="869"/>
      <c r="S6" s="726">
        <f t="shared" si="0"/>
        <v>0</v>
      </c>
      <c r="T6" s="72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6" t="str">
        <f>PIERNA!B7</f>
        <v>SEABOARD FOODS</v>
      </c>
      <c r="C7" s="256" t="str">
        <f>PIERNA!C7</f>
        <v>Seaboard</v>
      </c>
      <c r="D7" s="866" t="str">
        <f>PIERNA!D7</f>
        <v>PED. 102789382</v>
      </c>
      <c r="E7" s="867">
        <f>PIERNA!E7</f>
        <v>45171</v>
      </c>
      <c r="F7" s="692">
        <f>PIERNA!F7</f>
        <v>19115.54</v>
      </c>
      <c r="G7" s="350">
        <f>PIERNA!G7</f>
        <v>21</v>
      </c>
      <c r="H7" s="707">
        <f>PIERNA!H7</f>
        <v>19090.8</v>
      </c>
      <c r="I7" s="544">
        <f>PIERNA!I7</f>
        <v>24.740000000001601</v>
      </c>
      <c r="J7" s="1063" t="str">
        <f>PIERNA!AO6</f>
        <v>NLSE23-155</v>
      </c>
      <c r="K7" s="931"/>
      <c r="L7" s="932"/>
      <c r="M7" s="931"/>
      <c r="N7" s="872"/>
      <c r="O7" s="836"/>
      <c r="P7" s="464"/>
      <c r="Q7" s="870"/>
      <c r="R7" s="871"/>
      <c r="S7" s="726">
        <f t="shared" si="0"/>
        <v>0</v>
      </c>
      <c r="T7" s="726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930" t="str">
        <f>PIERNA!B8</f>
        <v>SEABOARD FOODS</v>
      </c>
      <c r="C8" s="403" t="str">
        <f>PIERNA!C8</f>
        <v>Seaboard</v>
      </c>
      <c r="D8" s="502" t="str">
        <f>PIERNA!D8</f>
        <v>PED. 102956284</v>
      </c>
      <c r="E8" s="503">
        <f>PIERNA!E8</f>
        <v>45175</v>
      </c>
      <c r="F8" s="692">
        <f>PIERNA!F8</f>
        <v>18961.7</v>
      </c>
      <c r="G8" s="350">
        <f>PIERNA!G8</f>
        <v>21</v>
      </c>
      <c r="H8" s="707">
        <f>PIERNA!H8</f>
        <v>18951</v>
      </c>
      <c r="I8" s="544">
        <f>PIERNA!I8</f>
        <v>10.700000000000728</v>
      </c>
      <c r="J8" s="1060" t="str">
        <f>PIERNA!AY6</f>
        <v>ACCSE23-09</v>
      </c>
      <c r="K8" s="1246">
        <v>11424</v>
      </c>
      <c r="L8" s="1253" t="s">
        <v>507</v>
      </c>
      <c r="M8" s="1246">
        <v>37120</v>
      </c>
      <c r="N8" s="1252" t="s">
        <v>508</v>
      </c>
      <c r="O8" s="1254">
        <v>2214699</v>
      </c>
      <c r="P8" s="1251"/>
      <c r="Q8" s="1255">
        <f>43004.15*16.75</f>
        <v>720319.51250000007</v>
      </c>
      <c r="R8" s="1252" t="s">
        <v>512</v>
      </c>
      <c r="S8" s="726">
        <f t="shared" si="0"/>
        <v>768863.51250000007</v>
      </c>
      <c r="T8" s="726">
        <f t="shared" si="1"/>
        <v>40.671131470634798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4" t="str">
        <f>PIERNA!B9</f>
        <v xml:space="preserve">SAM FARMS </v>
      </c>
      <c r="C9" s="256" t="str">
        <f>PIERNA!C9</f>
        <v xml:space="preserve">I B P </v>
      </c>
      <c r="D9" s="502" t="str">
        <f>PIERNA!D9</f>
        <v>PED. 102980573</v>
      </c>
      <c r="E9" s="503">
        <f>PIERNA!E9</f>
        <v>45175</v>
      </c>
      <c r="F9" s="692">
        <f>PIERNA!F9</f>
        <v>18508.88</v>
      </c>
      <c r="G9" s="350">
        <f>PIERNA!G9</f>
        <v>20</v>
      </c>
      <c r="H9" s="707">
        <f>PIERNA!H9</f>
        <v>18555.46</v>
      </c>
      <c r="I9" s="544">
        <f>PIERNA!I9</f>
        <v>-46.579999999998108</v>
      </c>
      <c r="J9" s="634">
        <f>PIERNA!BI6</f>
        <v>11703</v>
      </c>
      <c r="K9" s="935">
        <v>11424</v>
      </c>
      <c r="L9" s="876" t="s">
        <v>362</v>
      </c>
      <c r="M9" s="875">
        <v>37120</v>
      </c>
      <c r="N9" s="562" t="s">
        <v>417</v>
      </c>
      <c r="O9" s="1097">
        <v>12006</v>
      </c>
      <c r="P9" s="1400">
        <v>4611</v>
      </c>
      <c r="Q9" s="355">
        <f>41902.06*17.41</f>
        <v>729514.86459999997</v>
      </c>
      <c r="R9" s="564" t="s">
        <v>362</v>
      </c>
      <c r="S9" s="726">
        <f>Q9+M9+K9</f>
        <v>778058.86459999997</v>
      </c>
      <c r="T9" s="726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2" t="str">
        <f>PIERNA!D10</f>
        <v>PED. 102955197</v>
      </c>
      <c r="E10" s="503">
        <f>PIERNA!E10</f>
        <v>45175</v>
      </c>
      <c r="F10" s="692">
        <f>PIERNA!F10</f>
        <v>18782.91</v>
      </c>
      <c r="G10" s="350">
        <f>PIERNA!G10</f>
        <v>21</v>
      </c>
      <c r="H10" s="707">
        <f>PIERNA!H10</f>
        <v>18787.7</v>
      </c>
      <c r="I10" s="544">
        <f>PIERNA!I10</f>
        <v>-4.7900000000008731</v>
      </c>
      <c r="J10" s="613" t="str">
        <f>PIERNA!BS6</f>
        <v>NLSE23-157</v>
      </c>
      <c r="K10" s="935">
        <v>12434</v>
      </c>
      <c r="L10" s="876" t="s">
        <v>362</v>
      </c>
      <c r="M10" s="875">
        <v>37120</v>
      </c>
      <c r="N10" s="562" t="s">
        <v>417</v>
      </c>
      <c r="O10" s="836">
        <v>2214881</v>
      </c>
      <c r="P10" s="1400">
        <v>4524</v>
      </c>
      <c r="Q10" s="874">
        <f>42633.61*16.898</f>
        <v>720422.74178000004</v>
      </c>
      <c r="R10" s="873" t="s">
        <v>407</v>
      </c>
      <c r="S10" s="726">
        <f>Q10+M10+K10</f>
        <v>769976.74178000004</v>
      </c>
      <c r="T10" s="726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3" t="str">
        <f>PIERNA!B11</f>
        <v>SEABOARD FOODS</v>
      </c>
      <c r="C11" s="256" t="str">
        <f>PIERNA!C11</f>
        <v>Seaboard</v>
      </c>
      <c r="D11" s="502" t="str">
        <f>PIERNA!D11</f>
        <v>PED. 102956280</v>
      </c>
      <c r="E11" s="503">
        <f>PIERNA!E11</f>
        <v>45175</v>
      </c>
      <c r="F11" s="692">
        <f>PIERNA!F11</f>
        <v>19255.8</v>
      </c>
      <c r="G11" s="350">
        <f>PIERNA!G11</f>
        <v>21</v>
      </c>
      <c r="H11" s="707">
        <f>PIERNA!H11</f>
        <v>19297.3</v>
      </c>
      <c r="I11" s="544">
        <f>PIERNA!I11</f>
        <v>-41.5</v>
      </c>
      <c r="J11" s="613" t="str">
        <f>PIERNA!CC6</f>
        <v>NLSE23-158</v>
      </c>
      <c r="K11" s="354">
        <v>12274</v>
      </c>
      <c r="L11" s="876" t="s">
        <v>362</v>
      </c>
      <c r="M11" s="354">
        <v>37120</v>
      </c>
      <c r="N11" s="562" t="s">
        <v>417</v>
      </c>
      <c r="O11" s="837"/>
      <c r="P11" s="1400">
        <v>4611</v>
      </c>
      <c r="Q11" s="874"/>
      <c r="R11" s="873"/>
      <c r="S11" s="726">
        <f t="shared" si="0"/>
        <v>54005</v>
      </c>
      <c r="T11" s="726">
        <f t="shared" si="1"/>
        <v>2.8985780394148408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2" t="str">
        <f>PIERNA!D12</f>
        <v>PED. 103008296</v>
      </c>
      <c r="E12" s="503">
        <f>PIERNA!E12</f>
        <v>45176</v>
      </c>
      <c r="F12" s="692">
        <f>PIERNA!F12</f>
        <v>19008.36</v>
      </c>
      <c r="G12" s="350">
        <f>PIERNA!G12</f>
        <v>21</v>
      </c>
      <c r="H12" s="707">
        <f>PIERNA!H12</f>
        <v>19036.099999999999</v>
      </c>
      <c r="I12" s="544">
        <f>PIERNA!I12</f>
        <v>-27.739999999997963</v>
      </c>
      <c r="J12" s="613" t="str">
        <f>PIERNA!CM6</f>
        <v>NLSE23-159</v>
      </c>
      <c r="K12" s="354">
        <v>12424</v>
      </c>
      <c r="L12" s="568" t="s">
        <v>410</v>
      </c>
      <c r="M12" s="354">
        <v>37120</v>
      </c>
      <c r="N12" s="562" t="s">
        <v>403</v>
      </c>
      <c r="O12" s="837"/>
      <c r="P12" s="1400">
        <v>4872</v>
      </c>
      <c r="Q12" s="874"/>
      <c r="R12" s="873"/>
      <c r="S12" s="726">
        <f>Q12+M12+K12</f>
        <v>49544</v>
      </c>
      <c r="T12" s="726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6" t="str">
        <f>PIERNA!B13</f>
        <v>TREBOL FOODS LLC</v>
      </c>
      <c r="C13" s="256" t="str">
        <f>PIERNA!C13</f>
        <v xml:space="preserve">INDIANA </v>
      </c>
      <c r="D13" s="502" t="str">
        <f>PIERNA!D13</f>
        <v>PED. 103030555</v>
      </c>
      <c r="E13" s="503">
        <f>PIERNA!E13</f>
        <v>45177</v>
      </c>
      <c r="F13" s="692">
        <f>PIERNA!F13</f>
        <v>18355</v>
      </c>
      <c r="G13" s="350">
        <f>PIERNA!G13</f>
        <v>20</v>
      </c>
      <c r="H13" s="707">
        <f>PIERNA!H13</f>
        <v>18484</v>
      </c>
      <c r="I13" s="544">
        <f>PIERNA!I13</f>
        <v>-129</v>
      </c>
      <c r="J13" s="1085" t="str">
        <f>PIERNA!CW6</f>
        <v>TFL--3796</v>
      </c>
      <c r="K13" s="354"/>
      <c r="L13" s="568"/>
      <c r="M13" s="354"/>
      <c r="N13" s="562"/>
      <c r="O13" s="837" t="s">
        <v>409</v>
      </c>
      <c r="P13" s="1123" t="s">
        <v>359</v>
      </c>
      <c r="Q13" s="355">
        <v>837300.64</v>
      </c>
      <c r="R13" s="564" t="s">
        <v>408</v>
      </c>
      <c r="S13" s="726" t="e">
        <f t="shared" si="0"/>
        <v>#VALUE!</v>
      </c>
      <c r="T13" s="726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35" t="str">
        <f>PIERNA!B14</f>
        <v xml:space="preserve">SAM FARMS </v>
      </c>
      <c r="C14" s="256" t="str">
        <f>PIERNA!C14</f>
        <v xml:space="preserve">I B P </v>
      </c>
      <c r="D14" s="502" t="str">
        <f>PIERNA!D14</f>
        <v>PED. 103135564</v>
      </c>
      <c r="E14" s="503">
        <f>PIERNA!E14</f>
        <v>45178</v>
      </c>
      <c r="F14" s="692">
        <f>PIERNA!F14</f>
        <v>18678.18</v>
      </c>
      <c r="G14" s="350">
        <f>PIERNA!G14</f>
        <v>20</v>
      </c>
      <c r="H14" s="707">
        <f>PIERNA!H14</f>
        <v>18770.47</v>
      </c>
      <c r="I14" s="544">
        <f>PIERNA!I14</f>
        <v>-92.290000000000873</v>
      </c>
      <c r="J14" s="613">
        <f>PIERNA!DG6</f>
        <v>11704</v>
      </c>
      <c r="K14" s="354">
        <v>12274</v>
      </c>
      <c r="L14" s="563" t="s">
        <v>411</v>
      </c>
      <c r="M14" s="354">
        <v>37120</v>
      </c>
      <c r="N14" s="562" t="s">
        <v>411</v>
      </c>
      <c r="O14" s="836">
        <v>12014</v>
      </c>
      <c r="P14" s="1401">
        <v>4959</v>
      </c>
      <c r="Q14" s="355">
        <f>45561.58*17.48</f>
        <v>796416.41840000008</v>
      </c>
      <c r="R14" s="565" t="s">
        <v>404</v>
      </c>
      <c r="S14" s="726">
        <f>Q14+M14+K14</f>
        <v>845810.41840000008</v>
      </c>
      <c r="T14" s="726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826" t="str">
        <f>PIERNA!B15</f>
        <v xml:space="preserve">ALFONSO ESPINDOLA </v>
      </c>
      <c r="C15" s="256" t="str">
        <f>PIERNA!C15</f>
        <v>Seaboard</v>
      </c>
      <c r="D15" s="502" t="str">
        <f>PIERNA!D15</f>
        <v xml:space="preserve">PED. </v>
      </c>
      <c r="E15" s="503">
        <f>PIERNA!E15</f>
        <v>45180</v>
      </c>
      <c r="F15" s="692">
        <f>PIERNA!F15</f>
        <v>18953.54</v>
      </c>
      <c r="G15" s="350">
        <f>PIERNA!G15</f>
        <v>21</v>
      </c>
      <c r="H15" s="707">
        <f>PIERNA!H15</f>
        <v>18996.2</v>
      </c>
      <c r="I15" s="544">
        <f>PIERNA!I15</f>
        <v>-42.659999999999854</v>
      </c>
      <c r="J15" s="648" t="str">
        <f>PIERNA!DQ6</f>
        <v>FACT-3716</v>
      </c>
      <c r="K15" s="1228"/>
      <c r="L15" s="1229"/>
      <c r="M15" s="1228"/>
      <c r="N15" s="1230"/>
      <c r="O15" s="837">
        <v>3716</v>
      </c>
      <c r="P15" s="1123" t="s">
        <v>359</v>
      </c>
      <c r="Q15" s="355">
        <v>854828.55</v>
      </c>
      <c r="R15" s="567" t="s">
        <v>408</v>
      </c>
      <c r="S15" s="726">
        <f>Q15+M15+K15</f>
        <v>854828.55</v>
      </c>
      <c r="T15" s="726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893" t="str">
        <f>PIERNA!B16</f>
        <v xml:space="preserve">SAM FARMS </v>
      </c>
      <c r="C16" s="256" t="str">
        <f>PIERNA!C16</f>
        <v>Seaboard</v>
      </c>
      <c r="D16" s="502" t="str">
        <f>PIERNA!D16</f>
        <v>PED. 103205936</v>
      </c>
      <c r="E16" s="503">
        <f>PIERNA!E16</f>
        <v>45150</v>
      </c>
      <c r="F16" s="692">
        <f>PIERNA!F16</f>
        <v>18883.599999999999</v>
      </c>
      <c r="G16" s="350">
        <f>PIERNA!G16</f>
        <v>21</v>
      </c>
      <c r="H16" s="707">
        <f>PIERNA!H16</f>
        <v>19065.099999999999</v>
      </c>
      <c r="I16" s="544">
        <f>PIERNA!I16</f>
        <v>-181.5</v>
      </c>
      <c r="J16" s="1301" t="str">
        <f>PIERNA!EA6</f>
        <v>11364  11 SUR</v>
      </c>
      <c r="K16" s="1302"/>
      <c r="L16" s="1303"/>
      <c r="M16" s="1302"/>
      <c r="N16" s="1304"/>
      <c r="O16" s="837"/>
      <c r="P16" s="464">
        <v>0</v>
      </c>
      <c r="Q16" s="464"/>
      <c r="R16" s="564"/>
      <c r="S16" s="726">
        <f t="shared" si="0"/>
        <v>0</v>
      </c>
      <c r="T16" s="726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894" t="str">
        <f>PIERNA!B17</f>
        <v xml:space="preserve">SAM FARMS </v>
      </c>
      <c r="C17" s="256" t="str">
        <f>PIERNA!C17</f>
        <v>Premium Lowa</v>
      </c>
      <c r="D17" s="502" t="str">
        <f>PIERNA!D17</f>
        <v>PED. 103205935</v>
      </c>
      <c r="E17" s="503">
        <f>PIERNA!E17</f>
        <v>45181</v>
      </c>
      <c r="F17" s="692">
        <f>PIERNA!F17</f>
        <v>18341.87</v>
      </c>
      <c r="G17" s="350">
        <f>PIERNA!G17</f>
        <v>22</v>
      </c>
      <c r="H17" s="707">
        <f>PIERNA!H17</f>
        <v>18391</v>
      </c>
      <c r="I17" s="544">
        <f>PIERNA!I17</f>
        <v>-49.130000000001019</v>
      </c>
      <c r="J17" s="934">
        <f>PIERNA!EK6</f>
        <v>11755</v>
      </c>
      <c r="K17" s="354">
        <v>12274</v>
      </c>
      <c r="L17" s="563" t="s">
        <v>418</v>
      </c>
      <c r="M17" s="354">
        <v>37120</v>
      </c>
      <c r="N17" s="562" t="s">
        <v>412</v>
      </c>
      <c r="O17" s="837">
        <v>12027</v>
      </c>
      <c r="P17" s="1402">
        <v>5005.3999999999996</v>
      </c>
      <c r="Q17" s="464">
        <f>46257.79*17.43</f>
        <v>806273.27969999996</v>
      </c>
      <c r="R17" s="564" t="s">
        <v>358</v>
      </c>
      <c r="S17" s="726">
        <f>Q17+M17+K17</f>
        <v>855667.27969999996</v>
      </c>
      <c r="T17" s="726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826" t="str">
        <f>PIERNA!B18</f>
        <v>SEABOARD FOODS</v>
      </c>
      <c r="C18" s="256" t="str">
        <f>PIERNA!C18</f>
        <v>Seaboard</v>
      </c>
      <c r="D18" s="502" t="str">
        <f>PIERNA!D18</f>
        <v>PED. 103204217</v>
      </c>
      <c r="E18" s="503">
        <f>PIERNA!E18</f>
        <v>45181</v>
      </c>
      <c r="F18" s="692">
        <f>PIERNA!F18</f>
        <v>18363.439999999999</v>
      </c>
      <c r="G18" s="350">
        <f>PIERNA!G18</f>
        <v>20</v>
      </c>
      <c r="H18" s="707">
        <f>PIERNA!H18</f>
        <v>18500.900000000001</v>
      </c>
      <c r="I18" s="544">
        <f>PIERNA!I18</f>
        <v>-137.46000000000276</v>
      </c>
      <c r="J18" s="1124" t="str">
        <f>PIERNA!EU6</f>
        <v>ACCSE23-05</v>
      </c>
      <c r="K18" s="1234">
        <v>12424</v>
      </c>
      <c r="L18" s="1235" t="s">
        <v>502</v>
      </c>
      <c r="M18" s="1234">
        <v>37120</v>
      </c>
      <c r="N18" s="1236" t="s">
        <v>503</v>
      </c>
      <c r="O18" s="1237">
        <v>2216889</v>
      </c>
      <c r="P18" s="1238">
        <v>0</v>
      </c>
      <c r="Q18" s="1239">
        <f>45099.29*17.41</f>
        <v>785178.63890000002</v>
      </c>
      <c r="R18" s="1240" t="s">
        <v>501</v>
      </c>
      <c r="S18" s="726">
        <f>Q18+M18+K18</f>
        <v>834722.63890000002</v>
      </c>
      <c r="T18" s="726">
        <f t="shared" si="1"/>
        <v>45.217947716057054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4" t="str">
        <f>PIERNA!B19</f>
        <v>SEABOARD FOODS</v>
      </c>
      <c r="C19" s="256" t="str">
        <f>PIERNA!C19</f>
        <v>Seaboard</v>
      </c>
      <c r="D19" s="502" t="str">
        <f>PIERNA!D19</f>
        <v>PED. 103390178</v>
      </c>
      <c r="E19" s="503">
        <f>PIERNA!E19</f>
        <v>45184</v>
      </c>
      <c r="F19" s="692">
        <f>PIERNA!F19</f>
        <v>19163.939999999999</v>
      </c>
      <c r="G19" s="350">
        <f>PIERNA!G19</f>
        <v>21</v>
      </c>
      <c r="H19" s="707">
        <f>PIERNA!H19</f>
        <v>19200.400000000001</v>
      </c>
      <c r="I19" s="544">
        <f>PIERNA!I19</f>
        <v>-36.460000000002765</v>
      </c>
      <c r="J19" s="634" t="str">
        <f>PIERNA!FE6</f>
        <v>NLSE23-164</v>
      </c>
      <c r="K19" s="354">
        <v>12434</v>
      </c>
      <c r="L19" s="563" t="s">
        <v>419</v>
      </c>
      <c r="M19" s="354">
        <v>37120</v>
      </c>
      <c r="N19" s="566" t="s">
        <v>414</v>
      </c>
      <c r="O19" s="836">
        <v>2218481</v>
      </c>
      <c r="P19" s="1401">
        <v>5278</v>
      </c>
      <c r="Q19" s="464">
        <f>48679.5*17.41</f>
        <v>847510.09499999997</v>
      </c>
      <c r="R19" s="559" t="s">
        <v>362</v>
      </c>
      <c r="S19" s="726">
        <f>Q19+M19+K19</f>
        <v>897064.09499999997</v>
      </c>
      <c r="T19" s="726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6" t="str">
        <f>PIERNA!B20</f>
        <v>SEABOARD FOODS</v>
      </c>
      <c r="C20" s="256" t="str">
        <f>PIERNA!C20</f>
        <v>Seaboard</v>
      </c>
      <c r="D20" s="502" t="str">
        <f>PIERNA!D20</f>
        <v>PED. 103390514</v>
      </c>
      <c r="E20" s="503">
        <f>PIERNA!E20</f>
        <v>45184</v>
      </c>
      <c r="F20" s="692">
        <f>PIERNA!F20</f>
        <v>19215.400000000001</v>
      </c>
      <c r="G20" s="350">
        <f>PIERNA!G20</f>
        <v>21</v>
      </c>
      <c r="H20" s="707">
        <f>PIERNA!H20</f>
        <v>19240.400000000001</v>
      </c>
      <c r="I20" s="544">
        <f>PIERNA!I20</f>
        <v>-25</v>
      </c>
      <c r="J20" s="800" t="str">
        <f>PIERNA!FO6</f>
        <v>NLSE23-165</v>
      </c>
      <c r="K20" s="354">
        <v>12274</v>
      </c>
      <c r="L20" s="563" t="s">
        <v>419</v>
      </c>
      <c r="M20" s="354">
        <v>37120</v>
      </c>
      <c r="N20" s="566" t="s">
        <v>414</v>
      </c>
      <c r="O20" s="836">
        <v>2218482</v>
      </c>
      <c r="P20" s="1401">
        <v>5278</v>
      </c>
      <c r="Q20" s="464">
        <f>48780.7*17.41</f>
        <v>849271.98699999996</v>
      </c>
      <c r="R20" s="559" t="s">
        <v>362</v>
      </c>
      <c r="S20" s="726">
        <f t="shared" si="0"/>
        <v>903943.98699999996</v>
      </c>
      <c r="T20" s="726">
        <f t="shared" si="1"/>
        <v>47.081558959273195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3" t="str">
        <f>PIERNA!B21</f>
        <v>COMERC INT MANSIVA</v>
      </c>
      <c r="C21" s="351" t="str">
        <f>PIERNA!C21</f>
        <v xml:space="preserve">I B P </v>
      </c>
      <c r="D21" s="502" t="str">
        <f>PIERNA!D21</f>
        <v xml:space="preserve">PED. </v>
      </c>
      <c r="E21" s="503">
        <f>PIERNA!E21</f>
        <v>45184</v>
      </c>
      <c r="F21" s="692">
        <f>PIERNA!F21</f>
        <v>18742.990000000002</v>
      </c>
      <c r="G21" s="350">
        <f>PIERNA!G21</f>
        <v>20</v>
      </c>
      <c r="H21" s="707">
        <f>PIERNA!H21</f>
        <v>18775.45</v>
      </c>
      <c r="I21" s="544">
        <f>PIERNA!I21</f>
        <v>-32.459999999999127</v>
      </c>
      <c r="J21" s="613">
        <f>PIERNA!FY6</f>
        <v>38130</v>
      </c>
      <c r="K21" s="1385"/>
      <c r="L21" s="1386"/>
      <c r="M21" s="1385"/>
      <c r="N21" s="1387"/>
      <c r="O21" s="1249">
        <v>38130</v>
      </c>
      <c r="P21" s="464"/>
      <c r="Q21" s="1388">
        <v>828948.99</v>
      </c>
      <c r="R21" s="1389" t="s">
        <v>801</v>
      </c>
      <c r="S21" s="726">
        <f t="shared" si="0"/>
        <v>828948.99</v>
      </c>
      <c r="T21" s="726">
        <f>S21/H21</f>
        <v>44.150685602741873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5" t="str">
        <f>PIERNA!B22</f>
        <v>SEABOARD FOODS</v>
      </c>
      <c r="C22" s="256" t="str">
        <f>PIERNA!C22</f>
        <v>Seaboard</v>
      </c>
      <c r="D22" s="502" t="str">
        <f>PIERNA!D22</f>
        <v>PED. 103510781</v>
      </c>
      <c r="E22" s="503">
        <f>PIERNA!E22</f>
        <v>45189</v>
      </c>
      <c r="F22" s="692">
        <f>PIERNA!F22</f>
        <v>19004.12</v>
      </c>
      <c r="G22" s="350">
        <f>PIERNA!G22</f>
        <v>21</v>
      </c>
      <c r="H22" s="707">
        <f>PIERNA!H22</f>
        <v>19004.099999999999</v>
      </c>
      <c r="I22" s="544">
        <f>PIERNA!I22</f>
        <v>2.0000000000436557E-2</v>
      </c>
      <c r="J22" s="666" t="str">
        <f>PIERNA!GI6</f>
        <v>NLSE23-166</v>
      </c>
      <c r="K22" s="354">
        <v>12274</v>
      </c>
      <c r="L22" s="563" t="s">
        <v>408</v>
      </c>
      <c r="M22" s="354">
        <v>37120</v>
      </c>
      <c r="N22" s="566" t="s">
        <v>415</v>
      </c>
      <c r="O22" s="837">
        <v>2219120</v>
      </c>
      <c r="P22" s="1403">
        <v>4901</v>
      </c>
      <c r="Q22" s="464">
        <f>44607.74*17.595</f>
        <v>784873.1852999999</v>
      </c>
      <c r="R22" s="559" t="s">
        <v>410</v>
      </c>
      <c r="S22" s="726">
        <f>Q22+M22+K22</f>
        <v>834267.1852999999</v>
      </c>
      <c r="T22" s="726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6" t="str">
        <f>PIERNA!B23</f>
        <v>SEABOARD FOODS</v>
      </c>
      <c r="C23" s="256" t="str">
        <f>PIERNA!C23</f>
        <v>Seaboard</v>
      </c>
      <c r="D23" s="502" t="str">
        <f>PIERNA!D23</f>
        <v>PED. 1035322382</v>
      </c>
      <c r="E23" s="503">
        <f>PIERNA!E23</f>
        <v>45189</v>
      </c>
      <c r="F23" s="692">
        <f>PIERNA!F23</f>
        <v>19090.22</v>
      </c>
      <c r="G23" s="350">
        <f>PIERNA!G23</f>
        <v>21</v>
      </c>
      <c r="H23" s="707">
        <f>PIERNA!H23</f>
        <v>19103.8</v>
      </c>
      <c r="I23" s="544">
        <f>PIERNA!I23</f>
        <v>-13.579999999998108</v>
      </c>
      <c r="J23" s="666" t="str">
        <f>PIERNA!GS6</f>
        <v>NLSE23-167</v>
      </c>
      <c r="K23" s="354">
        <v>10124</v>
      </c>
      <c r="L23" s="563" t="s">
        <v>421</v>
      </c>
      <c r="M23" s="354">
        <v>37120</v>
      </c>
      <c r="N23" s="688" t="s">
        <v>415</v>
      </c>
      <c r="O23" s="837">
        <v>2219121</v>
      </c>
      <c r="P23" s="1404">
        <v>4814</v>
      </c>
      <c r="Q23" s="464">
        <f>44841.97*17.184</f>
        <v>770564.41248000006</v>
      </c>
      <c r="R23" s="559" t="s">
        <v>413</v>
      </c>
      <c r="S23" s="726">
        <f>Q23+M23+K23</f>
        <v>817808.41248000006</v>
      </c>
      <c r="T23" s="726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4" t="str">
        <f>PIERNA!B24</f>
        <v>SEABOARD FOODS</v>
      </c>
      <c r="C24" s="256" t="str">
        <f>PIERNA!C24</f>
        <v>Seaboard</v>
      </c>
      <c r="D24" s="507" t="str">
        <f>PIERNA!D24</f>
        <v>PED. 103511647</v>
      </c>
      <c r="E24" s="503">
        <f>PIERNA!E24</f>
        <v>45189</v>
      </c>
      <c r="F24" s="692">
        <f>PIERNA!F24</f>
        <v>19037.62</v>
      </c>
      <c r="G24" s="350">
        <f>PIERNA!G24</f>
        <v>21</v>
      </c>
      <c r="H24" s="707">
        <f>PIERNA!H24</f>
        <v>19053.599999999999</v>
      </c>
      <c r="I24" s="544">
        <f>PIERNA!I24</f>
        <v>-15.979999999999563</v>
      </c>
      <c r="J24" s="1125" t="str">
        <f>PIERNA!HC6</f>
        <v>ACCESE23-10</v>
      </c>
      <c r="K24" s="1246">
        <v>12424</v>
      </c>
      <c r="L24" s="1247" t="s">
        <v>510</v>
      </c>
      <c r="M24" s="1246">
        <v>37120</v>
      </c>
      <c r="N24" s="1248" t="s">
        <v>511</v>
      </c>
      <c r="O24" s="1249">
        <v>2218992</v>
      </c>
      <c r="P24" s="1250">
        <v>0</v>
      </c>
      <c r="Q24" s="1251">
        <f>44723.79*17.54</f>
        <v>784455.27659999998</v>
      </c>
      <c r="R24" s="1252" t="s">
        <v>509</v>
      </c>
      <c r="S24" s="726">
        <f>Q24+M24+K24</f>
        <v>833999.27659999998</v>
      </c>
      <c r="T24" s="726">
        <f>S24/H24</f>
        <v>43.771217859092246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4" t="str">
        <f>PIERNA!HM5</f>
        <v xml:space="preserve">SAM FARMS </v>
      </c>
      <c r="C25" s="354" t="str">
        <f>PIERNA!HN5</f>
        <v>Seaboard</v>
      </c>
      <c r="D25" s="507" t="str">
        <f>PIERNA!HO5</f>
        <v>PED. 103511652</v>
      </c>
      <c r="E25" s="503">
        <f>PIERNA!E25</f>
        <v>45189</v>
      </c>
      <c r="F25" s="692">
        <f>PIERNA!HQ5</f>
        <v>18779.189999999999</v>
      </c>
      <c r="G25" s="350">
        <f>PIERNA!HR5</f>
        <v>21</v>
      </c>
      <c r="H25" s="707">
        <f>PIERNA!HS5</f>
        <v>18974.5</v>
      </c>
      <c r="I25" s="544">
        <f>PIERNA!I25</f>
        <v>-195.31000000000131</v>
      </c>
      <c r="J25" s="1313" t="str">
        <f>PIERNA!HM6</f>
        <v>11365  11 SUR</v>
      </c>
      <c r="K25" s="1302"/>
      <c r="L25" s="1303"/>
      <c r="M25" s="1302"/>
      <c r="N25" s="1307"/>
      <c r="O25" s="836"/>
      <c r="P25" s="464">
        <v>0</v>
      </c>
      <c r="Q25" s="464"/>
      <c r="R25" s="559"/>
      <c r="S25" s="726">
        <f t="shared" si="0"/>
        <v>0</v>
      </c>
      <c r="T25" s="726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882" t="str">
        <f>PIERNA!HW5</f>
        <v>SEABOARD FOODS</v>
      </c>
      <c r="C26" s="256" t="str">
        <f>PIERNA!HX5</f>
        <v>Seaboard</v>
      </c>
      <c r="D26" s="507" t="str">
        <f>PIERNA!HY5</f>
        <v>PED. 103624366</v>
      </c>
      <c r="E26" s="503">
        <f>PIERNA!HZ5</f>
        <v>45190</v>
      </c>
      <c r="F26" s="692">
        <f>PIERNA!IA5</f>
        <v>19212.73</v>
      </c>
      <c r="G26" s="508">
        <f>PIERNA!IB5</f>
        <v>21</v>
      </c>
      <c r="H26" s="707">
        <f>PIERNA!IC5</f>
        <v>19230.400000000001</v>
      </c>
      <c r="I26" s="544">
        <f>PIERNA!I26</f>
        <v>-17.670000000001892</v>
      </c>
      <c r="J26" s="666" t="str">
        <f>PIERNA!HW6</f>
        <v>NLSE23-168</v>
      </c>
      <c r="K26" s="354">
        <v>11424</v>
      </c>
      <c r="L26" s="563" t="s">
        <v>497</v>
      </c>
      <c r="M26" s="354">
        <v>37120</v>
      </c>
      <c r="N26" s="559" t="s">
        <v>498</v>
      </c>
      <c r="O26" s="836">
        <v>2220424</v>
      </c>
      <c r="P26" s="1405">
        <v>4698</v>
      </c>
      <c r="Q26" s="464">
        <f>43472.86*17.16</f>
        <v>745994.27760000003</v>
      </c>
      <c r="R26" s="560" t="s">
        <v>360</v>
      </c>
      <c r="S26" s="726">
        <f>Q26+M26+K26</f>
        <v>794538.27760000003</v>
      </c>
      <c r="T26" s="726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7" t="str">
        <f>PIERNA!II5</f>
        <v>PED. 103666537</v>
      </c>
      <c r="E27" s="503">
        <f>PIERNA!IJ5</f>
        <v>45191</v>
      </c>
      <c r="F27" s="692">
        <f>PIERNA!IK5</f>
        <v>19025.73</v>
      </c>
      <c r="G27" s="508">
        <f>PIERNA!IL5</f>
        <v>21</v>
      </c>
      <c r="H27" s="707">
        <f>PIERNA!IM5</f>
        <v>19054.099999999999</v>
      </c>
      <c r="I27" s="544">
        <f>PIERNA!I27</f>
        <v>-28.369999999998981</v>
      </c>
      <c r="J27" s="666" t="str">
        <f>PIERNA!IG6</f>
        <v>NLSE23-169</v>
      </c>
      <c r="K27" s="355">
        <v>12424</v>
      </c>
      <c r="L27" s="563" t="s">
        <v>498</v>
      </c>
      <c r="M27" s="354">
        <v>37120</v>
      </c>
      <c r="N27" s="562" t="s">
        <v>499</v>
      </c>
      <c r="O27" s="836">
        <v>2220977</v>
      </c>
      <c r="P27" s="1406">
        <v>4843</v>
      </c>
      <c r="Q27" s="825">
        <f>45209.01*17.11</f>
        <v>773526.16110000003</v>
      </c>
      <c r="R27" s="1218" t="s">
        <v>496</v>
      </c>
      <c r="S27" s="726">
        <f>Q27+M27+K27+P27</f>
        <v>827913.16110000003</v>
      </c>
      <c r="T27" s="726">
        <f t="shared" si="1"/>
        <v>43.550656871749396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7" t="str">
        <f>PIERNA!IS5</f>
        <v>PED. 103666533</v>
      </c>
      <c r="E28" s="503">
        <f>PIERNA!IT5</f>
        <v>45191</v>
      </c>
      <c r="F28" s="692">
        <f>PIERNA!IU5</f>
        <v>19037.599999999999</v>
      </c>
      <c r="G28" s="508">
        <f>PIERNA!IV5</f>
        <v>21</v>
      </c>
      <c r="H28" s="707">
        <f>PIERNA!IW5</f>
        <v>19064.400000000001</v>
      </c>
      <c r="I28" s="544">
        <f>PIERNA!I28</f>
        <v>-26.80000000000291</v>
      </c>
      <c r="J28" s="761" t="str">
        <f>PIERNA!IQ6</f>
        <v>NLSE23-170</v>
      </c>
      <c r="K28" s="1194">
        <v>12274</v>
      </c>
      <c r="L28" s="563" t="s">
        <v>498</v>
      </c>
      <c r="M28" s="686">
        <v>37120</v>
      </c>
      <c r="N28" s="562" t="s">
        <v>499</v>
      </c>
      <c r="O28" s="946">
        <v>2220978</v>
      </c>
      <c r="P28" s="1403">
        <v>4843</v>
      </c>
      <c r="Q28" s="464">
        <f>45232.69*17.11</f>
        <v>773931.32590000005</v>
      </c>
      <c r="R28" s="560" t="s">
        <v>414</v>
      </c>
      <c r="S28" s="726">
        <f t="shared" si="0"/>
        <v>828168.32590000005</v>
      </c>
      <c r="T28" s="726">
        <f t="shared" si="1"/>
        <v>43.540565971129439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3" t="str">
        <f>PIERNA!JA5</f>
        <v>SEABOARD FOODS</v>
      </c>
      <c r="C29" s="256" t="str">
        <f>PIERNA!JB5</f>
        <v>Seaboard</v>
      </c>
      <c r="D29" s="507" t="str">
        <f>PIERNA!JC5</f>
        <v>PED. 103730558</v>
      </c>
      <c r="E29" s="503">
        <f>PIERNA!JD5</f>
        <v>45192</v>
      </c>
      <c r="F29" s="692">
        <f>PIERNA!JE5</f>
        <v>19216.099999999999</v>
      </c>
      <c r="G29" s="508">
        <f>PIERNA!JF5</f>
        <v>21</v>
      </c>
      <c r="H29" s="707">
        <f>PIERNA!JG5</f>
        <v>19212.599999999999</v>
      </c>
      <c r="I29" s="544">
        <f>PIERNA!I29</f>
        <v>3.5</v>
      </c>
      <c r="J29" s="941" t="str">
        <f>PIERNA!JA6</f>
        <v>NLSE23-147</v>
      </c>
      <c r="K29" s="1192">
        <v>10124</v>
      </c>
      <c r="L29" s="563" t="s">
        <v>487</v>
      </c>
      <c r="M29" s="354">
        <v>37120</v>
      </c>
      <c r="N29" s="562" t="s">
        <v>499</v>
      </c>
      <c r="O29" s="356">
        <v>2221313</v>
      </c>
      <c r="P29" s="1403">
        <v>4756</v>
      </c>
      <c r="Q29" s="825">
        <f>44660.17*17.135</f>
        <v>765252.01295</v>
      </c>
      <c r="R29" s="1218" t="s">
        <v>408</v>
      </c>
      <c r="S29" s="726">
        <f t="shared" si="0"/>
        <v>817252.01295</v>
      </c>
      <c r="T29" s="726">
        <f t="shared" si="1"/>
        <v>42.637293908684931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256" t="str">
        <f>PIERNA!JL5</f>
        <v>Seaboard</v>
      </c>
      <c r="D30" s="507" t="str">
        <f>PIERNA!JM5</f>
        <v>PED. 103795422</v>
      </c>
      <c r="E30" s="509">
        <f>PIERNA!JN5</f>
        <v>45195</v>
      </c>
      <c r="F30" s="693">
        <f>PIERNA!JO5</f>
        <v>17233.849999999999</v>
      </c>
      <c r="G30" s="356">
        <f>PIERNA!JP5</f>
        <v>19</v>
      </c>
      <c r="H30" s="708">
        <f>PIERNA!JQ5</f>
        <v>17192</v>
      </c>
      <c r="I30" s="544">
        <f>PIERNA!I30</f>
        <v>41.849999999998545</v>
      </c>
      <c r="J30" s="1312" t="str">
        <f>PIERNA!JK6</f>
        <v xml:space="preserve">11366  11 SUR </v>
      </c>
      <c r="K30" s="1314"/>
      <c r="L30" s="1303"/>
      <c r="M30" s="1302"/>
      <c r="N30" s="1315"/>
      <c r="O30" s="356"/>
      <c r="P30" s="464">
        <v>0</v>
      </c>
      <c r="Q30" s="464"/>
      <c r="R30" s="560"/>
      <c r="S30" s="726">
        <f>Q30+M30+K30</f>
        <v>0</v>
      </c>
      <c r="T30" s="726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73" t="str">
        <f>PIERNA!JV5</f>
        <v>Seaboard</v>
      </c>
      <c r="D31" s="507" t="str">
        <f>PIERNA!JW5</f>
        <v>PED. 103793572</v>
      </c>
      <c r="E31" s="509">
        <f>PIERNA!JX5</f>
        <v>45195</v>
      </c>
      <c r="F31" s="693">
        <f>PIERNA!JY5</f>
        <v>18882.46</v>
      </c>
      <c r="G31" s="356">
        <f>PIERNA!JZ5</f>
        <v>21</v>
      </c>
      <c r="H31" s="708">
        <f>PIERNA!KA5</f>
        <v>18903.400000000001</v>
      </c>
      <c r="I31" s="544">
        <f>PIERNA!I31</f>
        <v>-20.940000000002328</v>
      </c>
      <c r="J31" s="1178" t="str">
        <f>PIERNA!JU6</f>
        <v>ACCESE23-11</v>
      </c>
      <c r="K31" s="1241">
        <v>11424</v>
      </c>
      <c r="L31" s="1236" t="s">
        <v>505</v>
      </c>
      <c r="M31" s="1234">
        <v>37120</v>
      </c>
      <c r="N31" s="1242" t="s">
        <v>506</v>
      </c>
      <c r="O31" s="1243">
        <v>2221744</v>
      </c>
      <c r="P31" s="1239">
        <v>0</v>
      </c>
      <c r="Q31" s="1244">
        <f>41141.56*17.135</f>
        <v>704960.63060000003</v>
      </c>
      <c r="R31" s="1245" t="s">
        <v>504</v>
      </c>
      <c r="S31" s="726">
        <f t="shared" si="0"/>
        <v>753504.63060000003</v>
      </c>
      <c r="T31" s="726">
        <f t="shared" si="1"/>
        <v>39.96079914724335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7" t="str">
        <f>PIERNA!KG5</f>
        <v>PED. 103857917</v>
      </c>
      <c r="E32" s="509">
        <f>PIERNA!KH5</f>
        <v>45196</v>
      </c>
      <c r="F32" s="693">
        <f>PIERNA!KI5</f>
        <v>16998.18</v>
      </c>
      <c r="G32" s="356">
        <f>PIERNA!KJ5</f>
        <v>19</v>
      </c>
      <c r="H32" s="708">
        <f>PIERNA!H32</f>
        <v>17032.7</v>
      </c>
      <c r="I32" s="544">
        <f>PIERNA!I32</f>
        <v>-34.520000000000437</v>
      </c>
      <c r="J32" s="761" t="str">
        <f>PIERNA!KE6</f>
        <v>NLSE23-172</v>
      </c>
      <c r="K32" s="1193">
        <v>12424</v>
      </c>
      <c r="L32" s="558" t="s">
        <v>481</v>
      </c>
      <c r="M32" s="354">
        <v>37120</v>
      </c>
      <c r="N32" s="559" t="s">
        <v>482</v>
      </c>
      <c r="O32" s="356">
        <v>2221871</v>
      </c>
      <c r="P32" s="1403">
        <v>4060</v>
      </c>
      <c r="Q32" s="464">
        <f>37070.35*17.065</f>
        <v>632605.52275</v>
      </c>
      <c r="R32" s="560" t="s">
        <v>415</v>
      </c>
      <c r="S32" s="726">
        <f>Q32+M32+K32+P32</f>
        <v>686209.52275</v>
      </c>
      <c r="T32" s="726">
        <f t="shared" ref="T32:T41" si="8">S32/H32+0.1</f>
        <v>40.387771331027963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3" t="str">
        <f>PIERNA!KO5</f>
        <v>SEABOARD FOODS</v>
      </c>
      <c r="C33" s="256" t="str">
        <f>PIERNA!KP5</f>
        <v>Seaboard</v>
      </c>
      <c r="D33" s="507" t="str">
        <f>PIERNA!KQ5</f>
        <v>PED. 103915472</v>
      </c>
      <c r="E33" s="509">
        <f>PIERNA!KR5</f>
        <v>45197</v>
      </c>
      <c r="F33" s="694">
        <f>PIERNA!KS5</f>
        <v>18761.900000000001</v>
      </c>
      <c r="G33" s="510">
        <f>PIERNA!KT5</f>
        <v>21</v>
      </c>
      <c r="H33" s="708">
        <f>PIERNA!KU5</f>
        <v>18774.5</v>
      </c>
      <c r="I33" s="545">
        <f>PIERNA!I33</f>
        <v>-12.599999999998545</v>
      </c>
      <c r="J33" s="750" t="str">
        <f>PIERNA!KO6</f>
        <v>NLSE23-173</v>
      </c>
      <c r="K33" s="1194">
        <v>12274</v>
      </c>
      <c r="L33" s="563" t="s">
        <v>490</v>
      </c>
      <c r="M33" s="686">
        <v>37120</v>
      </c>
      <c r="N33" s="563" t="s">
        <v>491</v>
      </c>
      <c r="O33" s="946">
        <v>2221872</v>
      </c>
      <c r="P33" s="1403">
        <v>4466</v>
      </c>
      <c r="Q33" s="825">
        <f>41477.92*17.18</f>
        <v>712590.66559999995</v>
      </c>
      <c r="R33" s="560" t="s">
        <v>416</v>
      </c>
      <c r="S33" s="726">
        <f>Q33+M33+K33+P33</f>
        <v>766450.66559999995</v>
      </c>
      <c r="T33" s="726">
        <f t="shared" si="8"/>
        <v>40.924025438760019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351" t="str">
        <f>PIERNA!C34</f>
        <v>Seaboard</v>
      </c>
      <c r="D34" s="507" t="str">
        <f>PIERNA!D34</f>
        <v xml:space="preserve">PED. </v>
      </c>
      <c r="E34" s="509">
        <f>PIERNA!E34</f>
        <v>45198</v>
      </c>
      <c r="F34" s="694">
        <f>PIERNA!F34</f>
        <v>18756.36</v>
      </c>
      <c r="G34" s="510">
        <f>PIERNA!G34</f>
        <v>21</v>
      </c>
      <c r="H34" s="708">
        <f>PIERNA!H34</f>
        <v>18777.5</v>
      </c>
      <c r="I34" s="544">
        <f>PIERNA!I34</f>
        <v>-21.139999999999418</v>
      </c>
      <c r="J34" s="505" t="str">
        <f>PIERNA!KY6</f>
        <v>NLSE23-175</v>
      </c>
      <c r="K34" s="948">
        <v>12424</v>
      </c>
      <c r="L34" s="563" t="s">
        <v>492</v>
      </c>
      <c r="M34" s="647">
        <v>37120</v>
      </c>
      <c r="N34" s="560" t="s">
        <v>493</v>
      </c>
      <c r="O34" s="783">
        <v>2224168</v>
      </c>
      <c r="P34" s="1403">
        <v>4437</v>
      </c>
      <c r="Q34" s="465">
        <f>41165.18*17.2</f>
        <v>708041.09600000002</v>
      </c>
      <c r="R34" s="561" t="s">
        <v>488</v>
      </c>
      <c r="S34" s="726">
        <f>Q34+M34+K34+P34</f>
        <v>762022.09600000002</v>
      </c>
      <c r="T34" s="726">
        <f t="shared" si="8"/>
        <v>40.68165868725869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1" t="str">
        <f>PIERNA!C35</f>
        <v>Seaboard</v>
      </c>
      <c r="D35" s="507" t="str">
        <f>PIERNA!D35</f>
        <v>PED. 103985202</v>
      </c>
      <c r="E35" s="509">
        <f>PIERNA!E35</f>
        <v>45198</v>
      </c>
      <c r="F35" s="694">
        <f>PIERNA!F35</f>
        <v>18796.29</v>
      </c>
      <c r="G35" s="511">
        <f>PIERNA!G35</f>
        <v>21</v>
      </c>
      <c r="H35" s="708">
        <f>PIERNA!H35</f>
        <v>18816.400000000001</v>
      </c>
      <c r="I35" s="544">
        <f>PIERNA!I35</f>
        <v>-20.110000000000582</v>
      </c>
      <c r="J35" s="666" t="str">
        <f>PIERNA!LI6</f>
        <v>NLSE23-174</v>
      </c>
      <c r="K35" s="465">
        <v>10124</v>
      </c>
      <c r="L35" s="563" t="s">
        <v>492</v>
      </c>
      <c r="M35" s="647">
        <v>37120</v>
      </c>
      <c r="N35" s="560" t="s">
        <v>493</v>
      </c>
      <c r="O35" s="783">
        <v>2224169</v>
      </c>
      <c r="P35" s="1403">
        <v>4437</v>
      </c>
      <c r="Q35" s="355">
        <f>41922.72*17.118</f>
        <v>717633.12095999997</v>
      </c>
      <c r="R35" s="560" t="s">
        <v>487</v>
      </c>
      <c r="S35" s="726">
        <f>Q35+M35+K35</f>
        <v>764877.12095999997</v>
      </c>
      <c r="T35" s="726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1" t="str">
        <f>PIERNA!C36</f>
        <v>I B P</v>
      </c>
      <c r="D36" s="507" t="str">
        <f>PIERNA!D36</f>
        <v>PED. 103984696</v>
      </c>
      <c r="E36" s="509">
        <f>PIERNA!E36</f>
        <v>45199</v>
      </c>
      <c r="F36" s="694">
        <f>PIERNA!F36</f>
        <v>18548.68</v>
      </c>
      <c r="G36" s="511">
        <f>PIERNA!G36</f>
        <v>20</v>
      </c>
      <c r="H36" s="708">
        <f>PIERNA!H36</f>
        <v>18579.490000000002</v>
      </c>
      <c r="I36" s="544">
        <f>PIERNA!I36</f>
        <v>-30.81000000000131</v>
      </c>
      <c r="J36" s="666">
        <f>PIERNA!LS6</f>
        <v>11712</v>
      </c>
      <c r="K36" s="465">
        <v>12274</v>
      </c>
      <c r="L36" s="563" t="s">
        <v>492</v>
      </c>
      <c r="M36" s="647">
        <v>37120</v>
      </c>
      <c r="N36" s="560" t="s">
        <v>493</v>
      </c>
      <c r="O36" s="783">
        <v>12071</v>
      </c>
      <c r="P36" s="1403">
        <v>4495</v>
      </c>
      <c r="Q36" s="355">
        <f>40731.62*17.625</f>
        <v>717894.80249999999</v>
      </c>
      <c r="R36" s="559" t="s">
        <v>485</v>
      </c>
      <c r="S36" s="726">
        <f t="shared" ref="S36:S39" si="9">Q36+M36+K36</f>
        <v>767288.80249999999</v>
      </c>
      <c r="T36" s="726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1">
        <f>PIERNA!C37</f>
        <v>0</v>
      </c>
      <c r="D37" s="502">
        <f>PIERNA!D37</f>
        <v>0</v>
      </c>
      <c r="E37" s="503">
        <f>PIERNA!E37</f>
        <v>0</v>
      </c>
      <c r="F37" s="692">
        <f>PIERNA!F37</f>
        <v>0</v>
      </c>
      <c r="G37" s="350">
        <f>PIERNA!G37</f>
        <v>0</v>
      </c>
      <c r="H37" s="707">
        <f>PIERNA!H37</f>
        <v>0</v>
      </c>
      <c r="I37" s="544">
        <f>PIERNA!I37</f>
        <v>0</v>
      </c>
      <c r="J37" s="1195" t="s">
        <v>477</v>
      </c>
      <c r="K37" s="895">
        <v>12274</v>
      </c>
      <c r="L37" s="563" t="s">
        <v>489</v>
      </c>
      <c r="M37" s="354">
        <v>37120</v>
      </c>
      <c r="N37" s="559" t="s">
        <v>490</v>
      </c>
      <c r="O37" s="1231">
        <v>2221870</v>
      </c>
      <c r="P37" s="1232">
        <v>4379</v>
      </c>
      <c r="Q37" s="1232">
        <f>40755.56*17.11</f>
        <v>697327.63159999996</v>
      </c>
      <c r="R37" s="1233" t="s">
        <v>500</v>
      </c>
      <c r="S37" s="726">
        <f>Q37+M37+K37</f>
        <v>746721.63159999996</v>
      </c>
      <c r="T37" s="72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1">
        <f>PIERNA!C38</f>
        <v>0</v>
      </c>
      <c r="D38" s="399">
        <f>PIERNA!D38</f>
        <v>0</v>
      </c>
      <c r="E38" s="503">
        <f>PIERNA!E38</f>
        <v>0</v>
      </c>
      <c r="F38" s="695">
        <f>PIERNA!F38</f>
        <v>0</v>
      </c>
      <c r="G38" s="350">
        <f>PIERNA!G38</f>
        <v>0</v>
      </c>
      <c r="H38" s="699">
        <f>PIERNA!H38</f>
        <v>0</v>
      </c>
      <c r="I38" s="544">
        <f>PIERNA!I38</f>
        <v>0</v>
      </c>
      <c r="J38" s="1196" t="s">
        <v>478</v>
      </c>
      <c r="K38" s="355"/>
      <c r="L38" s="568"/>
      <c r="M38" s="354"/>
      <c r="N38" s="559"/>
      <c r="O38" s="783"/>
      <c r="P38" s="464"/>
      <c r="Q38" s="464"/>
      <c r="R38" s="560"/>
      <c r="S38" s="726">
        <f t="shared" si="9"/>
        <v>0</v>
      </c>
      <c r="T38" s="72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96">
        <f>PIERNA!F39</f>
        <v>0</v>
      </c>
      <c r="G39" s="97">
        <f>PIERNA!G39</f>
        <v>0</v>
      </c>
      <c r="H39" s="702">
        <f>PIERNA!H39</f>
        <v>0</v>
      </c>
      <c r="I39" s="102">
        <f>PIERNA!I39</f>
        <v>0</v>
      </c>
      <c r="J39" s="761">
        <f>PIERNA!MW6</f>
        <v>0</v>
      </c>
      <c r="K39" s="896"/>
      <c r="L39" s="568"/>
      <c r="M39" s="354"/>
      <c r="N39" s="559"/>
      <c r="O39" s="783"/>
      <c r="P39" s="464"/>
      <c r="Q39" s="464"/>
      <c r="R39" s="560"/>
      <c r="S39" s="726">
        <f t="shared" si="9"/>
        <v>0</v>
      </c>
      <c r="T39" s="72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96">
        <f>PIERNA!F40</f>
        <v>0</v>
      </c>
      <c r="G40" s="97">
        <f>PIERNA!G40</f>
        <v>0</v>
      </c>
      <c r="H40" s="702">
        <f>PIERNA!H40</f>
        <v>0</v>
      </c>
      <c r="I40" s="102">
        <f>PIERNA!I40</f>
        <v>0</v>
      </c>
      <c r="J40" s="897"/>
      <c r="K40" s="898"/>
      <c r="L40" s="558"/>
      <c r="M40" s="354"/>
      <c r="N40" s="559"/>
      <c r="O40" s="783"/>
      <c r="P40" s="464"/>
      <c r="Q40" s="464"/>
      <c r="R40" s="560"/>
      <c r="S40" s="726">
        <f>Q40+M40+K40+P40</f>
        <v>0</v>
      </c>
      <c r="T40" s="72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96">
        <f>PIERNA!F41</f>
        <v>0</v>
      </c>
      <c r="G41" s="97">
        <f>PIERNA!G41</f>
        <v>0</v>
      </c>
      <c r="H41" s="702">
        <f>PIERNA!H41</f>
        <v>0</v>
      </c>
      <c r="I41" s="102">
        <f>PIERNA!I41</f>
        <v>0</v>
      </c>
      <c r="J41" s="949" t="s">
        <v>194</v>
      </c>
      <c r="K41" s="355"/>
      <c r="L41" s="558"/>
      <c r="M41" s="354"/>
      <c r="N41" s="559"/>
      <c r="O41" s="783"/>
      <c r="P41" s="464"/>
      <c r="Q41" s="464"/>
      <c r="R41" s="560"/>
      <c r="S41" s="726">
        <f>Q41+M41+K41+P41</f>
        <v>0</v>
      </c>
      <c r="T41" s="72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2">
        <f>PIERNA!C42</f>
        <v>0</v>
      </c>
      <c r="D42" s="161">
        <f>PIERNA!D42</f>
        <v>0</v>
      </c>
      <c r="E42" s="130">
        <f>PIERNA!E42</f>
        <v>0</v>
      </c>
      <c r="F42" s="691">
        <f>PIERNA!F42</f>
        <v>0</v>
      </c>
      <c r="G42" s="97">
        <f>PIERNA!G42</f>
        <v>0</v>
      </c>
      <c r="H42" s="706">
        <f>PIERNA!H42</f>
        <v>0</v>
      </c>
      <c r="I42" s="102">
        <f>PIERNA!I42</f>
        <v>0</v>
      </c>
      <c r="J42" s="951" t="s">
        <v>195</v>
      </c>
      <c r="K42" s="952"/>
      <c r="L42" s="953"/>
      <c r="M42" s="952"/>
      <c r="N42" s="954"/>
      <c r="O42" s="955"/>
      <c r="P42" s="956"/>
      <c r="Q42" s="950"/>
      <c r="R42" s="957"/>
      <c r="S42" s="726">
        <f t="shared" ref="S42:S59" si="10">Q42+M42+K42</f>
        <v>0</v>
      </c>
      <c r="T42" s="72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91">
        <f>PIERNA!F43</f>
        <v>0</v>
      </c>
      <c r="G43" s="97">
        <f>PIERNA!G43</f>
        <v>0</v>
      </c>
      <c r="H43" s="706">
        <f>PIERNA!H43</f>
        <v>0</v>
      </c>
      <c r="I43" s="102">
        <f>PIERNA!I43</f>
        <v>0</v>
      </c>
      <c r="J43" s="260"/>
      <c r="K43" s="354"/>
      <c r="L43" s="558"/>
      <c r="M43" s="354"/>
      <c r="N43" s="559"/>
      <c r="O43" s="783"/>
      <c r="P43" s="464"/>
      <c r="Q43" s="464"/>
      <c r="R43" s="560"/>
      <c r="S43" s="726">
        <f t="shared" si="10"/>
        <v>0</v>
      </c>
      <c r="T43" s="72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91">
        <f>PIERNA!F44</f>
        <v>0</v>
      </c>
      <c r="G44" s="97">
        <f>PIERNA!G44</f>
        <v>0</v>
      </c>
      <c r="H44" s="706">
        <f>PIERNA!H44</f>
        <v>0</v>
      </c>
      <c r="I44" s="102">
        <f>PIERNA!I44</f>
        <v>0</v>
      </c>
      <c r="J44" s="260"/>
      <c r="K44" s="354"/>
      <c r="L44" s="558"/>
      <c r="M44" s="354"/>
      <c r="N44" s="562"/>
      <c r="O44" s="783"/>
      <c r="P44" s="464"/>
      <c r="Q44" s="355"/>
      <c r="R44" s="560"/>
      <c r="S44" s="726">
        <f>Q44+M44+K44</f>
        <v>0</v>
      </c>
      <c r="T44" s="72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91">
        <f>PIERNA!F45</f>
        <v>0</v>
      </c>
      <c r="G45" s="97">
        <f>PIERNA!G45</f>
        <v>0</v>
      </c>
      <c r="H45" s="706">
        <f>PIERNA!H45</f>
        <v>0</v>
      </c>
      <c r="I45" s="102">
        <f>PIERNA!I45</f>
        <v>0</v>
      </c>
      <c r="J45" s="260"/>
      <c r="K45" s="354"/>
      <c r="L45" s="558"/>
      <c r="M45" s="354"/>
      <c r="N45" s="562"/>
      <c r="O45" s="783"/>
      <c r="P45" s="464"/>
      <c r="Q45" s="355"/>
      <c r="R45" s="560"/>
      <c r="S45" s="726">
        <f>Q45+M45+K45</f>
        <v>0</v>
      </c>
      <c r="T45" s="72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91">
        <f>PIERNA!F46</f>
        <v>0</v>
      </c>
      <c r="G46" s="97">
        <f>PIERNA!G46</f>
        <v>0</v>
      </c>
      <c r="H46" s="706">
        <f>PIERNA!H46</f>
        <v>0</v>
      </c>
      <c r="I46" s="102">
        <f>PIERNA!I46</f>
        <v>0</v>
      </c>
      <c r="J46" s="260"/>
      <c r="K46" s="354"/>
      <c r="L46" s="558"/>
      <c r="M46" s="354"/>
      <c r="N46" s="562"/>
      <c r="O46" s="783"/>
      <c r="P46" s="464"/>
      <c r="Q46" s="355"/>
      <c r="R46" s="560"/>
      <c r="S46" s="726">
        <f>Q46+M46+K46</f>
        <v>0</v>
      </c>
      <c r="T46" s="72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91">
        <f>PIERNA!F47</f>
        <v>0</v>
      </c>
      <c r="G47" s="97">
        <f>PIERNA!G47</f>
        <v>0</v>
      </c>
      <c r="H47" s="706">
        <f>PIERNA!H47</f>
        <v>0</v>
      </c>
      <c r="I47" s="102">
        <f>PIERNA!I47</f>
        <v>0</v>
      </c>
      <c r="J47" s="260"/>
      <c r="K47" s="354"/>
      <c r="L47" s="558"/>
      <c r="M47" s="628"/>
      <c r="N47" s="562"/>
      <c r="O47" s="784"/>
      <c r="P47" s="464"/>
      <c r="Q47" s="355"/>
      <c r="R47" s="560"/>
      <c r="S47" s="726">
        <f>Q47+M47+K47</f>
        <v>0</v>
      </c>
      <c r="T47" s="72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91">
        <f>PIERNA!F48</f>
        <v>0</v>
      </c>
      <c r="G48" s="97">
        <f>PIERNA!G48</f>
        <v>0</v>
      </c>
      <c r="H48" s="706">
        <f>PIERNA!H48</f>
        <v>0</v>
      </c>
      <c r="I48" s="102">
        <f>PIERNA!I48</f>
        <v>0</v>
      </c>
      <c r="J48" s="260"/>
      <c r="K48" s="354"/>
      <c r="L48" s="558"/>
      <c r="M48" s="629"/>
      <c r="N48" s="562"/>
      <c r="O48" s="783"/>
      <c r="P48" s="464"/>
      <c r="Q48" s="355"/>
      <c r="R48" s="560"/>
      <c r="S48" s="726">
        <f>Q48+M48+K48</f>
        <v>0</v>
      </c>
      <c r="T48" s="72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91">
        <f>PIERNA!F49</f>
        <v>0</v>
      </c>
      <c r="G49" s="97">
        <f>PIERNA!G49</f>
        <v>0</v>
      </c>
      <c r="H49" s="706">
        <f>PIERNA!H49</f>
        <v>0</v>
      </c>
      <c r="I49" s="102">
        <f>PIERNA!I49</f>
        <v>0</v>
      </c>
      <c r="J49" s="260"/>
      <c r="K49" s="354"/>
      <c r="L49" s="558"/>
      <c r="M49" s="629"/>
      <c r="N49" s="562"/>
      <c r="O49" s="783"/>
      <c r="P49" s="464"/>
      <c r="Q49" s="355"/>
      <c r="R49" s="560"/>
      <c r="S49" s="726">
        <f t="shared" ref="S49:S53" si="13">Q49+M49+K49</f>
        <v>0</v>
      </c>
      <c r="T49" s="72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91">
        <f>PIERNA!F50</f>
        <v>0</v>
      </c>
      <c r="G50" s="97">
        <f>PIERNA!G50</f>
        <v>0</v>
      </c>
      <c r="H50" s="706">
        <f>PIERNA!H50</f>
        <v>0</v>
      </c>
      <c r="I50" s="102">
        <f>PIERNA!I50</f>
        <v>0</v>
      </c>
      <c r="J50" s="260"/>
      <c r="K50" s="354"/>
      <c r="L50" s="558"/>
      <c r="M50" s="629"/>
      <c r="N50" s="562"/>
      <c r="O50" s="783"/>
      <c r="P50" s="464"/>
      <c r="Q50" s="355"/>
      <c r="R50" s="560"/>
      <c r="S50" s="726">
        <f t="shared" si="13"/>
        <v>0</v>
      </c>
      <c r="T50" s="72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91">
        <f>PIERNA!F51</f>
        <v>0</v>
      </c>
      <c r="G51" s="97">
        <f>PIERNA!G51</f>
        <v>0</v>
      </c>
      <c r="H51" s="706">
        <f>PIERNA!H51</f>
        <v>0</v>
      </c>
      <c r="I51" s="102">
        <f>PIERNA!I51</f>
        <v>0</v>
      </c>
      <c r="J51" s="260"/>
      <c r="K51" s="354"/>
      <c r="L51" s="558"/>
      <c r="M51" s="629"/>
      <c r="N51" s="562"/>
      <c r="O51" s="783"/>
      <c r="P51" s="655"/>
      <c r="Q51" s="355"/>
      <c r="R51" s="560"/>
      <c r="S51" s="726">
        <f t="shared" si="13"/>
        <v>0</v>
      </c>
      <c r="T51" s="72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91">
        <f>PIERNA!F52</f>
        <v>0</v>
      </c>
      <c r="G52" s="97">
        <f>PIERNA!G52</f>
        <v>0</v>
      </c>
      <c r="H52" s="706">
        <f>PIERNA!H52</f>
        <v>0</v>
      </c>
      <c r="I52" s="102">
        <f>PIERNA!I52</f>
        <v>0</v>
      </c>
      <c r="J52" s="260"/>
      <c r="K52" s="354"/>
      <c r="L52" s="558"/>
      <c r="M52" s="629"/>
      <c r="N52" s="562"/>
      <c r="O52" s="783"/>
      <c r="P52" s="464"/>
      <c r="Q52" s="355"/>
      <c r="R52" s="630"/>
      <c r="S52" s="726">
        <f t="shared" si="13"/>
        <v>0</v>
      </c>
      <c r="T52" s="72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91">
        <f>PIERNA!SL5</f>
        <v>0</v>
      </c>
      <c r="G53" s="97">
        <f>PIERNA!SM5</f>
        <v>0</v>
      </c>
      <c r="H53" s="706">
        <f>PIERNA!SN5</f>
        <v>0</v>
      </c>
      <c r="I53" s="102">
        <f>PIERNA!I53</f>
        <v>0</v>
      </c>
      <c r="J53" s="260"/>
      <c r="K53" s="354"/>
      <c r="L53" s="558"/>
      <c r="M53" s="629"/>
      <c r="N53" s="562"/>
      <c r="O53" s="783"/>
      <c r="P53" s="464"/>
      <c r="Q53" s="355"/>
      <c r="R53" s="630"/>
      <c r="S53" s="726">
        <f t="shared" si="13"/>
        <v>0</v>
      </c>
      <c r="T53" s="72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91">
        <f>PIERNA!F53</f>
        <v>0</v>
      </c>
      <c r="G54" s="97">
        <f>PIERNA!G53</f>
        <v>0</v>
      </c>
      <c r="H54" s="706">
        <f>PIERNA!H53</f>
        <v>0</v>
      </c>
      <c r="I54" s="102">
        <f>PIERNA!I54</f>
        <v>0</v>
      </c>
      <c r="J54" s="260"/>
      <c r="K54" s="354"/>
      <c r="L54" s="558"/>
      <c r="M54" s="629"/>
      <c r="N54" s="562"/>
      <c r="O54" s="783"/>
      <c r="P54" s="464"/>
      <c r="Q54" s="355"/>
      <c r="R54" s="630"/>
      <c r="S54" s="726">
        <f t="shared" si="10"/>
        <v>0</v>
      </c>
      <c r="T54" s="72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97">
        <f>PIERNA!TF5</f>
        <v>0</v>
      </c>
      <c r="G55" s="97">
        <f>PIERNA!TG5</f>
        <v>0</v>
      </c>
      <c r="H55" s="706">
        <f>PIERNA!TH5</f>
        <v>0</v>
      </c>
      <c r="I55" s="102">
        <f>PIERNA!I55</f>
        <v>0</v>
      </c>
      <c r="J55" s="260"/>
      <c r="K55" s="354"/>
      <c r="L55" s="558"/>
      <c r="M55" s="629"/>
      <c r="N55" s="562"/>
      <c r="O55" s="783"/>
      <c r="P55" s="464"/>
      <c r="Q55" s="355"/>
      <c r="R55" s="630"/>
      <c r="S55" s="726">
        <f t="shared" si="10"/>
        <v>0</v>
      </c>
      <c r="T55" s="72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91">
        <f>PIERNA!TP5</f>
        <v>0</v>
      </c>
      <c r="G56" s="97">
        <f>PIERNA!TQ5</f>
        <v>0</v>
      </c>
      <c r="H56" s="706">
        <f>PIERNA!TR5</f>
        <v>0</v>
      </c>
      <c r="I56" s="102">
        <f>PIERNA!I56</f>
        <v>0</v>
      </c>
      <c r="J56" s="260"/>
      <c r="K56" s="354"/>
      <c r="L56" s="558"/>
      <c r="M56" s="629"/>
      <c r="N56" s="562"/>
      <c r="O56" s="783"/>
      <c r="P56" s="464"/>
      <c r="Q56" s="355"/>
      <c r="R56" s="630"/>
      <c r="S56" s="726">
        <f t="shared" si="10"/>
        <v>0</v>
      </c>
      <c r="T56" s="72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91">
        <f>PIERNA!F57</f>
        <v>0</v>
      </c>
      <c r="G57" s="158">
        <f>PIERNA!G57</f>
        <v>0</v>
      </c>
      <c r="H57" s="706">
        <f>PIERNA!H57</f>
        <v>0</v>
      </c>
      <c r="I57" s="102">
        <f>PIERNA!I57</f>
        <v>0</v>
      </c>
      <c r="J57" s="260"/>
      <c r="K57" s="354"/>
      <c r="L57" s="558"/>
      <c r="M57" s="629"/>
      <c r="N57" s="562"/>
      <c r="O57" s="783"/>
      <c r="P57" s="464"/>
      <c r="Q57" s="355"/>
      <c r="R57" s="630"/>
      <c r="S57" s="726">
        <f t="shared" si="10"/>
        <v>0</v>
      </c>
      <c r="T57" s="72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91">
        <f>PIERNA!F58</f>
        <v>0</v>
      </c>
      <c r="G58" s="97">
        <f>PIERNA!G58</f>
        <v>0</v>
      </c>
      <c r="H58" s="706">
        <f>PIERNA!H58</f>
        <v>0</v>
      </c>
      <c r="I58" s="102">
        <f>PIERNA!I58</f>
        <v>0</v>
      </c>
      <c r="J58" s="260"/>
      <c r="K58" s="354"/>
      <c r="L58" s="558"/>
      <c r="M58" s="629"/>
      <c r="N58" s="562"/>
      <c r="O58" s="783"/>
      <c r="P58" s="464"/>
      <c r="Q58" s="355"/>
      <c r="R58" s="630"/>
      <c r="S58" s="726">
        <f t="shared" si="10"/>
        <v>0</v>
      </c>
      <c r="T58" s="72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91">
        <f>PIERNA!F59</f>
        <v>0</v>
      </c>
      <c r="G59" s="97">
        <f>PIERNA!G59</f>
        <v>0</v>
      </c>
      <c r="H59" s="706">
        <f>PIERNA!H59</f>
        <v>0</v>
      </c>
      <c r="I59" s="102">
        <f>PIERNA!I59</f>
        <v>0</v>
      </c>
      <c r="J59" s="260"/>
      <c r="K59" s="354"/>
      <c r="L59" s="558"/>
      <c r="M59" s="629"/>
      <c r="N59" s="562"/>
      <c r="O59" s="783"/>
      <c r="P59" s="464"/>
      <c r="Q59" s="355"/>
      <c r="R59" s="630"/>
      <c r="S59" s="726">
        <f t="shared" si="10"/>
        <v>0</v>
      </c>
      <c r="T59" s="72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91">
        <f>PIERNA!F60</f>
        <v>0</v>
      </c>
      <c r="G60" s="97">
        <f>PIERNA!G60</f>
        <v>0</v>
      </c>
      <c r="H60" s="706">
        <f>PIERNA!H60</f>
        <v>0</v>
      </c>
      <c r="I60" s="102">
        <f>PIERNA!I60</f>
        <v>0</v>
      </c>
      <c r="J60" s="260"/>
      <c r="K60" s="646"/>
      <c r="L60" s="614"/>
      <c r="M60" s="629"/>
      <c r="N60" s="562"/>
      <c r="O60" s="783"/>
      <c r="P60" s="464"/>
      <c r="Q60" s="355"/>
      <c r="R60" s="630"/>
      <c r="S60" s="726">
        <f>Q60+M60+L60</f>
        <v>0</v>
      </c>
      <c r="T60" s="72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91">
        <f>PIERNA!F61</f>
        <v>0</v>
      </c>
      <c r="G61" s="97">
        <f>PIERNA!G61</f>
        <v>0</v>
      </c>
      <c r="H61" s="706">
        <f>PIERNA!H61</f>
        <v>0</v>
      </c>
      <c r="I61" s="102">
        <f>PIERNA!I61</f>
        <v>0</v>
      </c>
      <c r="J61" s="260"/>
      <c r="K61" s="354"/>
      <c r="L61" s="558"/>
      <c r="M61" s="629"/>
      <c r="N61" s="562"/>
      <c r="O61" s="783"/>
      <c r="P61" s="464"/>
      <c r="Q61" s="355"/>
      <c r="R61" s="630"/>
      <c r="S61" s="726">
        <f t="shared" ref="S61:S71" si="14">Q61+M61+K61</f>
        <v>0</v>
      </c>
      <c r="T61" s="72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91">
        <f>PIERNA!F62</f>
        <v>0</v>
      </c>
      <c r="G62" s="156">
        <f>PIERNA!G62</f>
        <v>0</v>
      </c>
      <c r="H62" s="706">
        <f>PIERNA!H62</f>
        <v>0</v>
      </c>
      <c r="I62" s="102">
        <f>PIERNA!I62</f>
        <v>0</v>
      </c>
      <c r="J62" s="260"/>
      <c r="K62" s="354"/>
      <c r="L62" s="558"/>
      <c r="M62" s="629"/>
      <c r="N62" s="562"/>
      <c r="O62" s="783"/>
      <c r="P62" s="464"/>
      <c r="Q62" s="355"/>
      <c r="R62" s="630"/>
      <c r="S62" s="726">
        <f t="shared" si="14"/>
        <v>0</v>
      </c>
      <c r="T62" s="72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91">
        <f>PIERNA!F63</f>
        <v>0</v>
      </c>
      <c r="G63" s="156">
        <f>PIERNA!G63</f>
        <v>0</v>
      </c>
      <c r="H63" s="706">
        <f>PIERNA!H63</f>
        <v>0</v>
      </c>
      <c r="I63" s="102">
        <f>PIERNA!I63</f>
        <v>0</v>
      </c>
      <c r="J63" s="260"/>
      <c r="K63" s="354"/>
      <c r="L63" s="558"/>
      <c r="M63" s="629"/>
      <c r="N63" s="562"/>
      <c r="O63" s="783"/>
      <c r="P63" s="464"/>
      <c r="Q63" s="355"/>
      <c r="R63" s="630"/>
      <c r="S63" s="726">
        <f t="shared" si="14"/>
        <v>0</v>
      </c>
      <c r="T63" s="72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91">
        <f>PIERNA!F64</f>
        <v>0</v>
      </c>
      <c r="G64" s="156">
        <f>PIERNA!G64</f>
        <v>0</v>
      </c>
      <c r="H64" s="706">
        <f>PIERNA!H64</f>
        <v>0</v>
      </c>
      <c r="I64" s="102">
        <f>PIERNA!I64</f>
        <v>0</v>
      </c>
      <c r="J64" s="260"/>
      <c r="K64" s="354"/>
      <c r="L64" s="558"/>
      <c r="M64" s="629"/>
      <c r="N64" s="562"/>
      <c r="O64" s="783"/>
      <c r="P64" s="464"/>
      <c r="Q64" s="355"/>
      <c r="R64" s="630"/>
      <c r="S64" s="726">
        <f t="shared" si="14"/>
        <v>0</v>
      </c>
      <c r="T64" s="72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91">
        <f>PIERNA!F65</f>
        <v>0</v>
      </c>
      <c r="G65" s="156">
        <f>PIERNA!G65</f>
        <v>0</v>
      </c>
      <c r="H65" s="706">
        <f>PIERNA!H65</f>
        <v>0</v>
      </c>
      <c r="I65" s="102">
        <f>PIERNA!I65</f>
        <v>0</v>
      </c>
      <c r="J65" s="260"/>
      <c r="K65" s="354"/>
      <c r="L65" s="558"/>
      <c r="M65" s="629"/>
      <c r="N65" s="562"/>
      <c r="O65" s="783"/>
      <c r="P65" s="464"/>
      <c r="Q65" s="355"/>
      <c r="R65" s="630"/>
      <c r="S65" s="726">
        <f t="shared" si="14"/>
        <v>0</v>
      </c>
      <c r="T65" s="72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91">
        <f>PIERNA!F61</f>
        <v>0</v>
      </c>
      <c r="G66" s="156">
        <f>PIERNA!G61</f>
        <v>0</v>
      </c>
      <c r="H66" s="706">
        <f>PIERNA!H61</f>
        <v>0</v>
      </c>
      <c r="I66" s="102">
        <f>PIERNA!I66</f>
        <v>0</v>
      </c>
      <c r="J66" s="260"/>
      <c r="K66" s="354"/>
      <c r="L66" s="558"/>
      <c r="M66" s="629"/>
      <c r="N66" s="562"/>
      <c r="O66" s="783"/>
      <c r="P66" s="464"/>
      <c r="Q66" s="355"/>
      <c r="R66" s="630"/>
      <c r="S66" s="726">
        <f t="shared" si="14"/>
        <v>0</v>
      </c>
      <c r="T66" s="72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91">
        <f>PIERNA!F62</f>
        <v>0</v>
      </c>
      <c r="G67" s="156">
        <f>PIERNA!G62</f>
        <v>0</v>
      </c>
      <c r="H67" s="706">
        <f>PIERNA!H62</f>
        <v>0</v>
      </c>
      <c r="I67" s="102">
        <f>PIERNA!I67</f>
        <v>0</v>
      </c>
      <c r="J67" s="260"/>
      <c r="K67" s="354"/>
      <c r="L67" s="558"/>
      <c r="M67" s="629"/>
      <c r="N67" s="562"/>
      <c r="O67" s="783"/>
      <c r="P67" s="464"/>
      <c r="Q67" s="355"/>
      <c r="R67" s="630"/>
      <c r="S67" s="726">
        <f t="shared" si="14"/>
        <v>0</v>
      </c>
      <c r="T67" s="72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91">
        <f>PIERNA!F63</f>
        <v>0</v>
      </c>
      <c r="G68" s="156">
        <f>PIERNA!G63</f>
        <v>0</v>
      </c>
      <c r="H68" s="706">
        <f>PIERNA!H63</f>
        <v>0</v>
      </c>
      <c r="I68" s="102">
        <f>PIERNA!I68</f>
        <v>0</v>
      </c>
      <c r="J68" s="260"/>
      <c r="K68" s="354"/>
      <c r="L68" s="558"/>
      <c r="M68" s="629"/>
      <c r="N68" s="562"/>
      <c r="O68" s="783"/>
      <c r="P68" s="464"/>
      <c r="Q68" s="355"/>
      <c r="R68" s="630"/>
      <c r="S68" s="726">
        <f t="shared" si="14"/>
        <v>0</v>
      </c>
      <c r="T68" s="72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91">
        <f>PIERNA!F64</f>
        <v>0</v>
      </c>
      <c r="G69" s="156">
        <f>PIERNA!G64</f>
        <v>0</v>
      </c>
      <c r="H69" s="706">
        <f>PIERNA!H64</f>
        <v>0</v>
      </c>
      <c r="I69" s="102">
        <f>PIERNA!I69</f>
        <v>0</v>
      </c>
      <c r="J69" s="260"/>
      <c r="K69" s="354"/>
      <c r="L69" s="558"/>
      <c r="M69" s="629"/>
      <c r="N69" s="562"/>
      <c r="O69" s="783"/>
      <c r="P69" s="464"/>
      <c r="Q69" s="355"/>
      <c r="R69" s="630"/>
      <c r="S69" s="726">
        <f t="shared" si="14"/>
        <v>0</v>
      </c>
      <c r="T69" s="72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91">
        <f>PIERNA!F65</f>
        <v>0</v>
      </c>
      <c r="G70" s="156">
        <f>PIERNA!G65</f>
        <v>0</v>
      </c>
      <c r="H70" s="706">
        <f>PIERNA!H65</f>
        <v>0</v>
      </c>
      <c r="I70" s="102">
        <f>PIERNA!I70</f>
        <v>0</v>
      </c>
      <c r="J70" s="399"/>
      <c r="K70" s="354"/>
      <c r="L70" s="558"/>
      <c r="M70" s="629"/>
      <c r="N70" s="562"/>
      <c r="O70" s="783"/>
      <c r="P70" s="464"/>
      <c r="Q70" s="355"/>
      <c r="R70" s="630"/>
      <c r="S70" s="726">
        <f t="shared" si="14"/>
        <v>0</v>
      </c>
      <c r="T70" s="72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91">
        <f>PIERNA!F66</f>
        <v>0</v>
      </c>
      <c r="G71" s="156">
        <f>PIERNA!G66</f>
        <v>0</v>
      </c>
      <c r="H71" s="706">
        <f>PIERNA!H66</f>
        <v>0</v>
      </c>
      <c r="I71" s="102">
        <f>PIERNA!I71</f>
        <v>0</v>
      </c>
      <c r="J71" s="399"/>
      <c r="K71" s="354"/>
      <c r="L71" s="558"/>
      <c r="M71" s="629"/>
      <c r="N71" s="562"/>
      <c r="O71" s="783"/>
      <c r="P71" s="464"/>
      <c r="Q71" s="355"/>
      <c r="R71" s="630"/>
      <c r="S71" s="726">
        <f t="shared" si="14"/>
        <v>0</v>
      </c>
      <c r="T71" s="72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91">
        <f>PIERNA!F67</f>
        <v>0</v>
      </c>
      <c r="G72" s="156">
        <f>PIERNA!G67</f>
        <v>0</v>
      </c>
      <c r="H72" s="706">
        <f>PIERNA!H67</f>
        <v>0</v>
      </c>
      <c r="I72" s="102">
        <f>PIERNA!I72</f>
        <v>0</v>
      </c>
      <c r="J72" s="399"/>
      <c r="K72" s="354"/>
      <c r="L72" s="558"/>
      <c r="M72" s="629"/>
      <c r="N72" s="562"/>
      <c r="O72" s="783"/>
      <c r="P72" s="464"/>
      <c r="Q72" s="355"/>
      <c r="R72" s="630"/>
      <c r="S72" s="726">
        <f t="shared" ref="S72:S179" si="15">Q72+M72+K72</f>
        <v>0</v>
      </c>
      <c r="T72" s="72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91">
        <f>PIERNA!F68</f>
        <v>0</v>
      </c>
      <c r="G73" s="156">
        <f>PIERNA!G68</f>
        <v>0</v>
      </c>
      <c r="H73" s="706">
        <f>PIERNA!H68</f>
        <v>0</v>
      </c>
      <c r="I73" s="102">
        <f>PIERNA!I73</f>
        <v>0</v>
      </c>
      <c r="J73" s="399"/>
      <c r="K73" s="354"/>
      <c r="L73" s="558"/>
      <c r="M73" s="629"/>
      <c r="N73" s="562"/>
      <c r="O73" s="783"/>
      <c r="P73" s="464"/>
      <c r="Q73" s="355"/>
      <c r="R73" s="630"/>
      <c r="S73" s="726">
        <f t="shared" si="15"/>
        <v>0</v>
      </c>
      <c r="T73" s="72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91">
        <f>PIERNA!F69</f>
        <v>0</v>
      </c>
      <c r="G74" s="156">
        <f>PIERNA!G69</f>
        <v>0</v>
      </c>
      <c r="H74" s="706">
        <f>PIERNA!H69</f>
        <v>0</v>
      </c>
      <c r="I74" s="102">
        <f>PIERNA!I74</f>
        <v>0</v>
      </c>
      <c r="J74" s="399"/>
      <c r="K74" s="354"/>
      <c r="L74" s="558"/>
      <c r="M74" s="629"/>
      <c r="N74" s="562"/>
      <c r="O74" s="783"/>
      <c r="P74" s="464"/>
      <c r="Q74" s="355"/>
      <c r="R74" s="630"/>
      <c r="S74" s="726">
        <f t="shared" si="15"/>
        <v>0</v>
      </c>
      <c r="T74" s="72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91">
        <f>PIERNA!F70</f>
        <v>0</v>
      </c>
      <c r="G75" s="156">
        <f>PIERNA!G70</f>
        <v>0</v>
      </c>
      <c r="H75" s="706">
        <f>PIERNA!H70</f>
        <v>0</v>
      </c>
      <c r="I75" s="102">
        <f>PIERNA!I75</f>
        <v>0</v>
      </c>
      <c r="J75" s="399"/>
      <c r="K75" s="354"/>
      <c r="L75" s="558"/>
      <c r="M75" s="629"/>
      <c r="N75" s="562"/>
      <c r="O75" s="783"/>
      <c r="P75" s="464"/>
      <c r="Q75" s="355"/>
      <c r="R75" s="630"/>
      <c r="S75" s="726">
        <f t="shared" si="15"/>
        <v>0</v>
      </c>
      <c r="T75" s="72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91">
        <f>PIERNA!F71</f>
        <v>0</v>
      </c>
      <c r="G76" s="156">
        <f>PIERNA!G71</f>
        <v>0</v>
      </c>
      <c r="H76" s="706">
        <f>PIERNA!H71</f>
        <v>0</v>
      </c>
      <c r="I76" s="102">
        <f>PIERNA!I76</f>
        <v>0</v>
      </c>
      <c r="J76" s="399"/>
      <c r="K76" s="354"/>
      <c r="L76" s="558"/>
      <c r="M76" s="629"/>
      <c r="N76" s="562"/>
      <c r="O76" s="783"/>
      <c r="P76" s="464"/>
      <c r="Q76" s="355"/>
      <c r="R76" s="630"/>
      <c r="S76" s="726">
        <f t="shared" si="15"/>
        <v>0</v>
      </c>
      <c r="T76" s="72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91">
        <f>PIERNA!F72</f>
        <v>0</v>
      </c>
      <c r="G77" s="156">
        <f>PIERNA!G72</f>
        <v>0</v>
      </c>
      <c r="H77" s="706">
        <f>PIERNA!H72</f>
        <v>0</v>
      </c>
      <c r="I77" s="102">
        <f>PIERNA!I77</f>
        <v>0</v>
      </c>
      <c r="J77" s="399"/>
      <c r="K77" s="354"/>
      <c r="L77" s="558"/>
      <c r="M77" s="629"/>
      <c r="N77" s="562"/>
      <c r="O77" s="783"/>
      <c r="P77" s="464"/>
      <c r="Q77" s="355"/>
      <c r="R77" s="630"/>
      <c r="S77" s="726">
        <f t="shared" si="15"/>
        <v>0</v>
      </c>
      <c r="T77" s="72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91">
        <f>PIERNA!F73</f>
        <v>0</v>
      </c>
      <c r="G78" s="156">
        <f>PIERNA!G73</f>
        <v>0</v>
      </c>
      <c r="H78" s="706">
        <f>PIERNA!H73</f>
        <v>0</v>
      </c>
      <c r="I78" s="102">
        <f>PIERNA!I78</f>
        <v>0</v>
      </c>
      <c r="J78" s="399"/>
      <c r="K78" s="354"/>
      <c r="L78" s="558"/>
      <c r="M78" s="629"/>
      <c r="N78" s="562"/>
      <c r="O78" s="783"/>
      <c r="P78" s="464"/>
      <c r="Q78" s="355"/>
      <c r="R78" s="630"/>
      <c r="S78" s="726">
        <f t="shared" si="15"/>
        <v>0</v>
      </c>
      <c r="T78" s="72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91">
        <f>PIERNA!F74</f>
        <v>0</v>
      </c>
      <c r="G79" s="156">
        <f>PIERNA!G74</f>
        <v>0</v>
      </c>
      <c r="H79" s="706">
        <f>PIERNA!H74</f>
        <v>0</v>
      </c>
      <c r="I79" s="102">
        <f>PIERNA!I79</f>
        <v>0</v>
      </c>
      <c r="J79" s="399"/>
      <c r="K79" s="354"/>
      <c r="L79" s="558"/>
      <c r="M79" s="629"/>
      <c r="N79" s="562"/>
      <c r="O79" s="783"/>
      <c r="P79" s="464"/>
      <c r="Q79" s="355"/>
      <c r="R79" s="630"/>
      <c r="S79" s="726">
        <f t="shared" si="15"/>
        <v>0</v>
      </c>
      <c r="T79" s="72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91">
        <f>PIERNA!F75</f>
        <v>0</v>
      </c>
      <c r="G80" s="156">
        <f>PIERNA!G75</f>
        <v>0</v>
      </c>
      <c r="H80" s="706">
        <f>PIERNA!H75</f>
        <v>0</v>
      </c>
      <c r="I80" s="102">
        <f>PIERNA!I80</f>
        <v>0</v>
      </c>
      <c r="J80" s="399"/>
      <c r="K80" s="354"/>
      <c r="L80" s="558"/>
      <c r="M80" s="629"/>
      <c r="N80" s="562"/>
      <c r="O80" s="783"/>
      <c r="P80" s="464"/>
      <c r="Q80" s="355"/>
      <c r="R80" s="630"/>
      <c r="S80" s="726">
        <f t="shared" si="15"/>
        <v>0</v>
      </c>
      <c r="T80" s="72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91">
        <f>PIERNA!F76</f>
        <v>0</v>
      </c>
      <c r="G81" s="156">
        <f>PIERNA!G76</f>
        <v>0</v>
      </c>
      <c r="H81" s="706">
        <f>PIERNA!H76</f>
        <v>0</v>
      </c>
      <c r="I81" s="102">
        <f>PIERNA!I81</f>
        <v>0</v>
      </c>
      <c r="J81" s="399"/>
      <c r="K81" s="354"/>
      <c r="L81" s="558"/>
      <c r="M81" s="629"/>
      <c r="N81" s="562"/>
      <c r="O81" s="783"/>
      <c r="P81" s="464"/>
      <c r="Q81" s="355"/>
      <c r="R81" s="630"/>
      <c r="S81" s="726">
        <f t="shared" si="15"/>
        <v>0</v>
      </c>
      <c r="T81" s="72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91">
        <f>PIERNA!F77</f>
        <v>0</v>
      </c>
      <c r="G82" s="156">
        <f>PIERNA!G77</f>
        <v>0</v>
      </c>
      <c r="H82" s="706">
        <f>PIERNA!H77</f>
        <v>0</v>
      </c>
      <c r="I82" s="102">
        <f>PIERNA!I82</f>
        <v>0</v>
      </c>
      <c r="J82" s="399"/>
      <c r="K82" s="354"/>
      <c r="L82" s="558"/>
      <c r="M82" s="629"/>
      <c r="N82" s="562"/>
      <c r="O82" s="783"/>
      <c r="P82" s="464"/>
      <c r="Q82" s="355"/>
      <c r="R82" s="630"/>
      <c r="S82" s="726">
        <f t="shared" si="15"/>
        <v>0</v>
      </c>
      <c r="T82" s="72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91">
        <f>PIERNA!F78</f>
        <v>0</v>
      </c>
      <c r="G83" s="156">
        <f>PIERNA!G78</f>
        <v>0</v>
      </c>
      <c r="H83" s="706">
        <f>PIERNA!H78</f>
        <v>0</v>
      </c>
      <c r="I83" s="102">
        <f>PIERNA!I83</f>
        <v>0</v>
      </c>
      <c r="J83" s="399"/>
      <c r="K83" s="354"/>
      <c r="L83" s="558"/>
      <c r="M83" s="629"/>
      <c r="N83" s="562"/>
      <c r="O83" s="783"/>
      <c r="P83" s="464"/>
      <c r="Q83" s="355"/>
      <c r="R83" s="630"/>
      <c r="S83" s="726">
        <f t="shared" si="15"/>
        <v>0</v>
      </c>
      <c r="T83" s="72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91">
        <f>PIERNA!F79</f>
        <v>0</v>
      </c>
      <c r="G84" s="156">
        <f>PIERNA!G79</f>
        <v>0</v>
      </c>
      <c r="H84" s="706">
        <f>PIERNA!H79</f>
        <v>0</v>
      </c>
      <c r="I84" s="102">
        <f>PIERNA!I84</f>
        <v>0</v>
      </c>
      <c r="J84" s="399"/>
      <c r="K84" s="354"/>
      <c r="L84" s="558"/>
      <c r="M84" s="629"/>
      <c r="N84" s="562"/>
      <c r="O84" s="783"/>
      <c r="P84" s="464"/>
      <c r="Q84" s="355"/>
      <c r="R84" s="630"/>
      <c r="S84" s="726">
        <f t="shared" si="15"/>
        <v>0</v>
      </c>
      <c r="T84" s="72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91">
        <f>PIERNA!F80</f>
        <v>0</v>
      </c>
      <c r="G85" s="156">
        <f>PIERNA!G80</f>
        <v>0</v>
      </c>
      <c r="H85" s="706">
        <f>PIERNA!H80</f>
        <v>0</v>
      </c>
      <c r="I85" s="102">
        <f>PIERNA!I85</f>
        <v>0</v>
      </c>
      <c r="J85" s="399"/>
      <c r="K85" s="354"/>
      <c r="L85" s="558"/>
      <c r="M85" s="629"/>
      <c r="N85" s="562"/>
      <c r="O85" s="783"/>
      <c r="P85" s="464"/>
      <c r="Q85" s="355"/>
      <c r="R85" s="630"/>
      <c r="S85" s="726">
        <f t="shared" si="15"/>
        <v>0</v>
      </c>
      <c r="T85" s="72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91">
        <f>PIERNA!F81</f>
        <v>0</v>
      </c>
      <c r="G86" s="156">
        <f>PIERNA!G81</f>
        <v>0</v>
      </c>
      <c r="H86" s="706">
        <f>PIERNA!H81</f>
        <v>0</v>
      </c>
      <c r="I86" s="102">
        <f>PIERNA!I86</f>
        <v>0</v>
      </c>
      <c r="J86" s="399"/>
      <c r="K86" s="354"/>
      <c r="L86" s="558"/>
      <c r="M86" s="629"/>
      <c r="N86" s="562"/>
      <c r="O86" s="783"/>
      <c r="P86" s="464"/>
      <c r="Q86" s="355"/>
      <c r="R86" s="630"/>
      <c r="S86" s="726">
        <f t="shared" si="15"/>
        <v>0</v>
      </c>
      <c r="T86" s="72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91">
        <f>PIERNA!F82</f>
        <v>0</v>
      </c>
      <c r="G87" s="156">
        <f>PIERNA!G82</f>
        <v>0</v>
      </c>
      <c r="H87" s="706">
        <f>PIERNA!H82</f>
        <v>0</v>
      </c>
      <c r="I87" s="102">
        <f>PIERNA!I87</f>
        <v>0</v>
      </c>
      <c r="J87" s="399"/>
      <c r="K87" s="354"/>
      <c r="L87" s="558"/>
      <c r="M87" s="629"/>
      <c r="N87" s="562"/>
      <c r="O87" s="783"/>
      <c r="P87" s="464"/>
      <c r="Q87" s="355"/>
      <c r="R87" s="630"/>
      <c r="S87" s="726">
        <f t="shared" si="15"/>
        <v>0</v>
      </c>
      <c r="T87" s="72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91">
        <f>PIERNA!F83</f>
        <v>0</v>
      </c>
      <c r="G88" s="156">
        <f>PIERNA!G83</f>
        <v>0</v>
      </c>
      <c r="H88" s="706">
        <f>PIERNA!H83</f>
        <v>0</v>
      </c>
      <c r="I88" s="102">
        <f>PIERNA!I88</f>
        <v>0</v>
      </c>
      <c r="J88" s="399"/>
      <c r="K88" s="354"/>
      <c r="L88" s="558"/>
      <c r="M88" s="629"/>
      <c r="N88" s="562"/>
      <c r="O88" s="783"/>
      <c r="P88" s="464"/>
      <c r="Q88" s="355"/>
      <c r="R88" s="630"/>
      <c r="S88" s="726">
        <f t="shared" si="15"/>
        <v>0</v>
      </c>
      <c r="T88" s="72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91">
        <f>PIERNA!F84</f>
        <v>0</v>
      </c>
      <c r="G89" s="156">
        <f>PIERNA!G84</f>
        <v>0</v>
      </c>
      <c r="H89" s="706">
        <f>PIERNA!H84</f>
        <v>0</v>
      </c>
      <c r="I89" s="102">
        <f>PIERNA!I89</f>
        <v>0</v>
      </c>
      <c r="J89" s="399"/>
      <c r="K89" s="354"/>
      <c r="L89" s="558"/>
      <c r="M89" s="629"/>
      <c r="N89" s="562"/>
      <c r="O89" s="783"/>
      <c r="P89" s="464"/>
      <c r="Q89" s="355"/>
      <c r="R89" s="630"/>
      <c r="S89" s="726">
        <f t="shared" si="15"/>
        <v>0</v>
      </c>
      <c r="T89" s="72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91">
        <f>PIERNA!F85</f>
        <v>0</v>
      </c>
      <c r="G90" s="156">
        <f>PIERNA!G85</f>
        <v>0</v>
      </c>
      <c r="H90" s="706">
        <f>PIERNA!H85</f>
        <v>0</v>
      </c>
      <c r="I90" s="102">
        <f>PIERNA!I90</f>
        <v>0</v>
      </c>
      <c r="J90" s="399"/>
      <c r="K90" s="354"/>
      <c r="L90" s="558"/>
      <c r="M90" s="629"/>
      <c r="N90" s="562"/>
      <c r="O90" s="783"/>
      <c r="P90" s="464"/>
      <c r="Q90" s="355"/>
      <c r="R90" s="630"/>
      <c r="S90" s="726">
        <f t="shared" si="15"/>
        <v>0</v>
      </c>
      <c r="T90" s="72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91">
        <f>PIERNA!F86</f>
        <v>0</v>
      </c>
      <c r="G91" s="156">
        <f>PIERNA!G86</f>
        <v>0</v>
      </c>
      <c r="H91" s="706">
        <f>PIERNA!H86</f>
        <v>0</v>
      </c>
      <c r="I91" s="102">
        <f>PIERNA!I91</f>
        <v>0</v>
      </c>
      <c r="J91" s="399"/>
      <c r="K91" s="354"/>
      <c r="L91" s="558"/>
      <c r="M91" s="629"/>
      <c r="N91" s="562"/>
      <c r="O91" s="783"/>
      <c r="P91" s="464"/>
      <c r="Q91" s="355"/>
      <c r="R91" s="630"/>
      <c r="S91" s="726">
        <f t="shared" si="15"/>
        <v>0</v>
      </c>
      <c r="T91" s="72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91">
        <f>PIERNA!F87</f>
        <v>0</v>
      </c>
      <c r="G92" s="156">
        <f>PIERNA!G87</f>
        <v>0</v>
      </c>
      <c r="H92" s="706">
        <f>PIERNA!H87</f>
        <v>0</v>
      </c>
      <c r="I92" s="102">
        <f>PIERNA!I92</f>
        <v>0</v>
      </c>
      <c r="J92" s="399"/>
      <c r="K92" s="354"/>
      <c r="L92" s="558"/>
      <c r="M92" s="629"/>
      <c r="N92" s="562"/>
      <c r="O92" s="783"/>
      <c r="P92" s="464"/>
      <c r="Q92" s="355"/>
      <c r="R92" s="630"/>
      <c r="S92" s="726">
        <f t="shared" si="15"/>
        <v>0</v>
      </c>
      <c r="T92" s="72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91">
        <f>PIERNA!F88</f>
        <v>0</v>
      </c>
      <c r="G93" s="156">
        <f>PIERNA!G88</f>
        <v>0</v>
      </c>
      <c r="H93" s="706">
        <f>PIERNA!H88</f>
        <v>0</v>
      </c>
      <c r="I93" s="102">
        <f>PIERNA!I93</f>
        <v>0</v>
      </c>
      <c r="J93" s="399"/>
      <c r="K93" s="354"/>
      <c r="L93" s="558"/>
      <c r="M93" s="629"/>
      <c r="N93" s="562"/>
      <c r="O93" s="783"/>
      <c r="P93" s="464"/>
      <c r="Q93" s="355"/>
      <c r="R93" s="630"/>
      <c r="S93" s="726">
        <f t="shared" si="15"/>
        <v>0</v>
      </c>
      <c r="T93" s="72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91"/>
      <c r="G94" s="156"/>
      <c r="H94" s="706"/>
      <c r="I94" s="102">
        <f>PIERNA!I94</f>
        <v>0</v>
      </c>
      <c r="J94" s="260"/>
      <c r="K94" s="647"/>
      <c r="L94" s="558"/>
      <c r="M94" s="629"/>
      <c r="N94" s="562"/>
      <c r="O94" s="783"/>
      <c r="P94" s="464"/>
      <c r="Q94" s="355"/>
      <c r="R94" s="630"/>
      <c r="S94" s="726">
        <f t="shared" si="15"/>
        <v>0</v>
      </c>
      <c r="T94" s="72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91"/>
      <c r="G95" s="156"/>
      <c r="H95" s="706"/>
      <c r="I95" s="102">
        <f>PIERNA!I95</f>
        <v>0</v>
      </c>
      <c r="J95" s="399"/>
      <c r="K95" s="354"/>
      <c r="L95" s="558"/>
      <c r="M95" s="354"/>
      <c r="N95" s="562"/>
      <c r="O95" s="783"/>
      <c r="P95" s="464"/>
      <c r="Q95" s="355"/>
      <c r="R95" s="630"/>
      <c r="S95" s="726">
        <f t="shared" si="15"/>
        <v>0</v>
      </c>
      <c r="T95" s="72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91"/>
      <c r="G96" s="156"/>
      <c r="H96" s="706"/>
      <c r="I96" s="102"/>
      <c r="J96" s="399"/>
      <c r="K96" s="354"/>
      <c r="L96" s="558"/>
      <c r="M96" s="354"/>
      <c r="N96" s="562"/>
      <c r="O96" s="783"/>
      <c r="P96" s="464"/>
      <c r="Q96" s="355"/>
      <c r="R96" s="630"/>
      <c r="S96" s="726">
        <f t="shared" si="15"/>
        <v>0</v>
      </c>
      <c r="T96" s="727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91"/>
      <c r="G97" s="156"/>
      <c r="H97" s="706"/>
      <c r="I97" s="102"/>
      <c r="J97" s="399"/>
      <c r="K97" s="354"/>
      <c r="L97" s="558"/>
      <c r="M97" s="354"/>
      <c r="N97" s="562"/>
      <c r="O97" s="785"/>
      <c r="P97" s="463"/>
      <c r="Q97" s="463"/>
      <c r="R97" s="557"/>
      <c r="S97" s="726">
        <f t="shared" si="15"/>
        <v>0</v>
      </c>
      <c r="T97" s="727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91"/>
      <c r="G98" s="156"/>
      <c r="H98" s="706"/>
      <c r="I98" s="102"/>
      <c r="J98" s="812"/>
      <c r="K98" s="813"/>
      <c r="L98" s="814"/>
      <c r="M98" s="813"/>
      <c r="N98" s="815"/>
      <c r="O98" s="786"/>
      <c r="P98" s="816"/>
      <c r="Q98" s="816"/>
      <c r="R98" s="770"/>
      <c r="S98" s="726"/>
      <c r="T98" s="727"/>
    </row>
    <row r="99" spans="1:24" s="148" customFormat="1" ht="38.25" customHeight="1" x14ac:dyDescent="0.3">
      <c r="A99" s="767">
        <v>61</v>
      </c>
      <c r="B99" s="346" t="s">
        <v>319</v>
      </c>
      <c r="C99" s="351" t="s">
        <v>336</v>
      </c>
      <c r="D99" s="806"/>
      <c r="E99" s="681">
        <v>45173</v>
      </c>
      <c r="F99" s="693">
        <v>352.2</v>
      </c>
      <c r="G99" s="356">
        <v>49</v>
      </c>
      <c r="H99" s="708">
        <v>352.2</v>
      </c>
      <c r="I99" s="642">
        <f t="shared" ref="I99:I115" si="18">H99-F99</f>
        <v>0</v>
      </c>
      <c r="J99" s="807"/>
      <c r="K99" s="354"/>
      <c r="L99" s="808"/>
      <c r="M99" s="354"/>
      <c r="N99" s="810"/>
      <c r="O99" s="1005">
        <v>43564</v>
      </c>
      <c r="P99" s="1086" t="s">
        <v>359</v>
      </c>
      <c r="Q99" s="809">
        <v>11974.8</v>
      </c>
      <c r="R99" s="820" t="s">
        <v>358</v>
      </c>
      <c r="S99" s="726">
        <f t="shared" ref="S99:S100" si="19">Q99+M99+K99</f>
        <v>11974.8</v>
      </c>
      <c r="T99" s="727">
        <f t="shared" ref="T99:T100" si="20">S99/H99</f>
        <v>34</v>
      </c>
    </row>
    <row r="100" spans="1:24" s="148" customFormat="1" ht="40.5" customHeight="1" x14ac:dyDescent="0.3">
      <c r="A100" s="767">
        <v>62</v>
      </c>
      <c r="B100" s="838" t="s">
        <v>337</v>
      </c>
      <c r="C100" s="838" t="s">
        <v>338</v>
      </c>
      <c r="D100" s="839"/>
      <c r="E100" s="1000">
        <v>45173</v>
      </c>
      <c r="F100" s="698">
        <v>930.12</v>
      </c>
      <c r="G100" s="613">
        <v>78</v>
      </c>
      <c r="H100" s="698">
        <v>930.12</v>
      </c>
      <c r="I100" s="603">
        <f t="shared" si="18"/>
        <v>0</v>
      </c>
      <c r="J100" s="838"/>
      <c r="K100" s="354"/>
      <c r="L100" s="811"/>
      <c r="M100" s="354"/>
      <c r="N100" s="646"/>
      <c r="O100" s="903" t="s">
        <v>339</v>
      </c>
      <c r="P100" s="654"/>
      <c r="Q100" s="1008">
        <v>79060.2</v>
      </c>
      <c r="R100" s="1009" t="s">
        <v>358</v>
      </c>
      <c r="S100" s="726">
        <f t="shared" si="19"/>
        <v>79060.2</v>
      </c>
      <c r="T100" s="727">
        <f t="shared" si="20"/>
        <v>85</v>
      </c>
      <c r="X100" s="729">
        <f>SUM(X59:X99)</f>
        <v>0</v>
      </c>
    </row>
    <row r="101" spans="1:24" s="148" customFormat="1" ht="31.5" customHeight="1" thickBot="1" x14ac:dyDescent="0.35">
      <c r="A101" s="767">
        <v>63</v>
      </c>
      <c r="B101" s="1065" t="s">
        <v>340</v>
      </c>
      <c r="C101" s="351" t="s">
        <v>341</v>
      </c>
      <c r="D101" s="806"/>
      <c r="E101" s="1068">
        <v>45175</v>
      </c>
      <c r="F101" s="693">
        <v>6502.2</v>
      </c>
      <c r="G101" s="356">
        <v>310</v>
      </c>
      <c r="H101" s="708">
        <v>6502.2</v>
      </c>
      <c r="I101" s="642">
        <f t="shared" si="18"/>
        <v>0</v>
      </c>
      <c r="J101" s="807"/>
      <c r="K101" s="354"/>
      <c r="L101" s="808"/>
      <c r="M101" s="354"/>
      <c r="N101" s="810"/>
      <c r="O101" s="1087">
        <v>7714</v>
      </c>
      <c r="P101" s="1086" t="s">
        <v>359</v>
      </c>
      <c r="Q101" s="809">
        <v>195066</v>
      </c>
      <c r="R101" s="1120" t="s">
        <v>358</v>
      </c>
      <c r="S101" s="726">
        <f t="shared" ref="S101" si="21">Q101+M101+K101</f>
        <v>195066</v>
      </c>
      <c r="T101" s="727">
        <f t="shared" ref="T101" si="22">S101/H101</f>
        <v>30</v>
      </c>
    </row>
    <row r="102" spans="1:24" s="148" customFormat="1" ht="31.5" customHeight="1" x14ac:dyDescent="0.3">
      <c r="A102" s="767">
        <v>64</v>
      </c>
      <c r="B102" s="1525" t="s">
        <v>342</v>
      </c>
      <c r="C102" s="1064" t="s">
        <v>343</v>
      </c>
      <c r="D102" s="1066"/>
      <c r="E102" s="1453">
        <v>45175</v>
      </c>
      <c r="F102" s="1067">
        <v>492.78</v>
      </c>
      <c r="G102" s="356">
        <v>20</v>
      </c>
      <c r="H102" s="708">
        <v>492.78</v>
      </c>
      <c r="I102" s="642">
        <f t="shared" si="18"/>
        <v>0</v>
      </c>
      <c r="J102" s="807"/>
      <c r="K102" s="354"/>
      <c r="L102" s="808"/>
      <c r="M102" s="354"/>
      <c r="N102" s="1072"/>
      <c r="O102" s="1507">
        <v>20780</v>
      </c>
      <c r="P102" s="1075"/>
      <c r="Q102" s="1119">
        <v>30059.58</v>
      </c>
      <c r="R102" s="1419" t="s">
        <v>406</v>
      </c>
      <c r="S102" s="726">
        <f t="shared" ref="S102:S103" si="23">Q102+M102+K102</f>
        <v>30059.58</v>
      </c>
      <c r="T102" s="727">
        <f t="shared" ref="T102:T103" si="24">S102/H102</f>
        <v>61.000000000000007</v>
      </c>
    </row>
    <row r="103" spans="1:24" s="148" customFormat="1" ht="31.5" customHeight="1" x14ac:dyDescent="0.3">
      <c r="A103" s="767">
        <v>65</v>
      </c>
      <c r="B103" s="1526"/>
      <c r="C103" s="1064" t="s">
        <v>344</v>
      </c>
      <c r="D103" s="1066"/>
      <c r="E103" s="1454"/>
      <c r="F103" s="1067">
        <v>321.57</v>
      </c>
      <c r="G103" s="356">
        <v>13</v>
      </c>
      <c r="H103" s="708">
        <v>321.57</v>
      </c>
      <c r="I103" s="642">
        <f t="shared" si="18"/>
        <v>0</v>
      </c>
      <c r="J103" s="807"/>
      <c r="K103" s="354"/>
      <c r="L103" s="808"/>
      <c r="M103" s="354"/>
      <c r="N103" s="1072"/>
      <c r="O103" s="1508"/>
      <c r="P103" s="1075"/>
      <c r="Q103" s="1119">
        <v>18007.919999999998</v>
      </c>
      <c r="R103" s="1420"/>
      <c r="S103" s="726">
        <f t="shared" si="23"/>
        <v>18007.919999999998</v>
      </c>
      <c r="T103" s="727">
        <f t="shared" si="24"/>
        <v>55.999999999999993</v>
      </c>
    </row>
    <row r="104" spans="1:24" s="148" customFormat="1" ht="40.5" customHeight="1" thickBot="1" x14ac:dyDescent="0.35">
      <c r="A104" s="767">
        <v>66</v>
      </c>
      <c r="B104" s="1527"/>
      <c r="C104" s="1064" t="s">
        <v>66</v>
      </c>
      <c r="D104" s="1066"/>
      <c r="E104" s="1455"/>
      <c r="F104" s="1067">
        <v>990.3</v>
      </c>
      <c r="G104" s="356">
        <v>35</v>
      </c>
      <c r="H104" s="708">
        <v>990.3</v>
      </c>
      <c r="I104" s="642">
        <f t="shared" si="18"/>
        <v>0</v>
      </c>
      <c r="J104" s="807"/>
      <c r="K104" s="354"/>
      <c r="L104" s="808"/>
      <c r="M104" s="354"/>
      <c r="N104" s="1072"/>
      <c r="O104" s="1509"/>
      <c r="P104" s="1075"/>
      <c r="Q104" s="1119">
        <v>34660.5</v>
      </c>
      <c r="R104" s="1421"/>
      <c r="S104" s="726">
        <f t="shared" ref="S104:S105" si="25">Q104+M104+K104</f>
        <v>34660.5</v>
      </c>
      <c r="T104" s="727">
        <f t="shared" ref="T104" si="26">S104/H104</f>
        <v>35</v>
      </c>
    </row>
    <row r="105" spans="1:24" s="148" customFormat="1" ht="28.5" customHeight="1" x14ac:dyDescent="0.3">
      <c r="A105" s="767">
        <v>67</v>
      </c>
      <c r="B105" s="1510" t="s">
        <v>349</v>
      </c>
      <c r="C105" s="1069" t="s">
        <v>345</v>
      </c>
      <c r="D105" s="1070"/>
      <c r="E105" s="1513">
        <v>45175</v>
      </c>
      <c r="F105" s="1067">
        <v>4130</v>
      </c>
      <c r="G105" s="356"/>
      <c r="H105" s="708">
        <v>4165.8999999999996</v>
      </c>
      <c r="I105" s="642">
        <f t="shared" si="18"/>
        <v>35.899999999999636</v>
      </c>
      <c r="J105" s="649"/>
      <c r="K105" s="354"/>
      <c r="L105" s="808"/>
      <c r="M105" s="354"/>
      <c r="N105" s="1072"/>
      <c r="O105" s="1502" t="s">
        <v>347</v>
      </c>
      <c r="P105" s="1477">
        <v>2784</v>
      </c>
      <c r="Q105" s="1119">
        <f>200000+224921.83</f>
        <v>424921.82999999996</v>
      </c>
      <c r="R105" s="1416" t="s">
        <v>361</v>
      </c>
      <c r="S105" s="726">
        <f t="shared" si="25"/>
        <v>424921.82999999996</v>
      </c>
      <c r="T105" s="727">
        <f>S105/H105</f>
        <v>102.00000720132505</v>
      </c>
    </row>
    <row r="106" spans="1:24" s="148" customFormat="1" ht="28.5" customHeight="1" x14ac:dyDescent="0.3">
      <c r="A106" s="767"/>
      <c r="B106" s="1511"/>
      <c r="C106" s="1151" t="s">
        <v>70</v>
      </c>
      <c r="D106" s="1070"/>
      <c r="E106" s="1514"/>
      <c r="F106" s="1067">
        <v>207.5</v>
      </c>
      <c r="G106" s="356"/>
      <c r="H106" s="708">
        <v>207.5</v>
      </c>
      <c r="I106" s="642">
        <f t="shared" si="18"/>
        <v>0</v>
      </c>
      <c r="J106" s="649"/>
      <c r="K106" s="354"/>
      <c r="L106" s="808"/>
      <c r="M106" s="354"/>
      <c r="N106" s="1072"/>
      <c r="O106" s="1503"/>
      <c r="P106" s="1478"/>
      <c r="Q106" s="1150">
        <v>30087.5</v>
      </c>
      <c r="R106" s="1417"/>
      <c r="S106" s="726">
        <f t="shared" ref="S106:S107" si="27">Q106+M106+K106</f>
        <v>30087.5</v>
      </c>
      <c r="T106" s="727">
        <f t="shared" ref="T106:T107" si="28">S106/H106</f>
        <v>145</v>
      </c>
    </row>
    <row r="107" spans="1:24" s="148" customFormat="1" ht="28.5" customHeight="1" x14ac:dyDescent="0.3">
      <c r="A107" s="767"/>
      <c r="B107" s="1511"/>
      <c r="C107" s="1069" t="s">
        <v>402</v>
      </c>
      <c r="D107" s="1070"/>
      <c r="E107" s="1514"/>
      <c r="F107" s="1067">
        <v>99.998999999999995</v>
      </c>
      <c r="G107" s="356"/>
      <c r="H107" s="708">
        <v>99.998999999999995</v>
      </c>
      <c r="I107" s="642">
        <f t="shared" si="18"/>
        <v>0</v>
      </c>
      <c r="J107" s="649"/>
      <c r="K107" s="354"/>
      <c r="L107" s="808"/>
      <c r="M107" s="354"/>
      <c r="N107" s="1072"/>
      <c r="O107" s="1503"/>
      <c r="P107" s="1478"/>
      <c r="Q107" s="1119">
        <v>1999.98</v>
      </c>
      <c r="R107" s="1417"/>
      <c r="S107" s="726">
        <f t="shared" si="27"/>
        <v>1999.98</v>
      </c>
      <c r="T107" s="727">
        <f t="shared" si="28"/>
        <v>20</v>
      </c>
    </row>
    <row r="108" spans="1:24" s="148" customFormat="1" ht="41.25" customHeight="1" thickBot="1" x14ac:dyDescent="0.35">
      <c r="A108" s="767">
        <v>68</v>
      </c>
      <c r="B108" s="1512"/>
      <c r="C108" s="1064" t="s">
        <v>346</v>
      </c>
      <c r="D108" s="1071"/>
      <c r="E108" s="1515"/>
      <c r="F108" s="1067">
        <v>24.93</v>
      </c>
      <c r="G108" s="356">
        <v>85</v>
      </c>
      <c r="H108" s="708">
        <v>24.93</v>
      </c>
      <c r="I108" s="642">
        <f t="shared" si="18"/>
        <v>0</v>
      </c>
      <c r="J108" s="649"/>
      <c r="K108" s="354"/>
      <c r="L108" s="808"/>
      <c r="M108" s="354"/>
      <c r="N108" s="1072"/>
      <c r="O108" s="1504"/>
      <c r="P108" s="1479"/>
      <c r="Q108" s="1119">
        <v>1620.45</v>
      </c>
      <c r="R108" s="1418"/>
      <c r="S108" s="726">
        <f t="shared" ref="S108" si="29">Q108+M108+K108</f>
        <v>1620.45</v>
      </c>
      <c r="T108" s="727">
        <f t="shared" ref="T108" si="30">S108/H108</f>
        <v>65</v>
      </c>
    </row>
    <row r="109" spans="1:24" s="148" customFormat="1" ht="41.25" customHeight="1" thickBot="1" x14ac:dyDescent="0.35">
      <c r="A109" s="767"/>
      <c r="B109" s="997" t="s">
        <v>340</v>
      </c>
      <c r="C109" s="1127" t="s">
        <v>341</v>
      </c>
      <c r="D109" s="1128"/>
      <c r="E109" s="1100">
        <v>45175</v>
      </c>
      <c r="F109" s="1129">
        <v>6504.49</v>
      </c>
      <c r="G109" s="1130">
        <v>310</v>
      </c>
      <c r="H109" s="1131">
        <v>6504.49</v>
      </c>
      <c r="I109" s="102">
        <f t="shared" si="18"/>
        <v>0</v>
      </c>
      <c r="J109" s="649"/>
      <c r="K109" s="354"/>
      <c r="L109" s="808"/>
      <c r="M109" s="354"/>
      <c r="N109" s="1072"/>
      <c r="O109" s="1101"/>
      <c r="P109" s="1073"/>
      <c r="Q109" s="809"/>
      <c r="R109" s="1121"/>
      <c r="S109" s="726"/>
      <c r="T109" s="727"/>
    </row>
    <row r="110" spans="1:24" s="148" customFormat="1" ht="44.25" customHeight="1" thickBot="1" x14ac:dyDescent="0.35">
      <c r="A110" s="767">
        <v>69</v>
      </c>
      <c r="B110" s="1137" t="s">
        <v>337</v>
      </c>
      <c r="C110" s="1138" t="s">
        <v>61</v>
      </c>
      <c r="D110" s="1139"/>
      <c r="E110" s="1140">
        <v>45176</v>
      </c>
      <c r="F110" s="1141">
        <v>595.66999999999996</v>
      </c>
      <c r="G110" s="1142">
        <v>50</v>
      </c>
      <c r="H110" s="1143">
        <v>595.66999999999996</v>
      </c>
      <c r="I110" s="1144">
        <f t="shared" si="18"/>
        <v>0</v>
      </c>
      <c r="J110" s="1126"/>
      <c r="K110" s="354"/>
      <c r="L110" s="808"/>
      <c r="M110" s="354"/>
      <c r="N110" s="810"/>
      <c r="O110" s="1074" t="s">
        <v>350</v>
      </c>
      <c r="P110" s="902"/>
      <c r="Q110" s="809">
        <v>50631.95</v>
      </c>
      <c r="R110" s="820" t="s">
        <v>414</v>
      </c>
      <c r="S110" s="726">
        <f t="shared" ref="S110:S115" si="31">Q110+M110+K110</f>
        <v>50631.95</v>
      </c>
      <c r="T110" s="727">
        <f t="shared" ref="T110:T117" si="32">S110/H110</f>
        <v>85</v>
      </c>
    </row>
    <row r="111" spans="1:24" s="148" customFormat="1" ht="44.25" customHeight="1" x14ac:dyDescent="0.3">
      <c r="A111" s="767">
        <v>70</v>
      </c>
      <c r="B111" s="1132" t="s">
        <v>95</v>
      </c>
      <c r="C111" s="1211" t="s">
        <v>97</v>
      </c>
      <c r="D111" s="1212"/>
      <c r="E111" s="1133">
        <v>45177</v>
      </c>
      <c r="F111" s="1134">
        <v>1732.13</v>
      </c>
      <c r="G111" s="1135">
        <v>70</v>
      </c>
      <c r="H111" s="1136">
        <v>1732.13</v>
      </c>
      <c r="I111" s="642">
        <f t="shared" si="18"/>
        <v>0</v>
      </c>
      <c r="J111" s="649"/>
      <c r="K111" s="354"/>
      <c r="L111" s="808"/>
      <c r="M111" s="354"/>
      <c r="N111" s="810"/>
      <c r="O111" s="786" t="s">
        <v>351</v>
      </c>
      <c r="P111" s="902"/>
      <c r="Q111" s="809">
        <v>128177.62</v>
      </c>
      <c r="R111" s="820" t="s">
        <v>403</v>
      </c>
      <c r="S111" s="726">
        <f t="shared" si="31"/>
        <v>128177.62</v>
      </c>
      <c r="T111" s="727">
        <f t="shared" si="32"/>
        <v>73.999999999999986</v>
      </c>
    </row>
    <row r="112" spans="1:24" s="148" customFormat="1" ht="44.25" customHeight="1" x14ac:dyDescent="0.3">
      <c r="A112" s="767"/>
      <c r="B112" s="750" t="s">
        <v>342</v>
      </c>
      <c r="C112" s="1215" t="s">
        <v>385</v>
      </c>
      <c r="D112" s="646"/>
      <c r="E112" s="681">
        <v>45180</v>
      </c>
      <c r="F112" s="1067">
        <v>14666.78</v>
      </c>
      <c r="G112" s="356">
        <v>515</v>
      </c>
      <c r="H112" s="708">
        <v>14666.78</v>
      </c>
      <c r="I112" s="642">
        <f t="shared" si="18"/>
        <v>0</v>
      </c>
      <c r="J112" s="649"/>
      <c r="K112" s="354"/>
      <c r="L112" s="808"/>
      <c r="M112" s="354"/>
      <c r="N112" s="1072"/>
      <c r="O112" s="1005">
        <v>20804</v>
      </c>
      <c r="P112" s="1082"/>
      <c r="Q112" s="809">
        <v>865340.2</v>
      </c>
      <c r="R112" s="820" t="s">
        <v>493</v>
      </c>
      <c r="S112" s="726">
        <f t="shared" si="31"/>
        <v>865340.2</v>
      </c>
      <c r="T112" s="727">
        <f t="shared" si="32"/>
        <v>59.000012272632432</v>
      </c>
    </row>
    <row r="113" spans="1:20" s="148" customFormat="1" ht="44.25" customHeight="1" thickBot="1" x14ac:dyDescent="0.35">
      <c r="A113" s="767"/>
      <c r="B113" s="750" t="s">
        <v>386</v>
      </c>
      <c r="C113" s="1215" t="s">
        <v>387</v>
      </c>
      <c r="D113" s="646"/>
      <c r="E113" s="681">
        <v>45180</v>
      </c>
      <c r="F113" s="1067">
        <v>2728.35</v>
      </c>
      <c r="G113" s="356">
        <v>3</v>
      </c>
      <c r="H113" s="708">
        <v>2728.35</v>
      </c>
      <c r="I113" s="642">
        <f t="shared" si="18"/>
        <v>0</v>
      </c>
      <c r="J113" s="649"/>
      <c r="K113" s="813"/>
      <c r="L113" s="1203"/>
      <c r="M113" s="354"/>
      <c r="N113" s="1072"/>
      <c r="O113" s="1102" t="s">
        <v>388</v>
      </c>
      <c r="P113" s="1082"/>
      <c r="Q113" s="809">
        <v>68208.75</v>
      </c>
      <c r="R113" s="1120" t="s">
        <v>486</v>
      </c>
      <c r="S113" s="726"/>
      <c r="T113" s="727"/>
    </row>
    <row r="114" spans="1:20" s="148" customFormat="1" ht="44.25" customHeight="1" x14ac:dyDescent="0.3">
      <c r="A114" s="767">
        <v>71</v>
      </c>
      <c r="B114" s="1498" t="s">
        <v>349</v>
      </c>
      <c r="C114" s="1213" t="s">
        <v>345</v>
      </c>
      <c r="D114" s="1214"/>
      <c r="E114" s="1500">
        <v>45182</v>
      </c>
      <c r="F114" s="1067">
        <v>4138.6000000000004</v>
      </c>
      <c r="G114" s="356"/>
      <c r="H114" s="708">
        <v>4138.6000000000004</v>
      </c>
      <c r="I114" s="642">
        <f t="shared" si="18"/>
        <v>0</v>
      </c>
      <c r="J114" s="1522" t="s">
        <v>484</v>
      </c>
      <c r="K114" s="1516">
        <v>4176</v>
      </c>
      <c r="L114" s="1519" t="s">
        <v>485</v>
      </c>
      <c r="M114" s="875"/>
      <c r="N114" s="1072"/>
      <c r="O114" s="1502" t="s">
        <v>353</v>
      </c>
      <c r="P114" s="1474">
        <v>3248</v>
      </c>
      <c r="Q114" s="1119">
        <f>200000+222137.23</f>
        <v>422137.23</v>
      </c>
      <c r="R114" s="1416" t="s">
        <v>405</v>
      </c>
      <c r="S114" s="726">
        <f t="shared" si="31"/>
        <v>426313.23</v>
      </c>
      <c r="T114" s="727">
        <f t="shared" si="32"/>
        <v>103.00904412120039</v>
      </c>
    </row>
    <row r="115" spans="1:20" s="148" customFormat="1" ht="44.25" customHeight="1" x14ac:dyDescent="0.3">
      <c r="A115" s="767">
        <v>72</v>
      </c>
      <c r="B115" s="1498"/>
      <c r="C115" s="1201" t="s">
        <v>70</v>
      </c>
      <c r="D115" s="1076"/>
      <c r="E115" s="1500"/>
      <c r="F115" s="1067">
        <v>213.25</v>
      </c>
      <c r="G115" s="356"/>
      <c r="H115" s="708">
        <v>213.25</v>
      </c>
      <c r="I115" s="642">
        <f t="shared" si="18"/>
        <v>0</v>
      </c>
      <c r="J115" s="1523"/>
      <c r="K115" s="1517"/>
      <c r="L115" s="1520"/>
      <c r="M115" s="875"/>
      <c r="N115" s="1072"/>
      <c r="O115" s="1503"/>
      <c r="P115" s="1475"/>
      <c r="Q115" s="1119">
        <v>30921.25</v>
      </c>
      <c r="R115" s="1417"/>
      <c r="S115" s="726">
        <f t="shared" si="31"/>
        <v>30921.25</v>
      </c>
      <c r="T115" s="727">
        <f t="shared" si="32"/>
        <v>145</v>
      </c>
    </row>
    <row r="116" spans="1:20" s="148" customFormat="1" ht="44.25" customHeight="1" x14ac:dyDescent="0.3">
      <c r="A116" s="767">
        <v>73</v>
      </c>
      <c r="B116" s="1498"/>
      <c r="C116" s="1160" t="s">
        <v>352</v>
      </c>
      <c r="D116" s="1077"/>
      <c r="E116" s="1500"/>
      <c r="F116" s="1078">
        <v>25.15</v>
      </c>
      <c r="G116" s="682"/>
      <c r="H116" s="709">
        <v>25.15</v>
      </c>
      <c r="I116" s="642">
        <f t="shared" ref="I116:I124" si="33">H116-F116</f>
        <v>0</v>
      </c>
      <c r="J116" s="1523"/>
      <c r="K116" s="1517"/>
      <c r="L116" s="1520"/>
      <c r="M116" s="875"/>
      <c r="N116" s="1072"/>
      <c r="O116" s="1503"/>
      <c r="P116" s="1475"/>
      <c r="Q116" s="1119">
        <v>1634.75</v>
      </c>
      <c r="R116" s="1417"/>
      <c r="S116" s="726">
        <f>Q116+M116+K116</f>
        <v>1634.75</v>
      </c>
      <c r="T116" s="727">
        <f t="shared" si="32"/>
        <v>65</v>
      </c>
    </row>
    <row r="117" spans="1:20" s="148" customFormat="1" ht="40.5" customHeight="1" thickBot="1" x14ac:dyDescent="0.35">
      <c r="A117" s="767">
        <v>74</v>
      </c>
      <c r="B117" s="1499"/>
      <c r="C117" s="1201" t="s">
        <v>346</v>
      </c>
      <c r="D117" s="1081"/>
      <c r="E117" s="1501"/>
      <c r="F117" s="1067">
        <v>100.199</v>
      </c>
      <c r="G117" s="356"/>
      <c r="H117" s="708">
        <v>100.19</v>
      </c>
      <c r="I117" s="746">
        <f t="shared" si="33"/>
        <v>-9.0000000000003411E-3</v>
      </c>
      <c r="J117" s="1524"/>
      <c r="K117" s="1518"/>
      <c r="L117" s="1521"/>
      <c r="M117" s="875"/>
      <c r="N117" s="1072"/>
      <c r="O117" s="1504"/>
      <c r="P117" s="1476"/>
      <c r="Q117" s="1119">
        <v>2003.98</v>
      </c>
      <c r="R117" s="1418"/>
      <c r="S117" s="726">
        <f>Q117+M117+K117</f>
        <v>2003.98</v>
      </c>
      <c r="T117" s="727">
        <f t="shared" si="32"/>
        <v>20.001796586485678</v>
      </c>
    </row>
    <row r="118" spans="1:20" s="148" customFormat="1" ht="33" customHeight="1" x14ac:dyDescent="0.3">
      <c r="A118" s="767">
        <v>75</v>
      </c>
      <c r="B118" s="1080" t="s">
        <v>340</v>
      </c>
      <c r="C118" s="843" t="s">
        <v>341</v>
      </c>
      <c r="D118" s="843"/>
      <c r="E118" s="1079">
        <v>45182</v>
      </c>
      <c r="F118" s="693">
        <v>4090.4</v>
      </c>
      <c r="G118" s="356">
        <v>189</v>
      </c>
      <c r="H118" s="708">
        <v>4090.4</v>
      </c>
      <c r="I118" s="746">
        <f t="shared" si="33"/>
        <v>0</v>
      </c>
      <c r="J118" s="399"/>
      <c r="K118" s="1202"/>
      <c r="L118" s="1204"/>
      <c r="M118" s="354"/>
      <c r="N118" s="810"/>
      <c r="O118" s="1088">
        <v>7749</v>
      </c>
      <c r="P118" s="1089" t="s">
        <v>359</v>
      </c>
      <c r="Q118" s="809">
        <v>118621.6</v>
      </c>
      <c r="R118" s="1122" t="s">
        <v>360</v>
      </c>
      <c r="S118" s="726">
        <f t="shared" ref="S118:S175" si="34">Q118+M118+K118</f>
        <v>118621.6</v>
      </c>
      <c r="T118" s="727">
        <f t="shared" ref="T118:T175" si="35">S118/H118</f>
        <v>29</v>
      </c>
    </row>
    <row r="119" spans="1:20" s="148" customFormat="1" ht="45.75" customHeight="1" thickBot="1" x14ac:dyDescent="0.35">
      <c r="A119" s="767"/>
      <c r="B119" s="1105" t="s">
        <v>386</v>
      </c>
      <c r="C119" s="1093" t="s">
        <v>387</v>
      </c>
      <c r="D119" s="1090"/>
      <c r="E119" s="1091">
        <v>45182</v>
      </c>
      <c r="F119" s="1094">
        <v>3706.29</v>
      </c>
      <c r="G119" s="1095">
        <v>4</v>
      </c>
      <c r="H119" s="1096">
        <v>3706.29</v>
      </c>
      <c r="I119" s="944">
        <f t="shared" si="33"/>
        <v>0</v>
      </c>
      <c r="J119" s="399"/>
      <c r="K119" s="354"/>
      <c r="L119" s="808"/>
      <c r="M119" s="354"/>
      <c r="N119" s="810"/>
      <c r="O119" s="1092" t="s">
        <v>389</v>
      </c>
      <c r="P119" s="1082"/>
      <c r="Q119" s="1382">
        <v>92657.25</v>
      </c>
      <c r="R119" s="1383" t="s">
        <v>796</v>
      </c>
      <c r="S119" s="726">
        <f t="shared" si="34"/>
        <v>92657.25</v>
      </c>
      <c r="T119" s="441">
        <f t="shared" si="35"/>
        <v>25</v>
      </c>
    </row>
    <row r="120" spans="1:20" s="148" customFormat="1" ht="41.25" customHeight="1" x14ac:dyDescent="0.3">
      <c r="A120" s="767">
        <v>77</v>
      </c>
      <c r="B120" s="1432" t="s">
        <v>79</v>
      </c>
      <c r="C120" s="1103" t="s">
        <v>390</v>
      </c>
      <c r="D120" s="1076"/>
      <c r="E120" s="1468">
        <v>45182</v>
      </c>
      <c r="F120" s="1067">
        <v>3050.19</v>
      </c>
      <c r="G120" s="356">
        <v>105</v>
      </c>
      <c r="H120" s="708">
        <v>3050.19</v>
      </c>
      <c r="I120" s="746">
        <f t="shared" si="33"/>
        <v>0</v>
      </c>
      <c r="J120" s="399"/>
      <c r="K120" s="354"/>
      <c r="L120" s="808"/>
      <c r="M120" s="354"/>
      <c r="N120" s="1072"/>
      <c r="O120" s="1472" t="s">
        <v>494</v>
      </c>
      <c r="P120" s="1162"/>
      <c r="Q120" s="1119">
        <v>369072.99</v>
      </c>
      <c r="R120" s="1428" t="s">
        <v>493</v>
      </c>
      <c r="S120" s="726">
        <f t="shared" si="34"/>
        <v>369072.99</v>
      </c>
      <c r="T120" s="727">
        <f t="shared" si="35"/>
        <v>121</v>
      </c>
    </row>
    <row r="121" spans="1:20" s="148" customFormat="1" ht="41.25" customHeight="1" thickBot="1" x14ac:dyDescent="0.35">
      <c r="A121" s="767">
        <v>78</v>
      </c>
      <c r="B121" s="1433"/>
      <c r="C121" s="1104" t="s">
        <v>391</v>
      </c>
      <c r="D121" s="1076"/>
      <c r="E121" s="1469"/>
      <c r="F121" s="1067">
        <v>18.75</v>
      </c>
      <c r="G121" s="356">
        <v>1</v>
      </c>
      <c r="H121" s="708">
        <v>18.75</v>
      </c>
      <c r="I121" s="746">
        <f t="shared" si="33"/>
        <v>0</v>
      </c>
      <c r="J121" s="899"/>
      <c r="K121" s="647"/>
      <c r="L121" s="487"/>
      <c r="M121" s="813"/>
      <c r="N121" s="1398"/>
      <c r="O121" s="1473"/>
      <c r="P121" s="1216"/>
      <c r="Q121" s="1119">
        <v>2062.5</v>
      </c>
      <c r="R121" s="1429"/>
      <c r="S121" s="726">
        <f>Q121+M121+K121</f>
        <v>2062.5</v>
      </c>
      <c r="T121" s="727">
        <f t="shared" ref="T121" si="36">S121/H121</f>
        <v>110</v>
      </c>
    </row>
    <row r="122" spans="1:20" s="148" customFormat="1" ht="41.25" customHeight="1" thickBot="1" x14ac:dyDescent="0.35">
      <c r="A122" s="767">
        <v>79</v>
      </c>
      <c r="B122" s="1440" t="s">
        <v>95</v>
      </c>
      <c r="C122" s="1104" t="s">
        <v>392</v>
      </c>
      <c r="D122" s="1076"/>
      <c r="E122" s="1442">
        <v>45183</v>
      </c>
      <c r="F122" s="1067">
        <v>1079.05</v>
      </c>
      <c r="G122" s="356">
        <v>37</v>
      </c>
      <c r="H122" s="708">
        <v>1079.05</v>
      </c>
      <c r="I122" s="746">
        <f t="shared" si="33"/>
        <v>0</v>
      </c>
      <c r="J122" s="899"/>
      <c r="K122" s="354"/>
      <c r="L122" s="1397"/>
      <c r="M122" s="1470" t="s">
        <v>803</v>
      </c>
      <c r="N122" s="1471"/>
      <c r="O122" s="1505" t="s">
        <v>394</v>
      </c>
      <c r="Q122" s="1147">
        <v>80716.2</v>
      </c>
      <c r="R122" s="1217"/>
      <c r="S122" s="1148" t="e">
        <f t="shared" ref="S122:S123" si="37">Q122+M122+K122</f>
        <v>#VALUE!</v>
      </c>
      <c r="T122" s="1149" t="e">
        <f t="shared" ref="T122:T123" si="38">S122/H122</f>
        <v>#VALUE!</v>
      </c>
    </row>
    <row r="123" spans="1:20" s="148" customFormat="1" ht="41.25" customHeight="1" thickBot="1" x14ac:dyDescent="0.35">
      <c r="A123" s="767">
        <v>80</v>
      </c>
      <c r="B123" s="1441"/>
      <c r="C123" s="1103" t="s">
        <v>393</v>
      </c>
      <c r="D123" s="1076"/>
      <c r="E123" s="1443"/>
      <c r="F123" s="1067">
        <v>606.36</v>
      </c>
      <c r="G123" s="356">
        <v>20</v>
      </c>
      <c r="H123" s="708">
        <v>606.36</v>
      </c>
      <c r="I123" s="746">
        <f t="shared" si="33"/>
        <v>0</v>
      </c>
      <c r="J123" s="840"/>
      <c r="K123" s="354"/>
      <c r="L123" s="487"/>
      <c r="M123" s="1202"/>
      <c r="N123" s="1399"/>
      <c r="O123" s="1506"/>
      <c r="Q123" s="1083">
        <v>139462.79999999999</v>
      </c>
      <c r="R123" s="1120"/>
      <c r="S123" s="726">
        <f t="shared" si="37"/>
        <v>139462.79999999999</v>
      </c>
      <c r="T123" s="727">
        <f t="shared" si="38"/>
        <v>229.99999999999997</v>
      </c>
    </row>
    <row r="124" spans="1:20" s="148" customFormat="1" ht="41.25" customHeight="1" x14ac:dyDescent="0.3">
      <c r="A124" s="767">
        <v>81</v>
      </c>
      <c r="B124" s="1447" t="s">
        <v>337</v>
      </c>
      <c r="C124" s="1103" t="s">
        <v>395</v>
      </c>
      <c r="D124" s="1076"/>
      <c r="E124" s="1480" t="s">
        <v>396</v>
      </c>
      <c r="F124" s="1067">
        <v>501.53</v>
      </c>
      <c r="G124" s="356">
        <v>42</v>
      </c>
      <c r="H124" s="708">
        <v>501.53</v>
      </c>
      <c r="I124" s="746">
        <f t="shared" si="33"/>
        <v>0</v>
      </c>
      <c r="J124" s="399"/>
      <c r="K124" s="354"/>
      <c r="L124" s="808"/>
      <c r="M124" s="354"/>
      <c r="N124" s="810"/>
      <c r="O124" s="1107"/>
      <c r="P124" s="1496" t="s">
        <v>396</v>
      </c>
      <c r="Q124" s="1200">
        <v>42630.05</v>
      </c>
      <c r="R124" s="1416" t="s">
        <v>480</v>
      </c>
      <c r="S124" s="726">
        <f t="shared" si="34"/>
        <v>42630.05</v>
      </c>
      <c r="T124" s="727">
        <f t="shared" si="35"/>
        <v>85.000000000000014</v>
      </c>
    </row>
    <row r="125" spans="1:20" s="148" customFormat="1" ht="53.25" customHeight="1" thickBot="1" x14ac:dyDescent="0.35">
      <c r="A125" s="767">
        <v>82</v>
      </c>
      <c r="B125" s="1448"/>
      <c r="C125" s="1108" t="s">
        <v>338</v>
      </c>
      <c r="D125" s="1109"/>
      <c r="E125" s="1481"/>
      <c r="F125" s="1067">
        <v>496.51</v>
      </c>
      <c r="G125" s="356">
        <v>42</v>
      </c>
      <c r="H125" s="708">
        <v>496.51</v>
      </c>
      <c r="I125" s="746">
        <f t="shared" ref="I125:I131" si="39">H125-F125</f>
        <v>0</v>
      </c>
      <c r="J125" s="399"/>
      <c r="K125" s="354"/>
      <c r="L125" s="808"/>
      <c r="M125" s="354"/>
      <c r="N125" s="810"/>
      <c r="O125" s="1111"/>
      <c r="P125" s="1497"/>
      <c r="Q125" s="1200">
        <v>42203.35</v>
      </c>
      <c r="R125" s="1418"/>
      <c r="S125" s="726">
        <f t="shared" si="34"/>
        <v>42203.35</v>
      </c>
      <c r="T125" s="727">
        <f t="shared" si="35"/>
        <v>85</v>
      </c>
    </row>
    <row r="126" spans="1:20" s="148" customFormat="1" ht="39.75" customHeight="1" thickTop="1" x14ac:dyDescent="0.3">
      <c r="A126" s="767">
        <v>83</v>
      </c>
      <c r="B126" s="1375" t="s">
        <v>397</v>
      </c>
      <c r="C126" s="904" t="s">
        <v>390</v>
      </c>
      <c r="D126" s="905"/>
      <c r="E126" s="1110">
        <v>45183</v>
      </c>
      <c r="F126" s="693">
        <v>1083.8800000000001</v>
      </c>
      <c r="G126" s="356">
        <v>40</v>
      </c>
      <c r="H126" s="708">
        <v>1083.8800000000001</v>
      </c>
      <c r="I126" s="746">
        <f t="shared" si="39"/>
        <v>0</v>
      </c>
      <c r="J126" s="399"/>
      <c r="K126" s="354"/>
      <c r="L126" s="808"/>
      <c r="M126" s="354"/>
      <c r="N126" s="1378" t="s">
        <v>359</v>
      </c>
      <c r="O126" s="901">
        <v>9780</v>
      </c>
      <c r="P126" s="1112"/>
      <c r="Q126" s="1376">
        <v>131149.48000000001</v>
      </c>
      <c r="R126" s="1377" t="s">
        <v>793</v>
      </c>
      <c r="S126" s="726">
        <f t="shared" ref="S126:S132" si="40">Q126+M126+K126</f>
        <v>131149.48000000001</v>
      </c>
      <c r="T126" s="727">
        <f t="shared" ref="T126:T132" si="41">S126/H126</f>
        <v>121</v>
      </c>
    </row>
    <row r="127" spans="1:20" s="148" customFormat="1" ht="39" customHeight="1" thickBot="1" x14ac:dyDescent="0.35">
      <c r="A127" s="767">
        <v>84</v>
      </c>
      <c r="B127" s="1114" t="s">
        <v>342</v>
      </c>
      <c r="C127" s="1001" t="s">
        <v>385</v>
      </c>
      <c r="D127" s="646"/>
      <c r="E127" s="1115">
        <v>45184</v>
      </c>
      <c r="F127" s="693">
        <v>4400.3599999999997</v>
      </c>
      <c r="G127" s="356">
        <v>151</v>
      </c>
      <c r="H127" s="708">
        <v>4400.3599999999997</v>
      </c>
      <c r="I127" s="746">
        <f t="shared" si="39"/>
        <v>0</v>
      </c>
      <c r="J127" s="497"/>
      <c r="K127" s="354"/>
      <c r="L127" s="808"/>
      <c r="M127" s="354"/>
      <c r="N127" s="810"/>
      <c r="O127" s="903">
        <v>20818</v>
      </c>
      <c r="P127" s="810"/>
      <c r="Q127" s="1382">
        <v>259621.24</v>
      </c>
      <c r="R127" s="1384" t="s">
        <v>799</v>
      </c>
      <c r="S127" s="726">
        <f t="shared" si="40"/>
        <v>259621.24</v>
      </c>
      <c r="T127" s="727">
        <f t="shared" si="41"/>
        <v>59</v>
      </c>
    </row>
    <row r="128" spans="1:20" s="148" customFormat="1" ht="31.5" customHeight="1" x14ac:dyDescent="0.3">
      <c r="A128" s="767">
        <v>85</v>
      </c>
      <c r="B128" s="1449" t="s">
        <v>376</v>
      </c>
      <c r="C128" s="1113" t="s">
        <v>398</v>
      </c>
      <c r="D128" s="1076"/>
      <c r="E128" s="1451">
        <v>45184</v>
      </c>
      <c r="F128" s="1067">
        <v>143.38999999999999</v>
      </c>
      <c r="G128" s="356">
        <v>7</v>
      </c>
      <c r="H128" s="708">
        <v>143.38999999999999</v>
      </c>
      <c r="I128" s="746">
        <f t="shared" si="39"/>
        <v>0</v>
      </c>
      <c r="J128" s="497"/>
      <c r="K128" s="354"/>
      <c r="L128" s="808"/>
      <c r="M128" s="354"/>
      <c r="N128" s="810"/>
      <c r="O128" s="1003"/>
      <c r="P128" s="810"/>
      <c r="Q128" s="1382"/>
      <c r="R128" s="1384"/>
      <c r="S128" s="726">
        <f t="shared" si="40"/>
        <v>0</v>
      </c>
      <c r="T128" s="727">
        <f t="shared" si="41"/>
        <v>0</v>
      </c>
    </row>
    <row r="129" spans="1:20" s="148" customFormat="1" ht="31.5" customHeight="1" thickBot="1" x14ac:dyDescent="0.35">
      <c r="A129" s="767">
        <v>86</v>
      </c>
      <c r="B129" s="1450"/>
      <c r="C129" s="1113" t="s">
        <v>399</v>
      </c>
      <c r="D129" s="1076"/>
      <c r="E129" s="1452"/>
      <c r="F129" s="1067">
        <v>485.57</v>
      </c>
      <c r="G129" s="356">
        <v>14</v>
      </c>
      <c r="H129" s="708">
        <v>485.7</v>
      </c>
      <c r="I129" s="746">
        <f t="shared" si="39"/>
        <v>0.12999999999999545</v>
      </c>
      <c r="J129" s="1209"/>
      <c r="K129" s="813"/>
      <c r="L129" s="1203"/>
      <c r="M129" s="813"/>
      <c r="N129" s="1146"/>
      <c r="O129" s="1118"/>
      <c r="P129" s="810"/>
      <c r="Q129" s="1382"/>
      <c r="R129" s="1381"/>
      <c r="S129" s="726">
        <f t="shared" si="40"/>
        <v>0</v>
      </c>
      <c r="T129" s="727">
        <f t="shared" si="41"/>
        <v>0</v>
      </c>
    </row>
    <row r="130" spans="1:20" s="148" customFormat="1" ht="43.5" customHeight="1" x14ac:dyDescent="0.3">
      <c r="A130" s="767">
        <v>87</v>
      </c>
      <c r="B130" s="1432" t="s">
        <v>349</v>
      </c>
      <c r="C130" s="1113" t="s">
        <v>345</v>
      </c>
      <c r="D130" s="1076"/>
      <c r="E130" s="1445">
        <v>45189</v>
      </c>
      <c r="F130" s="1067">
        <v>4165.7</v>
      </c>
      <c r="G130" s="356"/>
      <c r="H130" s="708">
        <v>4165.7</v>
      </c>
      <c r="I130" s="746">
        <f t="shared" si="39"/>
        <v>0</v>
      </c>
      <c r="J130" s="1482" t="s">
        <v>484</v>
      </c>
      <c r="K130" s="1462">
        <v>4176</v>
      </c>
      <c r="L130" s="1465" t="s">
        <v>485</v>
      </c>
      <c r="M130" s="1569">
        <v>9280</v>
      </c>
      <c r="N130" s="1487" t="s">
        <v>416</v>
      </c>
      <c r="O130" s="1485" t="s">
        <v>401</v>
      </c>
      <c r="P130" s="1075"/>
      <c r="Q130" s="1119">
        <f>200000+224901.43</f>
        <v>424901.43</v>
      </c>
      <c r="R130" s="1413" t="s">
        <v>420</v>
      </c>
      <c r="S130" s="726">
        <f>Q130</f>
        <v>424901.43</v>
      </c>
      <c r="T130" s="727">
        <f t="shared" si="41"/>
        <v>102.0000072016708</v>
      </c>
    </row>
    <row r="131" spans="1:20" s="148" customFormat="1" ht="39" customHeight="1" x14ac:dyDescent="0.3">
      <c r="A131" s="767">
        <v>88</v>
      </c>
      <c r="B131" s="1444"/>
      <c r="C131" s="1116" t="s">
        <v>400</v>
      </c>
      <c r="D131" s="1076"/>
      <c r="E131" s="1446"/>
      <c r="F131" s="1067">
        <v>25.87</v>
      </c>
      <c r="G131" s="356"/>
      <c r="H131" s="708">
        <v>25.87</v>
      </c>
      <c r="I131" s="746">
        <f t="shared" si="39"/>
        <v>0</v>
      </c>
      <c r="J131" s="1483"/>
      <c r="K131" s="1463"/>
      <c r="L131" s="1466"/>
      <c r="M131" s="1570"/>
      <c r="N131" s="1488"/>
      <c r="O131" s="1486"/>
      <c r="P131" s="1117"/>
      <c r="Q131" s="1119">
        <v>1681.55</v>
      </c>
      <c r="R131" s="1414"/>
      <c r="S131" s="726">
        <f t="shared" si="40"/>
        <v>1681.55</v>
      </c>
      <c r="T131" s="727">
        <f t="shared" si="41"/>
        <v>65</v>
      </c>
    </row>
    <row r="132" spans="1:20" s="148" customFormat="1" ht="45.75" customHeight="1" thickBot="1" x14ac:dyDescent="0.3">
      <c r="A132" s="767">
        <v>89</v>
      </c>
      <c r="B132" s="1444"/>
      <c r="C132" s="1116" t="s">
        <v>70</v>
      </c>
      <c r="D132" s="1076"/>
      <c r="E132" s="1446"/>
      <c r="F132" s="1067">
        <v>436.3</v>
      </c>
      <c r="G132" s="356"/>
      <c r="H132" s="708">
        <v>436.3</v>
      </c>
      <c r="I132" s="420">
        <f t="shared" ref="I132:I144" si="42">H132-F132</f>
        <v>0</v>
      </c>
      <c r="J132" s="1484"/>
      <c r="K132" s="1464"/>
      <c r="L132" s="1467"/>
      <c r="M132" s="1571"/>
      <c r="N132" s="1489"/>
      <c r="O132" s="1486"/>
      <c r="P132" s="1117"/>
      <c r="Q132" s="1188">
        <v>63263.5</v>
      </c>
      <c r="R132" s="1414"/>
      <c r="S132" s="726">
        <f t="shared" si="40"/>
        <v>63263.5</v>
      </c>
      <c r="T132" s="727">
        <f t="shared" si="41"/>
        <v>145</v>
      </c>
    </row>
    <row r="133" spans="1:20" s="148" customFormat="1" ht="33.75" customHeight="1" thickTop="1" x14ac:dyDescent="0.25">
      <c r="A133" s="767"/>
      <c r="B133" s="1434" t="s">
        <v>462</v>
      </c>
      <c r="C133" s="1187" t="s">
        <v>469</v>
      </c>
      <c r="D133" s="1076"/>
      <c r="E133" s="1437">
        <v>45191</v>
      </c>
      <c r="F133" s="1067">
        <v>740.16</v>
      </c>
      <c r="G133" s="356">
        <v>28</v>
      </c>
      <c r="H133" s="708">
        <v>740.16</v>
      </c>
      <c r="I133" s="420">
        <f t="shared" si="42"/>
        <v>0</v>
      </c>
      <c r="J133" s="1210"/>
      <c r="K133" s="1202"/>
      <c r="L133" s="1205"/>
      <c r="M133" s="733"/>
      <c r="N133" s="1186"/>
      <c r="O133" s="1456" t="s">
        <v>475</v>
      </c>
      <c r="P133" s="1117"/>
      <c r="Q133" s="1190">
        <v>73645.919999999998</v>
      </c>
      <c r="R133" s="1459" t="s">
        <v>476</v>
      </c>
      <c r="S133" s="726">
        <f t="shared" ref="S133:S140" si="43">Q133+M133+K133</f>
        <v>73645.919999999998</v>
      </c>
      <c r="T133" s="727">
        <f t="shared" ref="T133:T140" si="44">S133/H133</f>
        <v>99.5</v>
      </c>
    </row>
    <row r="134" spans="1:20" s="148" customFormat="1" ht="33.75" customHeight="1" x14ac:dyDescent="0.25">
      <c r="A134" s="767"/>
      <c r="B134" s="1435"/>
      <c r="C134" s="1187" t="s">
        <v>470</v>
      </c>
      <c r="D134" s="1076"/>
      <c r="E134" s="1438"/>
      <c r="F134" s="1067">
        <v>1515.4</v>
      </c>
      <c r="G134" s="356">
        <v>78</v>
      </c>
      <c r="H134" s="708">
        <v>1515.4</v>
      </c>
      <c r="I134" s="420">
        <f t="shared" si="42"/>
        <v>0</v>
      </c>
      <c r="J134" s="399"/>
      <c r="K134" s="354"/>
      <c r="L134" s="1145"/>
      <c r="M134" s="733"/>
      <c r="N134" s="1186"/>
      <c r="O134" s="1457"/>
      <c r="P134" s="1117"/>
      <c r="Q134" s="1190">
        <v>106078</v>
      </c>
      <c r="R134" s="1460"/>
      <c r="S134" s="726">
        <f t="shared" si="43"/>
        <v>106078</v>
      </c>
      <c r="T134" s="727">
        <f t="shared" si="44"/>
        <v>70</v>
      </c>
    </row>
    <row r="135" spans="1:20" s="148" customFormat="1" ht="33.75" customHeight="1" x14ac:dyDescent="0.25">
      <c r="A135" s="767"/>
      <c r="B135" s="1435"/>
      <c r="C135" s="1187" t="s">
        <v>471</v>
      </c>
      <c r="D135" s="1076"/>
      <c r="E135" s="1438"/>
      <c r="F135" s="1067">
        <v>2501.48</v>
      </c>
      <c r="G135" s="356">
        <v>94</v>
      </c>
      <c r="H135" s="708">
        <v>2501.48</v>
      </c>
      <c r="I135" s="420">
        <f t="shared" si="42"/>
        <v>0</v>
      </c>
      <c r="J135" s="399"/>
      <c r="K135" s="354"/>
      <c r="L135" s="1145"/>
      <c r="M135" s="733"/>
      <c r="N135" s="1186"/>
      <c r="O135" s="1457"/>
      <c r="P135" s="1117"/>
      <c r="Q135" s="1190">
        <v>172602.12</v>
      </c>
      <c r="R135" s="1460"/>
      <c r="S135" s="726">
        <f t="shared" si="43"/>
        <v>172602.12</v>
      </c>
      <c r="T135" s="727">
        <f t="shared" si="44"/>
        <v>69</v>
      </c>
    </row>
    <row r="136" spans="1:20" s="148" customFormat="1" ht="33.75" customHeight="1" x14ac:dyDescent="0.25">
      <c r="A136" s="767"/>
      <c r="B136" s="1435"/>
      <c r="C136" s="1187" t="s">
        <v>472</v>
      </c>
      <c r="D136" s="1076"/>
      <c r="E136" s="1438"/>
      <c r="F136" s="1067">
        <v>204.48</v>
      </c>
      <c r="G136" s="356">
        <v>9</v>
      </c>
      <c r="H136" s="708">
        <v>204.48</v>
      </c>
      <c r="I136" s="420">
        <f t="shared" si="42"/>
        <v>0</v>
      </c>
      <c r="J136" s="399"/>
      <c r="K136" s="354"/>
      <c r="L136" s="1145"/>
      <c r="M136" s="733"/>
      <c r="N136" s="1186"/>
      <c r="O136" s="1457"/>
      <c r="P136" s="1117"/>
      <c r="Q136" s="1190">
        <v>47030.400000000001</v>
      </c>
      <c r="R136" s="1460"/>
      <c r="S136" s="726">
        <f t="shared" si="43"/>
        <v>47030.400000000001</v>
      </c>
      <c r="T136" s="727">
        <f t="shared" si="44"/>
        <v>230.00000000000003</v>
      </c>
    </row>
    <row r="137" spans="1:20" s="148" customFormat="1" ht="33.75" customHeight="1" x14ac:dyDescent="0.25">
      <c r="A137" s="767"/>
      <c r="B137" s="1435"/>
      <c r="C137" s="1187" t="s">
        <v>473</v>
      </c>
      <c r="D137" s="1076"/>
      <c r="E137" s="1438"/>
      <c r="F137" s="1067">
        <v>51.8</v>
      </c>
      <c r="G137" s="356">
        <v>6</v>
      </c>
      <c r="H137" s="708">
        <v>51.8</v>
      </c>
      <c r="I137" s="420">
        <f t="shared" si="42"/>
        <v>0</v>
      </c>
      <c r="J137" s="399"/>
      <c r="K137" s="354"/>
      <c r="L137" s="1145"/>
      <c r="M137" s="733"/>
      <c r="N137" s="1186"/>
      <c r="O137" s="1457"/>
      <c r="P137" s="1117"/>
      <c r="Q137" s="1190">
        <v>5180</v>
      </c>
      <c r="R137" s="1460"/>
      <c r="S137" s="726">
        <f t="shared" si="43"/>
        <v>5180</v>
      </c>
      <c r="T137" s="727">
        <f t="shared" si="44"/>
        <v>100</v>
      </c>
    </row>
    <row r="138" spans="1:20" s="148" customFormat="1" ht="33.75" customHeight="1" thickBot="1" x14ac:dyDescent="0.3">
      <c r="A138" s="767"/>
      <c r="B138" s="1435"/>
      <c r="C138" s="1187" t="s">
        <v>467</v>
      </c>
      <c r="D138" s="1076"/>
      <c r="E138" s="1438"/>
      <c r="F138" s="1067">
        <v>326.60000000000002</v>
      </c>
      <c r="G138" s="356">
        <v>1</v>
      </c>
      <c r="H138" s="708">
        <v>326.60000000000002</v>
      </c>
      <c r="I138" s="420">
        <f t="shared" si="42"/>
        <v>0</v>
      </c>
      <c r="J138" s="399"/>
      <c r="K138" s="354"/>
      <c r="L138" s="1145"/>
      <c r="M138" s="733"/>
      <c r="N138" s="1186"/>
      <c r="O138" s="1458"/>
      <c r="P138" s="1117"/>
      <c r="Q138" s="1190">
        <v>37559</v>
      </c>
      <c r="R138" s="1461"/>
      <c r="S138" s="726">
        <f t="shared" si="43"/>
        <v>37559</v>
      </c>
      <c r="T138" s="727">
        <f t="shared" si="44"/>
        <v>114.99999999999999</v>
      </c>
    </row>
    <row r="139" spans="1:20" s="148" customFormat="1" ht="33.75" customHeight="1" thickTop="1" thickBot="1" x14ac:dyDescent="0.3">
      <c r="A139" s="767"/>
      <c r="B139" s="1436"/>
      <c r="C139" s="1187" t="s">
        <v>474</v>
      </c>
      <c r="D139" s="1076"/>
      <c r="E139" s="1439"/>
      <c r="F139" s="1067">
        <v>47.8</v>
      </c>
      <c r="G139" s="356">
        <v>5</v>
      </c>
      <c r="H139" s="708">
        <v>47.8</v>
      </c>
      <c r="I139" s="420">
        <f t="shared" si="42"/>
        <v>0</v>
      </c>
      <c r="J139" s="399"/>
      <c r="K139" s="354"/>
      <c r="L139" s="1145"/>
      <c r="M139" s="733"/>
      <c r="N139" s="1186"/>
      <c r="O139" s="1189" t="s">
        <v>483</v>
      </c>
      <c r="P139" s="1117"/>
      <c r="Q139" s="948">
        <v>4500</v>
      </c>
      <c r="R139" s="1191" t="s">
        <v>481</v>
      </c>
      <c r="S139" s="726">
        <f t="shared" si="43"/>
        <v>4500</v>
      </c>
      <c r="T139" s="727">
        <f t="shared" si="44"/>
        <v>94.142259414225947</v>
      </c>
    </row>
    <row r="140" spans="1:20" s="148" customFormat="1" ht="43.5" customHeight="1" thickTop="1" thickBot="1" x14ac:dyDescent="0.3">
      <c r="A140" s="767"/>
      <c r="B140" s="1155" t="s">
        <v>79</v>
      </c>
      <c r="C140" s="826" t="s">
        <v>430</v>
      </c>
      <c r="D140" s="646"/>
      <c r="E140" s="1158">
        <v>45189</v>
      </c>
      <c r="F140" s="698">
        <v>1005</v>
      </c>
      <c r="G140" s="613">
        <v>67</v>
      </c>
      <c r="H140" s="698">
        <v>1005</v>
      </c>
      <c r="I140" s="420">
        <f t="shared" si="42"/>
        <v>0</v>
      </c>
      <c r="J140" s="613"/>
      <c r="K140" s="354"/>
      <c r="L140" s="1171"/>
      <c r="M140" s="354"/>
      <c r="N140" s="1176"/>
      <c r="O140" s="1379" t="s">
        <v>794</v>
      </c>
      <c r="P140" s="1004"/>
      <c r="Q140" s="1380">
        <v>53265</v>
      </c>
      <c r="R140" s="1381" t="s">
        <v>795</v>
      </c>
      <c r="S140" s="726">
        <f t="shared" si="43"/>
        <v>53265</v>
      </c>
      <c r="T140" s="727">
        <f t="shared" si="44"/>
        <v>53</v>
      </c>
    </row>
    <row r="141" spans="1:20" s="148" customFormat="1" ht="43.5" customHeight="1" thickTop="1" x14ac:dyDescent="0.25">
      <c r="A141" s="767"/>
      <c r="B141" s="1528" t="s">
        <v>450</v>
      </c>
      <c r="C141" s="1166" t="s">
        <v>451</v>
      </c>
      <c r="D141" s="1076"/>
      <c r="E141" s="1531">
        <v>45194</v>
      </c>
      <c r="F141" s="1167">
        <v>2002.14</v>
      </c>
      <c r="G141" s="613">
        <v>441</v>
      </c>
      <c r="H141" s="698">
        <v>2002.14</v>
      </c>
      <c r="I141" s="420">
        <f t="shared" si="42"/>
        <v>0</v>
      </c>
      <c r="J141" s="613"/>
      <c r="K141" s="354"/>
      <c r="L141" s="1171"/>
      <c r="M141" s="354"/>
      <c r="N141" s="1172"/>
      <c r="O141" s="1540" t="s">
        <v>479</v>
      </c>
      <c r="P141" s="1168"/>
      <c r="Q141" s="1197">
        <v>82087.740000000005</v>
      </c>
      <c r="R141" s="1422" t="s">
        <v>480</v>
      </c>
      <c r="S141" s="726">
        <f t="shared" ref="S141:S144" si="45">Q141+M141+K141</f>
        <v>82087.740000000005</v>
      </c>
      <c r="T141" s="727">
        <f t="shared" ref="T141:T144" si="46">S141/H141</f>
        <v>41</v>
      </c>
    </row>
    <row r="142" spans="1:20" s="148" customFormat="1" ht="43.5" customHeight="1" x14ac:dyDescent="0.25">
      <c r="A142" s="767"/>
      <c r="B142" s="1529"/>
      <c r="C142" s="1166" t="s">
        <v>452</v>
      </c>
      <c r="D142" s="1076"/>
      <c r="E142" s="1532"/>
      <c r="F142" s="1167">
        <v>150</v>
      </c>
      <c r="G142" s="613">
        <v>15</v>
      </c>
      <c r="H142" s="698">
        <v>150</v>
      </c>
      <c r="I142" s="420">
        <f t="shared" si="42"/>
        <v>0</v>
      </c>
      <c r="J142" s="613"/>
      <c r="K142" s="354"/>
      <c r="L142" s="1171"/>
      <c r="M142" s="354"/>
      <c r="N142" s="1172"/>
      <c r="O142" s="1541"/>
      <c r="P142" s="1168"/>
      <c r="Q142" s="1190">
        <v>12750</v>
      </c>
      <c r="R142" s="1423"/>
      <c r="S142" s="726">
        <f t="shared" si="45"/>
        <v>12750</v>
      </c>
      <c r="T142" s="727">
        <f t="shared" si="46"/>
        <v>85</v>
      </c>
    </row>
    <row r="143" spans="1:20" s="148" customFormat="1" ht="43.5" customHeight="1" thickBot="1" x14ac:dyDescent="0.3">
      <c r="A143" s="767"/>
      <c r="B143" s="1530"/>
      <c r="C143" s="1166" t="s">
        <v>453</v>
      </c>
      <c r="D143" s="1076"/>
      <c r="E143" s="1533"/>
      <c r="F143" s="1167">
        <v>50</v>
      </c>
      <c r="G143" s="613">
        <v>5</v>
      </c>
      <c r="H143" s="698">
        <v>50</v>
      </c>
      <c r="I143" s="420">
        <f t="shared" si="42"/>
        <v>0</v>
      </c>
      <c r="J143" s="613"/>
      <c r="K143" s="354"/>
      <c r="L143" s="1171"/>
      <c r="M143" s="354"/>
      <c r="N143" s="1172"/>
      <c r="O143" s="1542"/>
      <c r="P143" s="1168"/>
      <c r="Q143" s="1190">
        <v>3500</v>
      </c>
      <c r="R143" s="1424"/>
      <c r="S143" s="726">
        <f t="shared" si="45"/>
        <v>3500</v>
      </c>
      <c r="T143" s="727">
        <f t="shared" si="46"/>
        <v>70</v>
      </c>
    </row>
    <row r="144" spans="1:20" s="148" customFormat="1" ht="43.5" customHeight="1" thickBot="1" x14ac:dyDescent="0.3">
      <c r="A144" s="767"/>
      <c r="B144" s="1169" t="s">
        <v>342</v>
      </c>
      <c r="C144" s="1166" t="s">
        <v>66</v>
      </c>
      <c r="D144" s="1076"/>
      <c r="E144" s="1170">
        <v>45194</v>
      </c>
      <c r="F144" s="1167">
        <v>1720.73</v>
      </c>
      <c r="G144" s="613">
        <v>59</v>
      </c>
      <c r="H144" s="698">
        <v>1720.73</v>
      </c>
      <c r="I144" s="420">
        <f t="shared" si="42"/>
        <v>0</v>
      </c>
      <c r="J144" s="1206"/>
      <c r="K144" s="813"/>
      <c r="L144" s="1171"/>
      <c r="M144" s="354"/>
      <c r="N144" s="1172"/>
      <c r="O144" s="1177">
        <v>20850</v>
      </c>
      <c r="P144" s="1168"/>
      <c r="Q144" s="1380">
        <v>65387.74</v>
      </c>
      <c r="R144" s="1396" t="s">
        <v>802</v>
      </c>
      <c r="S144" s="726">
        <f t="shared" si="45"/>
        <v>65387.74</v>
      </c>
      <c r="T144" s="727">
        <f t="shared" si="46"/>
        <v>38</v>
      </c>
    </row>
    <row r="145" spans="1:24" s="148" customFormat="1" ht="45" customHeight="1" x14ac:dyDescent="0.25">
      <c r="A145" s="767">
        <v>91</v>
      </c>
      <c r="B145" s="1564" t="s">
        <v>349</v>
      </c>
      <c r="C145" s="1160" t="s">
        <v>345</v>
      </c>
      <c r="D145" s="1076"/>
      <c r="E145" s="1566">
        <v>45196</v>
      </c>
      <c r="F145" s="1078">
        <v>4082.2</v>
      </c>
      <c r="G145" s="682"/>
      <c r="H145" s="768">
        <v>4117.1000000000004</v>
      </c>
      <c r="I145" s="420">
        <f t="shared" ref="I145:I185" si="47">H145-F145</f>
        <v>34.900000000000546</v>
      </c>
      <c r="J145" s="1552" t="s">
        <v>484</v>
      </c>
      <c r="K145" s="1555">
        <v>4176</v>
      </c>
      <c r="L145" s="1558" t="s">
        <v>485</v>
      </c>
      <c r="M145" s="354"/>
      <c r="N145" s="1174"/>
      <c r="O145" s="1537" t="s">
        <v>431</v>
      </c>
      <c r="P145" s="1162"/>
      <c r="Q145" s="1190">
        <f>200000+219944.03</f>
        <v>419944.03</v>
      </c>
      <c r="R145" s="1425" t="s">
        <v>495</v>
      </c>
      <c r="S145" s="726">
        <f>Q145+M145+K145</f>
        <v>424120.03</v>
      </c>
      <c r="T145" s="727">
        <f>S145/H145</f>
        <v>103.01426489519322</v>
      </c>
    </row>
    <row r="146" spans="1:24" s="148" customFormat="1" ht="31.5" customHeight="1" x14ac:dyDescent="0.3">
      <c r="A146" s="767">
        <v>92</v>
      </c>
      <c r="B146" s="1565"/>
      <c r="C146" s="1160" t="s">
        <v>346</v>
      </c>
      <c r="D146" s="1156"/>
      <c r="E146" s="1567"/>
      <c r="F146" s="1157">
        <v>100.39</v>
      </c>
      <c r="G146" s="800"/>
      <c r="H146" s="769">
        <v>100.39</v>
      </c>
      <c r="I146" s="724">
        <f t="shared" si="47"/>
        <v>0</v>
      </c>
      <c r="J146" s="1553"/>
      <c r="K146" s="1556"/>
      <c r="L146" s="1559"/>
      <c r="M146" s="354"/>
      <c r="N146" s="1174"/>
      <c r="O146" s="1538"/>
      <c r="P146" s="1075"/>
      <c r="Q146" s="1119">
        <v>2007.98</v>
      </c>
      <c r="R146" s="1426"/>
      <c r="S146" s="726">
        <f t="shared" si="34"/>
        <v>2007.98</v>
      </c>
      <c r="T146" s="727">
        <f t="shared" si="35"/>
        <v>20.00179300727164</v>
      </c>
      <c r="X146" s="683"/>
    </row>
    <row r="147" spans="1:24" s="148" customFormat="1" ht="43.5" customHeight="1" x14ac:dyDescent="0.3">
      <c r="A147" s="767">
        <v>93</v>
      </c>
      <c r="B147" s="1565"/>
      <c r="C147" s="1161" t="s">
        <v>400</v>
      </c>
      <c r="D147" s="1156"/>
      <c r="E147" s="1567"/>
      <c r="F147" s="1157">
        <v>50.5</v>
      </c>
      <c r="G147" s="800"/>
      <c r="H147" s="769">
        <v>50.5</v>
      </c>
      <c r="I147" s="724">
        <f t="shared" si="47"/>
        <v>0</v>
      </c>
      <c r="J147" s="1553"/>
      <c r="K147" s="1556"/>
      <c r="L147" s="1559"/>
      <c r="M147" s="354"/>
      <c r="N147" s="1175"/>
      <c r="O147" s="1538"/>
      <c r="P147" s="1075"/>
      <c r="Q147" s="1119">
        <v>3282.5</v>
      </c>
      <c r="R147" s="1426"/>
      <c r="S147" s="726">
        <f t="shared" si="34"/>
        <v>3282.5</v>
      </c>
      <c r="T147" s="727">
        <f t="shared" si="35"/>
        <v>65</v>
      </c>
      <c r="X147" s="683"/>
    </row>
    <row r="148" spans="1:24" s="148" customFormat="1" ht="38.25" customHeight="1" thickBot="1" x14ac:dyDescent="0.35">
      <c r="A148" s="767">
        <v>94</v>
      </c>
      <c r="B148" s="1441"/>
      <c r="C148" s="1161" t="s">
        <v>70</v>
      </c>
      <c r="D148" s="1156"/>
      <c r="E148" s="1568"/>
      <c r="F148" s="1157">
        <v>434.7</v>
      </c>
      <c r="G148" s="800"/>
      <c r="H148" s="723">
        <v>434.7</v>
      </c>
      <c r="I148" s="724">
        <f t="shared" si="47"/>
        <v>0</v>
      </c>
      <c r="J148" s="1554"/>
      <c r="K148" s="1557"/>
      <c r="L148" s="1560"/>
      <c r="M148" s="354"/>
      <c r="N148" s="1174"/>
      <c r="O148" s="1539"/>
      <c r="P148" s="1075"/>
      <c r="Q148" s="1119">
        <v>63031.5</v>
      </c>
      <c r="R148" s="1427"/>
      <c r="S148" s="726">
        <f t="shared" si="34"/>
        <v>63031.5</v>
      </c>
      <c r="T148" s="441">
        <f t="shared" si="35"/>
        <v>145</v>
      </c>
      <c r="U148" s="1199"/>
      <c r="X148" s="683"/>
    </row>
    <row r="149" spans="1:24" s="148" customFormat="1" ht="38.25" customHeight="1" thickBot="1" x14ac:dyDescent="0.35">
      <c r="A149" s="767">
        <v>95</v>
      </c>
      <c r="B149" s="1106" t="s">
        <v>95</v>
      </c>
      <c r="C149" s="842" t="s">
        <v>390</v>
      </c>
      <c r="D149" s="346"/>
      <c r="E149" s="1159">
        <v>45197</v>
      </c>
      <c r="F149" s="762">
        <v>3359.96</v>
      </c>
      <c r="G149" s="800">
        <v>105</v>
      </c>
      <c r="H149" s="723">
        <v>3359.96</v>
      </c>
      <c r="I149" s="724">
        <f t="shared" si="47"/>
        <v>0</v>
      </c>
      <c r="J149" s="1207"/>
      <c r="K149" s="1208"/>
      <c r="L149" s="1173"/>
      <c r="M149" s="354"/>
      <c r="N149" s="1075"/>
      <c r="O149" s="1074" t="s">
        <v>454</v>
      </c>
      <c r="P149" s="810"/>
      <c r="Q149" s="1392">
        <v>408235.14</v>
      </c>
      <c r="R149" s="1393" t="s">
        <v>485</v>
      </c>
      <c r="S149" s="726">
        <f t="shared" ref="S149:S150" si="48">Q149+M149+K149</f>
        <v>408235.14</v>
      </c>
      <c r="T149" s="441">
        <f t="shared" ref="T149:T150" si="49">S149/H149</f>
        <v>121.5</v>
      </c>
      <c r="U149" s="1199"/>
      <c r="X149" s="683"/>
    </row>
    <row r="150" spans="1:24" s="148" customFormat="1" ht="31.5" customHeight="1" thickBot="1" x14ac:dyDescent="0.35">
      <c r="A150" s="767">
        <v>96</v>
      </c>
      <c r="B150" s="1181" t="s">
        <v>386</v>
      </c>
      <c r="C150" s="842" t="s">
        <v>387</v>
      </c>
      <c r="D150" s="256"/>
      <c r="E150" s="1184">
        <v>45198</v>
      </c>
      <c r="F150" s="725">
        <v>781.1</v>
      </c>
      <c r="G150" s="666">
        <v>1</v>
      </c>
      <c r="H150" s="725">
        <v>781.1</v>
      </c>
      <c r="I150" s="724">
        <f t="shared" si="47"/>
        <v>0</v>
      </c>
      <c r="J150" s="613"/>
      <c r="K150" s="947"/>
      <c r="L150" s="1010"/>
      <c r="M150" s="354"/>
      <c r="N150" s="810"/>
      <c r="O150" s="1185" t="s">
        <v>455</v>
      </c>
      <c r="P150" s="1072"/>
      <c r="Q150" s="1394">
        <v>19527.5</v>
      </c>
      <c r="R150" s="1395" t="s">
        <v>800</v>
      </c>
      <c r="S150" s="726">
        <f t="shared" si="48"/>
        <v>19527.5</v>
      </c>
      <c r="T150" s="441">
        <f t="shared" si="49"/>
        <v>25</v>
      </c>
      <c r="U150" s="1199"/>
      <c r="X150" s="683"/>
    </row>
    <row r="151" spans="1:24" s="148" customFormat="1" ht="37.5" customHeight="1" x14ac:dyDescent="0.3">
      <c r="A151" s="767">
        <v>97</v>
      </c>
      <c r="B151" s="1534" t="s">
        <v>342</v>
      </c>
      <c r="C151" s="1179" t="s">
        <v>456</v>
      </c>
      <c r="D151" s="1182"/>
      <c r="E151" s="1572">
        <v>45198</v>
      </c>
      <c r="F151" s="1183">
        <v>23.5</v>
      </c>
      <c r="G151" s="666">
        <v>1</v>
      </c>
      <c r="H151" s="725">
        <v>23.5</v>
      </c>
      <c r="I151" s="724">
        <f t="shared" si="47"/>
        <v>0</v>
      </c>
      <c r="J151" s="613"/>
      <c r="K151" s="354"/>
      <c r="L151" s="811"/>
      <c r="M151" s="354"/>
      <c r="N151" s="1072"/>
      <c r="O151" s="1561">
        <v>20867</v>
      </c>
      <c r="P151" s="1075"/>
      <c r="Q151" s="1391">
        <v>940</v>
      </c>
      <c r="R151" s="1430" t="s">
        <v>802</v>
      </c>
      <c r="S151" s="726">
        <f t="shared" ref="S151:S157" si="50">Q151+M151+K151</f>
        <v>940</v>
      </c>
      <c r="T151" s="727">
        <f t="shared" ref="T151:T157" si="51">S151/H151</f>
        <v>40</v>
      </c>
      <c r="X151" s="683"/>
    </row>
    <row r="152" spans="1:24" s="148" customFormat="1" ht="31.5" customHeight="1" x14ac:dyDescent="0.3">
      <c r="A152" s="767">
        <v>98</v>
      </c>
      <c r="B152" s="1535"/>
      <c r="C152" s="1179" t="s">
        <v>457</v>
      </c>
      <c r="D152" s="1182"/>
      <c r="E152" s="1573"/>
      <c r="F152" s="1183">
        <v>47.22</v>
      </c>
      <c r="G152" s="666">
        <v>2</v>
      </c>
      <c r="H152" s="725">
        <v>47.22</v>
      </c>
      <c r="I152" s="724">
        <f t="shared" si="47"/>
        <v>0</v>
      </c>
      <c r="J152" s="613"/>
      <c r="K152" s="354"/>
      <c r="L152" s="811"/>
      <c r="M152" s="354"/>
      <c r="N152" s="1072"/>
      <c r="O152" s="1562"/>
      <c r="P152" s="1075"/>
      <c r="Q152" s="1390">
        <v>1888.8</v>
      </c>
      <c r="R152" s="1430"/>
      <c r="S152" s="726">
        <f t="shared" si="50"/>
        <v>1888.8</v>
      </c>
      <c r="T152" s="727">
        <f t="shared" si="51"/>
        <v>40</v>
      </c>
      <c r="X152" s="683"/>
    </row>
    <row r="153" spans="1:24" s="148" customFormat="1" ht="44.25" customHeight="1" x14ac:dyDescent="0.3">
      <c r="A153" s="767">
        <v>99</v>
      </c>
      <c r="B153" s="1535"/>
      <c r="C153" s="1179" t="s">
        <v>458</v>
      </c>
      <c r="D153" s="1182"/>
      <c r="E153" s="1573"/>
      <c r="F153" s="1183">
        <v>15.79</v>
      </c>
      <c r="G153" s="666">
        <v>1</v>
      </c>
      <c r="H153" s="725">
        <v>15.79</v>
      </c>
      <c r="I153" s="724">
        <f t="shared" si="47"/>
        <v>0</v>
      </c>
      <c r="J153" s="613"/>
      <c r="K153" s="354"/>
      <c r="L153" s="811"/>
      <c r="M153" s="354"/>
      <c r="N153" s="1072"/>
      <c r="O153" s="1562"/>
      <c r="P153" s="1075"/>
      <c r="Q153" s="1390">
        <v>631.6</v>
      </c>
      <c r="R153" s="1430"/>
      <c r="S153" s="726">
        <f t="shared" si="50"/>
        <v>631.6</v>
      </c>
      <c r="T153" s="727">
        <f t="shared" si="51"/>
        <v>40.000000000000007</v>
      </c>
      <c r="X153" s="683"/>
    </row>
    <row r="154" spans="1:24" s="148" customFormat="1" ht="42.75" customHeight="1" x14ac:dyDescent="0.3">
      <c r="A154" s="767">
        <v>100</v>
      </c>
      <c r="B154" s="1535"/>
      <c r="C154" s="1180" t="s">
        <v>459</v>
      </c>
      <c r="D154" s="1182"/>
      <c r="E154" s="1573"/>
      <c r="F154" s="1183">
        <v>94.87</v>
      </c>
      <c r="G154" s="666">
        <v>4</v>
      </c>
      <c r="H154" s="725">
        <v>94.87</v>
      </c>
      <c r="I154" s="724">
        <f t="shared" si="47"/>
        <v>0</v>
      </c>
      <c r="J154" s="613"/>
      <c r="K154" s="647"/>
      <c r="L154" s="1010"/>
      <c r="M154" s="354"/>
      <c r="N154" s="1072"/>
      <c r="O154" s="1562"/>
      <c r="P154" s="1075"/>
      <c r="Q154" s="1390">
        <v>3794.8</v>
      </c>
      <c r="R154" s="1430"/>
      <c r="S154" s="726">
        <f t="shared" si="50"/>
        <v>3794.8</v>
      </c>
      <c r="T154" s="727">
        <f>S154/H154</f>
        <v>40</v>
      </c>
      <c r="X154" s="683"/>
    </row>
    <row r="155" spans="1:24" s="148" customFormat="1" ht="42.75" customHeight="1" x14ac:dyDescent="0.3">
      <c r="A155" s="767">
        <v>101</v>
      </c>
      <c r="B155" s="1535"/>
      <c r="C155" s="1179" t="s">
        <v>460</v>
      </c>
      <c r="D155" s="1182"/>
      <c r="E155" s="1573"/>
      <c r="F155" s="1183">
        <v>354.39</v>
      </c>
      <c r="G155" s="666">
        <v>13</v>
      </c>
      <c r="H155" s="725">
        <v>354.39</v>
      </c>
      <c r="I155" s="724">
        <f t="shared" si="47"/>
        <v>0</v>
      </c>
      <c r="J155" s="613"/>
      <c r="K155" s="354"/>
      <c r="L155" s="1010"/>
      <c r="M155" s="354"/>
      <c r="N155" s="1072"/>
      <c r="O155" s="1562"/>
      <c r="P155" s="1075"/>
      <c r="Q155" s="1390">
        <v>14175.6</v>
      </c>
      <c r="R155" s="1430"/>
      <c r="S155" s="726">
        <f t="shared" ref="S155:S156" si="52">Q155+M155+K155</f>
        <v>14175.6</v>
      </c>
      <c r="T155" s="727">
        <f t="shared" ref="T155:T156" si="53">S155/H155</f>
        <v>40</v>
      </c>
      <c r="X155" s="683"/>
    </row>
    <row r="156" spans="1:24" s="148" customFormat="1" ht="42.75" customHeight="1" thickBot="1" x14ac:dyDescent="0.35">
      <c r="A156" s="767">
        <v>102</v>
      </c>
      <c r="B156" s="1536"/>
      <c r="C156" s="1179" t="s">
        <v>461</v>
      </c>
      <c r="D156" s="1182"/>
      <c r="E156" s="1574"/>
      <c r="F156" s="1183">
        <v>82.22</v>
      </c>
      <c r="G156" s="666">
        <v>3</v>
      </c>
      <c r="H156" s="725">
        <v>82.22</v>
      </c>
      <c r="I156" s="724">
        <f t="shared" si="47"/>
        <v>0</v>
      </c>
      <c r="J156" s="1206"/>
      <c r="K156" s="813"/>
      <c r="L156" s="1407"/>
      <c r="M156" s="354"/>
      <c r="N156" s="1072"/>
      <c r="O156" s="1563"/>
      <c r="P156" s="1075"/>
      <c r="Q156" s="1390">
        <v>3288.8</v>
      </c>
      <c r="R156" s="1431"/>
      <c r="S156" s="726">
        <f t="shared" si="52"/>
        <v>3288.8</v>
      </c>
      <c r="T156" s="727">
        <f t="shared" si="53"/>
        <v>40</v>
      </c>
      <c r="X156" s="683"/>
    </row>
    <row r="157" spans="1:24" s="148" customFormat="1" ht="41.25" customHeight="1" thickTop="1" thickBot="1" x14ac:dyDescent="0.35">
      <c r="A157" s="767">
        <v>103</v>
      </c>
      <c r="B157" s="1543" t="s">
        <v>349</v>
      </c>
      <c r="C157" s="1220" t="s">
        <v>345</v>
      </c>
      <c r="D157" s="1224"/>
      <c r="E157" s="1546" t="s">
        <v>792</v>
      </c>
      <c r="F157" s="1183">
        <f>3921.569+2283.484</f>
        <v>6205.0529999999999</v>
      </c>
      <c r="G157" s="666"/>
      <c r="H157" s="725">
        <f>3921.569+2214.731</f>
        <v>6136.3</v>
      </c>
      <c r="I157" s="724">
        <f t="shared" si="47"/>
        <v>-68.752999999999702</v>
      </c>
      <c r="J157" s="1575" t="s">
        <v>484</v>
      </c>
      <c r="K157" s="1578">
        <v>4176</v>
      </c>
      <c r="L157" s="1581" t="s">
        <v>804</v>
      </c>
      <c r="M157" s="875"/>
      <c r="N157" s="1072"/>
      <c r="O157" s="1549" t="s">
        <v>790</v>
      </c>
      <c r="P157" s="1410">
        <v>4176</v>
      </c>
      <c r="Q157" s="809">
        <f>400000+226004.6</f>
        <v>626004.6</v>
      </c>
      <c r="R157" s="1198" t="s">
        <v>798</v>
      </c>
      <c r="S157" s="726">
        <f t="shared" si="50"/>
        <v>630180.6</v>
      </c>
      <c r="T157" s="727">
        <f t="shared" si="51"/>
        <v>102.69716278539184</v>
      </c>
      <c r="X157" s="683">
        <v>3611.88</v>
      </c>
    </row>
    <row r="158" spans="1:24" s="148" customFormat="1" ht="37.5" customHeight="1" x14ac:dyDescent="0.3">
      <c r="A158" s="767">
        <v>104</v>
      </c>
      <c r="B158" s="1544"/>
      <c r="C158" s="1221" t="s">
        <v>791</v>
      </c>
      <c r="D158" s="1224"/>
      <c r="E158" s="1547"/>
      <c r="F158" s="1183">
        <v>357.7</v>
      </c>
      <c r="G158" s="666"/>
      <c r="H158" s="725">
        <v>357.7</v>
      </c>
      <c r="I158" s="724">
        <f t="shared" si="47"/>
        <v>0</v>
      </c>
      <c r="J158" s="1576"/>
      <c r="K158" s="1579"/>
      <c r="L158" s="1582"/>
      <c r="M158" s="875"/>
      <c r="N158" s="1076"/>
      <c r="O158" s="1550"/>
      <c r="P158" s="1411"/>
      <c r="Q158" s="1119">
        <v>51866.5</v>
      </c>
      <c r="R158" s="1413" t="s">
        <v>797</v>
      </c>
      <c r="S158" s="726">
        <f t="shared" si="34"/>
        <v>51866.5</v>
      </c>
      <c r="T158" s="727">
        <f t="shared" si="35"/>
        <v>145</v>
      </c>
      <c r="X158" s="683">
        <v>79503.45</v>
      </c>
    </row>
    <row r="159" spans="1:24" s="148" customFormat="1" ht="49.5" customHeight="1" x14ac:dyDescent="0.3">
      <c r="A159" s="767">
        <v>105</v>
      </c>
      <c r="B159" s="1544"/>
      <c r="C159" s="1220" t="s">
        <v>402</v>
      </c>
      <c r="D159" s="1225"/>
      <c r="E159" s="1547"/>
      <c r="F159" s="1183">
        <v>75.150000000000006</v>
      </c>
      <c r="G159" s="666"/>
      <c r="H159" s="725">
        <v>75.150000000000006</v>
      </c>
      <c r="I159" s="724">
        <f t="shared" si="47"/>
        <v>0</v>
      </c>
      <c r="J159" s="1576"/>
      <c r="K159" s="1579"/>
      <c r="L159" s="1582"/>
      <c r="M159" s="875"/>
      <c r="N159" s="1226"/>
      <c r="O159" s="1550"/>
      <c r="P159" s="1411"/>
      <c r="Q159" s="1119">
        <v>4884.75</v>
      </c>
      <c r="R159" s="1414"/>
      <c r="S159" s="726">
        <f t="shared" si="34"/>
        <v>4884.75</v>
      </c>
      <c r="T159" s="727">
        <f t="shared" si="35"/>
        <v>65</v>
      </c>
      <c r="X159" s="683">
        <v>51480</v>
      </c>
    </row>
    <row r="160" spans="1:24" s="148" customFormat="1" ht="42.75" customHeight="1" thickBot="1" x14ac:dyDescent="0.35">
      <c r="A160" s="767">
        <v>106</v>
      </c>
      <c r="B160" s="1545"/>
      <c r="C160" s="1222" t="s">
        <v>400</v>
      </c>
      <c r="D160" s="1077"/>
      <c r="E160" s="1548"/>
      <c r="F160" s="1183">
        <v>101.3</v>
      </c>
      <c r="G160" s="666"/>
      <c r="H160" s="725">
        <v>101.3</v>
      </c>
      <c r="I160" s="943">
        <f t="shared" ref="I160:I163" si="54">H160-F160</f>
        <v>0</v>
      </c>
      <c r="J160" s="1577"/>
      <c r="K160" s="1580"/>
      <c r="L160" s="1583"/>
      <c r="M160" s="875"/>
      <c r="N160" s="1076"/>
      <c r="O160" s="1551"/>
      <c r="P160" s="1412"/>
      <c r="Q160" s="1119">
        <v>2026</v>
      </c>
      <c r="R160" s="1415"/>
      <c r="S160" s="726">
        <f t="shared" si="34"/>
        <v>2026</v>
      </c>
      <c r="T160" s="727">
        <f t="shared" si="35"/>
        <v>20</v>
      </c>
      <c r="X160" s="683">
        <v>3952.64</v>
      </c>
    </row>
    <row r="161" spans="1:24" s="148" customFormat="1" ht="42.75" customHeight="1" thickTop="1" x14ac:dyDescent="0.3">
      <c r="A161" s="767">
        <v>107</v>
      </c>
      <c r="B161" s="1223"/>
      <c r="C161" s="666"/>
      <c r="D161" s="839"/>
      <c r="E161" s="1219"/>
      <c r="F161" s="725"/>
      <c r="G161" s="666"/>
      <c r="H161" s="725"/>
      <c r="I161" s="945">
        <f t="shared" si="54"/>
        <v>0</v>
      </c>
      <c r="J161" s="1408"/>
      <c r="K161" s="1202"/>
      <c r="L161" s="1409"/>
      <c r="M161" s="354"/>
      <c r="N161" s="646"/>
      <c r="O161" s="1227"/>
      <c r="P161" s="810"/>
      <c r="Q161" s="809"/>
      <c r="R161" s="1191"/>
      <c r="S161" s="726"/>
      <c r="T161" s="727"/>
      <c r="X161" s="940"/>
    </row>
    <row r="162" spans="1:24" s="148" customFormat="1" ht="42.75" customHeight="1" x14ac:dyDescent="0.3">
      <c r="A162" s="767">
        <v>108</v>
      </c>
      <c r="B162" s="900"/>
      <c r="C162" s="933"/>
      <c r="D162" s="839"/>
      <c r="E162" s="1000"/>
      <c r="F162" s="725"/>
      <c r="G162" s="666"/>
      <c r="H162" s="725"/>
      <c r="I162" s="944">
        <f t="shared" si="54"/>
        <v>0</v>
      </c>
      <c r="J162" s="613"/>
      <c r="K162" s="354"/>
      <c r="L162" s="811"/>
      <c r="M162" s="354"/>
      <c r="N162" s="646"/>
      <c r="O162" s="901"/>
      <c r="P162" s="902"/>
      <c r="Q162" s="809"/>
      <c r="R162" s="566"/>
      <c r="S162" s="726"/>
      <c r="T162" s="727"/>
      <c r="X162" s="940"/>
    </row>
    <row r="163" spans="1:24" s="148" customFormat="1" ht="36.75" customHeight="1" x14ac:dyDescent="0.3">
      <c r="A163" s="767">
        <v>109</v>
      </c>
      <c r="B163" s="841"/>
      <c r="C163" s="827"/>
      <c r="D163" s="839"/>
      <c r="E163" s="1000"/>
      <c r="F163" s="698"/>
      <c r="G163" s="613"/>
      <c r="H163" s="698"/>
      <c r="I163" s="724">
        <f t="shared" si="54"/>
        <v>0</v>
      </c>
      <c r="J163" s="838"/>
      <c r="K163" s="354"/>
      <c r="L163" s="811"/>
      <c r="M163" s="354"/>
      <c r="N163" s="646"/>
      <c r="O163" s="1007"/>
      <c r="P163" s="810"/>
      <c r="Q163" s="809"/>
      <c r="R163" s="566"/>
      <c r="S163" s="726">
        <f t="shared" si="34"/>
        <v>0</v>
      </c>
      <c r="T163" s="727" t="s">
        <v>41</v>
      </c>
      <c r="X163" s="729">
        <f>SUM(X92:X160)</f>
        <v>138547.97000000003</v>
      </c>
    </row>
    <row r="164" spans="1:24" s="148" customFormat="1" ht="48" customHeight="1" x14ac:dyDescent="0.3">
      <c r="A164" s="767">
        <v>110</v>
      </c>
      <c r="B164" s="749"/>
      <c r="C164" s="666"/>
      <c r="D164" s="497"/>
      <c r="E164" s="1002"/>
      <c r="F164" s="725"/>
      <c r="G164" s="666"/>
      <c r="H164" s="725"/>
      <c r="I164" s="724">
        <f t="shared" si="47"/>
        <v>0</v>
      </c>
      <c r="J164" s="613"/>
      <c r="K164" s="354"/>
      <c r="L164" s="811"/>
      <c r="M164" s="354"/>
      <c r="N164" s="810"/>
      <c r="O164" s="1003"/>
      <c r="P164" s="1011"/>
      <c r="Q164" s="809"/>
      <c r="R164" s="820"/>
      <c r="S164" s="726">
        <f t="shared" si="34"/>
        <v>0</v>
      </c>
      <c r="T164" s="727" t="e">
        <f t="shared" si="35"/>
        <v>#DIV/0!</v>
      </c>
      <c r="X164" s="683">
        <v>3222.35</v>
      </c>
    </row>
    <row r="165" spans="1:24" s="148" customFormat="1" ht="48" customHeight="1" x14ac:dyDescent="0.3">
      <c r="A165" s="767"/>
      <c r="B165" s="749"/>
      <c r="C165" s="666"/>
      <c r="D165" s="497"/>
      <c r="E165" s="1002"/>
      <c r="F165" s="725"/>
      <c r="G165" s="666"/>
      <c r="H165" s="725"/>
      <c r="I165" s="724">
        <f t="shared" si="47"/>
        <v>0</v>
      </c>
      <c r="J165" s="613"/>
      <c r="K165" s="354"/>
      <c r="L165" s="811"/>
      <c r="M165" s="354"/>
      <c r="N165" s="810"/>
      <c r="O165" s="1003"/>
      <c r="P165" s="1011"/>
      <c r="Q165" s="809"/>
      <c r="R165" s="820"/>
      <c r="S165" s="726">
        <f t="shared" ref="S165" si="55">Q165+M165+K165</f>
        <v>0</v>
      </c>
      <c r="T165" s="727" t="e">
        <f t="shared" ref="T165" si="56">S165/H165</f>
        <v>#DIV/0!</v>
      </c>
      <c r="X165" s="683"/>
    </row>
    <row r="166" spans="1:24" s="148" customFormat="1" ht="31.5" customHeight="1" x14ac:dyDescent="0.3">
      <c r="A166" s="767">
        <v>111</v>
      </c>
      <c r="B166" s="747"/>
      <c r="C166" s="504"/>
      <c r="D166" s="260"/>
      <c r="E166" s="681"/>
      <c r="F166" s="725"/>
      <c r="G166" s="666"/>
      <c r="H166" s="725"/>
      <c r="I166" s="724">
        <f t="shared" si="47"/>
        <v>0</v>
      </c>
      <c r="J166" s="613"/>
      <c r="K166" s="354"/>
      <c r="L166" s="811"/>
      <c r="M166" s="354"/>
      <c r="N166" s="646"/>
      <c r="O166" s="785"/>
      <c r="P166" s="810"/>
      <c r="Q166" s="809"/>
      <c r="R166" s="820"/>
      <c r="S166" s="726">
        <f t="shared" si="34"/>
        <v>0</v>
      </c>
      <c r="T166" s="727" t="e">
        <f t="shared" si="35"/>
        <v>#DIV/0!</v>
      </c>
      <c r="X166" s="683">
        <v>3250.8</v>
      </c>
    </row>
    <row r="167" spans="1:24" s="148" customFormat="1" ht="31.5" customHeight="1" x14ac:dyDescent="0.3">
      <c r="A167" s="767">
        <v>112</v>
      </c>
      <c r="B167" s="747"/>
      <c r="C167" s="666"/>
      <c r="D167" s="260"/>
      <c r="E167" s="681"/>
      <c r="F167" s="725"/>
      <c r="G167" s="666"/>
      <c r="H167" s="725"/>
      <c r="I167" s="724">
        <f t="shared" si="47"/>
        <v>0</v>
      </c>
      <c r="J167" s="613"/>
      <c r="K167" s="354"/>
      <c r="L167" s="811"/>
      <c r="M167" s="354"/>
      <c r="N167" s="810"/>
      <c r="O167" s="785"/>
      <c r="P167" s="1004"/>
      <c r="Q167" s="809"/>
      <c r="R167" s="820"/>
      <c r="S167" s="726">
        <f t="shared" si="34"/>
        <v>0</v>
      </c>
      <c r="T167" s="727" t="e">
        <f t="shared" si="35"/>
        <v>#DIV/0!</v>
      </c>
      <c r="X167" s="683">
        <v>4054.26</v>
      </c>
    </row>
    <row r="168" spans="1:24" s="148" customFormat="1" ht="31.5" customHeight="1" x14ac:dyDescent="0.3">
      <c r="A168" s="767">
        <v>113</v>
      </c>
      <c r="B168" s="747"/>
      <c r="C168" s="666"/>
      <c r="D168" s="260"/>
      <c r="E168" s="681"/>
      <c r="F168" s="725"/>
      <c r="G168" s="666"/>
      <c r="H168" s="725"/>
      <c r="I168" s="724">
        <f t="shared" si="47"/>
        <v>0</v>
      </c>
      <c r="J168" s="613"/>
      <c r="K168" s="354"/>
      <c r="L168" s="811"/>
      <c r="M168" s="354"/>
      <c r="N168" s="810"/>
      <c r="O168" s="785"/>
      <c r="P168" s="1004"/>
      <c r="Q168" s="809"/>
      <c r="R168" s="820"/>
      <c r="S168" s="726">
        <f t="shared" si="34"/>
        <v>0</v>
      </c>
      <c r="T168" s="727" t="e">
        <f t="shared" si="35"/>
        <v>#DIV/0!</v>
      </c>
      <c r="X168" s="683">
        <v>3632.62</v>
      </c>
    </row>
    <row r="169" spans="1:24" s="148" customFormat="1" ht="31.5" customHeight="1" x14ac:dyDescent="0.3">
      <c r="A169" s="767">
        <v>114</v>
      </c>
      <c r="B169" s="747"/>
      <c r="C169" s="666"/>
      <c r="D169" s="260"/>
      <c r="E169" s="681"/>
      <c r="F169" s="725"/>
      <c r="G169" s="666"/>
      <c r="H169" s="725"/>
      <c r="I169" s="724">
        <f t="shared" si="47"/>
        <v>0</v>
      </c>
      <c r="J169" s="613"/>
      <c r="K169" s="354"/>
      <c r="L169" s="811"/>
      <c r="M169" s="354"/>
      <c r="N169" s="810"/>
      <c r="O169" s="785"/>
      <c r="P169" s="810"/>
      <c r="Q169" s="1008"/>
      <c r="R169" s="820"/>
      <c r="S169" s="726">
        <f t="shared" si="34"/>
        <v>0</v>
      </c>
      <c r="T169" s="727" t="e">
        <f t="shared" si="35"/>
        <v>#DIV/0!</v>
      </c>
      <c r="X169" s="683">
        <v>5994.6</v>
      </c>
    </row>
    <row r="170" spans="1:24" s="148" customFormat="1" ht="31.5" customHeight="1" x14ac:dyDescent="0.3">
      <c r="A170" s="767">
        <v>115</v>
      </c>
      <c r="B170" s="747"/>
      <c r="C170" s="543"/>
      <c r="D170" s="260"/>
      <c r="E170" s="681"/>
      <c r="F170" s="725"/>
      <c r="G170" s="666"/>
      <c r="H170" s="725"/>
      <c r="I170" s="724">
        <f t="shared" si="47"/>
        <v>0</v>
      </c>
      <c r="J170" s="613"/>
      <c r="K170" s="354"/>
      <c r="L170" s="811"/>
      <c r="M170" s="354"/>
      <c r="N170" s="646"/>
      <c r="O170" s="785"/>
      <c r="P170" s="810"/>
      <c r="Q170" s="1008"/>
      <c r="R170" s="820"/>
      <c r="S170" s="726">
        <f t="shared" si="34"/>
        <v>0</v>
      </c>
      <c r="T170" s="727" t="e">
        <f t="shared" si="35"/>
        <v>#DIV/0!</v>
      </c>
      <c r="X170" s="683">
        <v>4834.3</v>
      </c>
    </row>
    <row r="171" spans="1:24" s="148" customFormat="1" ht="47.25" customHeight="1" x14ac:dyDescent="0.3">
      <c r="A171" s="767">
        <v>116</v>
      </c>
      <c r="B171" s="749"/>
      <c r="C171" s="666"/>
      <c r="D171" s="260"/>
      <c r="E171" s="681"/>
      <c r="F171" s="725"/>
      <c r="G171" s="666"/>
      <c r="H171" s="725"/>
      <c r="I171" s="724">
        <f t="shared" si="47"/>
        <v>0</v>
      </c>
      <c r="J171" s="613"/>
      <c r="K171" s="354"/>
      <c r="L171" s="811"/>
      <c r="M171" s="354"/>
      <c r="N171" s="646"/>
      <c r="O171" s="1006"/>
      <c r="P171" s="810"/>
      <c r="Q171" s="809"/>
      <c r="R171" s="810"/>
      <c r="S171" s="726">
        <f t="shared" si="34"/>
        <v>0</v>
      </c>
      <c r="T171" s="727" t="e">
        <f t="shared" si="35"/>
        <v>#DIV/0!</v>
      </c>
      <c r="X171" s="683">
        <v>4657.6000000000004</v>
      </c>
    </row>
    <row r="172" spans="1:24" s="148" customFormat="1" ht="31.5" customHeight="1" x14ac:dyDescent="0.3">
      <c r="A172" s="767">
        <v>117</v>
      </c>
      <c r="B172" s="749"/>
      <c r="C172" s="666"/>
      <c r="D172" s="260"/>
      <c r="E172" s="681"/>
      <c r="F172" s="725"/>
      <c r="G172" s="666"/>
      <c r="H172" s="725"/>
      <c r="I172" s="724">
        <f t="shared" si="47"/>
        <v>0</v>
      </c>
      <c r="J172" s="740"/>
      <c r="K172" s="740"/>
      <c r="L172" s="811"/>
      <c r="M172" s="354"/>
      <c r="N172" s="646"/>
      <c r="O172" s="1006"/>
      <c r="P172" s="810"/>
      <c r="Q172" s="809"/>
      <c r="R172" s="810"/>
      <c r="S172" s="726">
        <f t="shared" si="34"/>
        <v>0</v>
      </c>
      <c r="T172" s="727" t="e">
        <f t="shared" si="35"/>
        <v>#DIV/0!</v>
      </c>
      <c r="X172" s="683">
        <v>2942.5</v>
      </c>
    </row>
    <row r="173" spans="1:24" s="148" customFormat="1" ht="31.5" customHeight="1" x14ac:dyDescent="0.3">
      <c r="A173" s="767">
        <v>118</v>
      </c>
      <c r="B173" s="667"/>
      <c r="C173" s="666"/>
      <c r="D173" s="260"/>
      <c r="E173" s="681"/>
      <c r="F173" s="725"/>
      <c r="G173" s="666"/>
      <c r="H173" s="725"/>
      <c r="I173" s="724">
        <f t="shared" si="47"/>
        <v>0</v>
      </c>
      <c r="J173" s="613"/>
      <c r="K173" s="354"/>
      <c r="L173" s="614"/>
      <c r="M173" s="354"/>
      <c r="N173" s="566"/>
      <c r="O173" s="787"/>
      <c r="P173" s="566"/>
      <c r="Q173" s="683"/>
      <c r="R173" s="744"/>
      <c r="S173" s="726">
        <f t="shared" si="34"/>
        <v>0</v>
      </c>
      <c r="T173" s="727" t="e">
        <f t="shared" si="35"/>
        <v>#DIV/0!</v>
      </c>
      <c r="X173" s="683">
        <v>3619.54</v>
      </c>
    </row>
    <row r="174" spans="1:24" s="148" customFormat="1" ht="31.5" customHeight="1" x14ac:dyDescent="0.3">
      <c r="A174" s="767">
        <v>119</v>
      </c>
      <c r="B174" s="749"/>
      <c r="C174" s="543"/>
      <c r="D174" s="260"/>
      <c r="E174" s="681"/>
      <c r="F174" s="725"/>
      <c r="G174" s="666"/>
      <c r="H174" s="725"/>
      <c r="I174" s="724">
        <f t="shared" si="47"/>
        <v>0</v>
      </c>
      <c r="J174" s="613"/>
      <c r="K174" s="354"/>
      <c r="L174" s="755"/>
      <c r="M174" s="354"/>
      <c r="N174" s="745"/>
      <c r="O174" s="787"/>
      <c r="P174" s="566"/>
      <c r="Q174" s="683"/>
      <c r="R174" s="744"/>
      <c r="S174" s="726">
        <f t="shared" si="34"/>
        <v>0</v>
      </c>
      <c r="T174" s="727" t="e">
        <f t="shared" si="35"/>
        <v>#DIV/0!</v>
      </c>
      <c r="X174" s="683">
        <v>3090.78</v>
      </c>
    </row>
    <row r="175" spans="1:24" s="148" customFormat="1" ht="31.5" customHeight="1" x14ac:dyDescent="0.3">
      <c r="A175" s="767">
        <v>120</v>
      </c>
      <c r="B175" s="749"/>
      <c r="C175" s="666"/>
      <c r="D175" s="260"/>
      <c r="E175" s="681"/>
      <c r="F175" s="725"/>
      <c r="G175" s="666"/>
      <c r="H175" s="725"/>
      <c r="I175" s="724">
        <f t="shared" si="47"/>
        <v>0</v>
      </c>
      <c r="J175" s="613"/>
      <c r="K175" s="354"/>
      <c r="L175" s="614"/>
      <c r="M175" s="354"/>
      <c r="N175" s="745"/>
      <c r="O175" s="787"/>
      <c r="P175" s="566"/>
      <c r="Q175" s="683"/>
      <c r="R175" s="744"/>
      <c r="S175" s="726">
        <f t="shared" si="34"/>
        <v>0</v>
      </c>
      <c r="T175" s="727" t="e">
        <f t="shared" si="35"/>
        <v>#DIV/0!</v>
      </c>
      <c r="X175" s="683">
        <v>4342</v>
      </c>
    </row>
    <row r="176" spans="1:24" s="148" customFormat="1" ht="53.25" customHeight="1" x14ac:dyDescent="0.25">
      <c r="A176" s="767"/>
      <c r="B176" s="741"/>
      <c r="C176" s="742"/>
      <c r="D176" s="346"/>
      <c r="E176" s="681"/>
      <c r="F176" s="725"/>
      <c r="G176" s="666"/>
      <c r="H176" s="725"/>
      <c r="I176" s="420">
        <f t="shared" si="47"/>
        <v>0</v>
      </c>
      <c r="J176" s="399"/>
      <c r="K176" s="354"/>
      <c r="L176" s="615"/>
      <c r="M176" s="354"/>
      <c r="N176" s="566"/>
      <c r="O176" s="788"/>
      <c r="P176" s="566"/>
      <c r="Q176" s="686"/>
      <c r="R176" s="743"/>
      <c r="S176" s="726">
        <f t="shared" si="15"/>
        <v>0</v>
      </c>
      <c r="T176" s="727" t="e">
        <f t="shared" ref="T176:T179" si="57">S176/H176</f>
        <v>#DIV/0!</v>
      </c>
      <c r="X176" s="687">
        <v>127420.53</v>
      </c>
    </row>
    <row r="177" spans="1:24" s="148" customFormat="1" ht="53.25" customHeight="1" x14ac:dyDescent="0.25">
      <c r="A177" s="767"/>
      <c r="B177" s="741"/>
      <c r="C177" s="742"/>
      <c r="D177" s="346"/>
      <c r="E177" s="681"/>
      <c r="F177" s="725"/>
      <c r="G177" s="666"/>
      <c r="H177" s="725"/>
      <c r="I177" s="420">
        <f t="shared" si="47"/>
        <v>0</v>
      </c>
      <c r="J177" s="399"/>
      <c r="K177" s="354"/>
      <c r="L177" s="615"/>
      <c r="M177" s="354"/>
      <c r="N177" s="566"/>
      <c r="O177" s="788"/>
      <c r="P177" s="566"/>
      <c r="Q177" s="686"/>
      <c r="R177" s="743"/>
      <c r="S177" s="726">
        <f t="shared" si="15"/>
        <v>0</v>
      </c>
      <c r="T177" s="727" t="e">
        <f t="shared" si="57"/>
        <v>#DIV/0!</v>
      </c>
      <c r="X177" s="687">
        <v>1664.15</v>
      </c>
    </row>
    <row r="178" spans="1:24" s="148" customFormat="1" ht="53.25" customHeight="1" x14ac:dyDescent="0.25">
      <c r="A178" s="767"/>
      <c r="B178" s="741"/>
      <c r="C178" s="742"/>
      <c r="D178" s="346"/>
      <c r="E178" s="681"/>
      <c r="F178" s="725"/>
      <c r="G178" s="666"/>
      <c r="H178" s="725"/>
      <c r="I178" s="603">
        <f t="shared" si="47"/>
        <v>0</v>
      </c>
      <c r="J178" s="399"/>
      <c r="K178" s="354"/>
      <c r="L178" s="615"/>
      <c r="M178" s="354"/>
      <c r="N178" s="566"/>
      <c r="O178" s="788"/>
      <c r="P178" s="566"/>
      <c r="Q178" s="686"/>
      <c r="R178" s="743"/>
      <c r="S178" s="726">
        <f t="shared" si="15"/>
        <v>0</v>
      </c>
      <c r="T178" s="727" t="e">
        <f t="shared" si="57"/>
        <v>#DIV/0!</v>
      </c>
      <c r="X178" s="687">
        <v>4143.5200000000004</v>
      </c>
    </row>
    <row r="179" spans="1:24" s="148" customFormat="1" ht="53.25" customHeight="1" x14ac:dyDescent="0.25">
      <c r="A179" s="767"/>
      <c r="B179" s="741"/>
      <c r="C179" s="742"/>
      <c r="D179" s="346"/>
      <c r="E179" s="681"/>
      <c r="F179" s="725"/>
      <c r="G179" s="666"/>
      <c r="H179" s="725"/>
      <c r="I179" s="603">
        <f t="shared" si="47"/>
        <v>0</v>
      </c>
      <c r="J179" s="399"/>
      <c r="K179" s="354"/>
      <c r="L179" s="615"/>
      <c r="M179" s="354"/>
      <c r="N179" s="566"/>
      <c r="O179" s="788"/>
      <c r="P179" s="566"/>
      <c r="Q179" s="686"/>
      <c r="R179" s="743"/>
      <c r="S179" s="726">
        <f t="shared" si="15"/>
        <v>0</v>
      </c>
      <c r="T179" s="727" t="e">
        <f t="shared" si="57"/>
        <v>#DIV/0!</v>
      </c>
      <c r="X179" s="687">
        <v>2070.5</v>
      </c>
    </row>
    <row r="180" spans="1:24" s="148" customFormat="1" ht="33.75" customHeight="1" x14ac:dyDescent="0.3">
      <c r="A180" s="97"/>
      <c r="B180" s="346"/>
      <c r="C180" s="256"/>
      <c r="D180" s="739"/>
      <c r="E180" s="631"/>
      <c r="F180" s="699"/>
      <c r="G180" s="260"/>
      <c r="H180" s="699"/>
      <c r="I180" s="420">
        <f t="shared" si="47"/>
        <v>0</v>
      </c>
      <c r="J180" s="399"/>
      <c r="K180" s="354"/>
      <c r="L180" s="615"/>
      <c r="M180" s="354"/>
      <c r="N180" s="566"/>
      <c r="O180" s="784"/>
      <c r="P180" s="566"/>
      <c r="Q180" s="683"/>
      <c r="R180" s="566"/>
      <c r="S180" s="726">
        <f t="shared" ref="S180" si="58">Q180+M180+K180</f>
        <v>0</v>
      </c>
      <c r="T180" s="727" t="e">
        <f t="shared" ref="T180" si="59">S180/H180</f>
        <v>#DIV/0!</v>
      </c>
    </row>
    <row r="181" spans="1:24" s="148" customFormat="1" ht="25.5" customHeight="1" x14ac:dyDescent="0.25">
      <c r="A181" s="97"/>
      <c r="B181" s="667"/>
      <c r="C181" s="569"/>
      <c r="D181" s="621"/>
      <c r="E181" s="633"/>
      <c r="F181" s="700"/>
      <c r="G181" s="570"/>
      <c r="H181" s="710"/>
      <c r="I181" s="670">
        <f t="shared" si="47"/>
        <v>0</v>
      </c>
      <c r="J181" s="399"/>
      <c r="K181" s="354"/>
      <c r="L181" s="614"/>
      <c r="M181" s="354"/>
      <c r="N181" s="566"/>
      <c r="O181" s="789"/>
      <c r="P181" s="566"/>
      <c r="Q181" s="685"/>
      <c r="R181" s="566"/>
      <c r="S181" s="726">
        <f t="shared" ref="S181:S188" si="60">Q181+M181+K181</f>
        <v>0</v>
      </c>
      <c r="T181" s="727" t="e">
        <f t="shared" ref="T181:T188" si="61">S181/H181</f>
        <v>#DIV/0!</v>
      </c>
    </row>
    <row r="182" spans="1:24" s="148" customFormat="1" ht="38.25" customHeight="1" x14ac:dyDescent="0.25">
      <c r="A182" s="97"/>
      <c r="B182" s="819"/>
      <c r="C182" s="569"/>
      <c r="D182" s="569"/>
      <c r="E182" s="622"/>
      <c r="F182" s="700"/>
      <c r="G182" s="570"/>
      <c r="H182" s="700"/>
      <c r="I182" s="670">
        <f t="shared" si="47"/>
        <v>0</v>
      </c>
      <c r="J182" s="399"/>
      <c r="K182" s="354"/>
      <c r="L182" s="614"/>
      <c r="M182" s="354"/>
      <c r="N182" s="566"/>
      <c r="O182" s="789"/>
      <c r="P182" s="566"/>
      <c r="Q182" s="685"/>
      <c r="R182" s="566"/>
      <c r="S182" s="726">
        <f t="shared" si="60"/>
        <v>0</v>
      </c>
      <c r="T182" s="727" t="e">
        <f t="shared" si="61"/>
        <v>#DIV/0!</v>
      </c>
    </row>
    <row r="183" spans="1:24" s="148" customFormat="1" ht="38.25" customHeight="1" x14ac:dyDescent="0.25">
      <c r="A183" s="97"/>
      <c r="B183" s="819"/>
      <c r="C183" s="569"/>
      <c r="D183" s="632"/>
      <c r="E183" s="622"/>
      <c r="F183" s="700"/>
      <c r="G183" s="570"/>
      <c r="H183" s="700"/>
      <c r="I183" s="670">
        <f t="shared" si="47"/>
        <v>0</v>
      </c>
      <c r="J183" s="399"/>
      <c r="K183" s="354"/>
      <c r="L183" s="614"/>
      <c r="M183" s="354"/>
      <c r="N183" s="566"/>
      <c r="O183" s="789"/>
      <c r="P183" s="566"/>
      <c r="Q183" s="685"/>
      <c r="R183" s="566"/>
      <c r="S183" s="726">
        <f t="shared" si="60"/>
        <v>0</v>
      </c>
      <c r="T183" s="727" t="e">
        <f t="shared" si="61"/>
        <v>#DIV/0!</v>
      </c>
    </row>
    <row r="184" spans="1:24" s="148" customFormat="1" ht="33" customHeight="1" x14ac:dyDescent="0.25">
      <c r="A184" s="97"/>
      <c r="B184" s="667"/>
      <c r="C184" s="569"/>
      <c r="D184" s="569"/>
      <c r="E184" s="622"/>
      <c r="F184" s="700"/>
      <c r="G184" s="570"/>
      <c r="H184" s="700"/>
      <c r="I184" s="670">
        <f t="shared" si="47"/>
        <v>0</v>
      </c>
      <c r="J184" s="399"/>
      <c r="K184" s="354"/>
      <c r="L184" s="614"/>
      <c r="M184" s="354"/>
      <c r="N184" s="566"/>
      <c r="O184" s="789"/>
      <c r="P184" s="566"/>
      <c r="Q184" s="685"/>
      <c r="R184" s="566"/>
      <c r="S184" s="726">
        <f t="shared" si="60"/>
        <v>0</v>
      </c>
      <c r="T184" s="727" t="e">
        <f t="shared" si="61"/>
        <v>#DIV/0!</v>
      </c>
    </row>
    <row r="185" spans="1:24" s="148" customFormat="1" ht="33.75" customHeight="1" x14ac:dyDescent="0.25">
      <c r="A185" s="97"/>
      <c r="B185" s="667"/>
      <c r="C185" s="569"/>
      <c r="D185" s="632"/>
      <c r="E185" s="622"/>
      <c r="F185" s="700"/>
      <c r="G185" s="570"/>
      <c r="H185" s="700"/>
      <c r="I185" s="670">
        <f t="shared" si="47"/>
        <v>0</v>
      </c>
      <c r="J185" s="399"/>
      <c r="K185" s="354"/>
      <c r="L185" s="614"/>
      <c r="M185" s="354"/>
      <c r="N185" s="566"/>
      <c r="O185" s="789"/>
      <c r="P185" s="566"/>
      <c r="Q185" s="685"/>
      <c r="R185" s="566"/>
      <c r="S185" s="726">
        <f t="shared" si="60"/>
        <v>0</v>
      </c>
      <c r="T185" s="727" t="e">
        <f t="shared" si="61"/>
        <v>#DIV/0!</v>
      </c>
    </row>
    <row r="186" spans="1:24" s="148" customFormat="1" ht="35.25" customHeight="1" x14ac:dyDescent="0.25">
      <c r="A186" s="97"/>
      <c r="B186" s="667"/>
      <c r="C186" s="569"/>
      <c r="D186" s="569"/>
      <c r="E186" s="622"/>
      <c r="F186" s="700"/>
      <c r="G186" s="570"/>
      <c r="H186" s="700"/>
      <c r="I186" s="670">
        <f t="shared" ref="I186:I188" si="62">H186-F186</f>
        <v>0</v>
      </c>
      <c r="J186" s="399"/>
      <c r="K186" s="354"/>
      <c r="L186" s="614"/>
      <c r="M186" s="354"/>
      <c r="N186" s="566"/>
      <c r="O186" s="789"/>
      <c r="P186" s="566"/>
      <c r="Q186" s="685"/>
      <c r="R186" s="566"/>
      <c r="S186" s="726">
        <f t="shared" si="60"/>
        <v>0</v>
      </c>
      <c r="T186" s="727" t="e">
        <f t="shared" si="61"/>
        <v>#DIV/0!</v>
      </c>
    </row>
    <row r="187" spans="1:24" s="148" customFormat="1" ht="30" customHeight="1" x14ac:dyDescent="0.3">
      <c r="A187" s="97"/>
      <c r="B187" s="667"/>
      <c r="C187" s="668"/>
      <c r="D187" s="466"/>
      <c r="E187" s="622"/>
      <c r="F187" s="699"/>
      <c r="G187" s="260"/>
      <c r="H187" s="701"/>
      <c r="I187" s="671">
        <f t="shared" si="62"/>
        <v>0</v>
      </c>
      <c r="J187" s="634"/>
      <c r="K187" s="354"/>
      <c r="L187" s="614"/>
      <c r="M187" s="354"/>
      <c r="N187" s="566"/>
      <c r="O187" s="789"/>
      <c r="P187" s="566"/>
      <c r="Q187" s="685"/>
      <c r="R187" s="566"/>
      <c r="S187" s="726">
        <f t="shared" si="60"/>
        <v>0</v>
      </c>
      <c r="T187" s="727" t="e">
        <f t="shared" si="61"/>
        <v>#DIV/0!</v>
      </c>
    </row>
    <row r="188" spans="1:24" s="148" customFormat="1" ht="33" customHeight="1" x14ac:dyDescent="0.3">
      <c r="A188" s="97"/>
      <c r="B188" s="747"/>
      <c r="C188" s="569"/>
      <c r="D188" s="346"/>
      <c r="E188" s="669"/>
      <c r="F188" s="701"/>
      <c r="G188" s="497"/>
      <c r="H188" s="701"/>
      <c r="I188" s="672">
        <f t="shared" si="62"/>
        <v>0</v>
      </c>
      <c r="J188" s="635"/>
      <c r="K188" s="354"/>
      <c r="L188" s="614"/>
      <c r="M188" s="354"/>
      <c r="N188" s="566"/>
      <c r="O188" s="789"/>
      <c r="P188" s="566"/>
      <c r="Q188" s="685"/>
      <c r="R188" s="566"/>
      <c r="S188" s="726">
        <f t="shared" si="60"/>
        <v>0</v>
      </c>
      <c r="T188" s="727" t="e">
        <f t="shared" si="61"/>
        <v>#DIV/0!</v>
      </c>
    </row>
    <row r="189" spans="1:24" s="148" customFormat="1" ht="32.25" customHeight="1" x14ac:dyDescent="0.25">
      <c r="A189" s="97"/>
      <c r="B189" s="346"/>
      <c r="C189" s="346"/>
      <c r="D189" s="346"/>
      <c r="E189" s="487"/>
      <c r="F189" s="701"/>
      <c r="G189" s="497"/>
      <c r="H189" s="701"/>
      <c r="I189" s="102">
        <f t="shared" ref="I189:I213" si="63">H189-F189</f>
        <v>0</v>
      </c>
      <c r="J189" s="260"/>
      <c r="K189" s="354"/>
      <c r="L189" s="614"/>
      <c r="M189" s="354"/>
      <c r="N189" s="616"/>
      <c r="O189" s="785"/>
      <c r="P189" s="656"/>
      <c r="Q189" s="466"/>
      <c r="R189" s="636"/>
      <c r="S189" s="726">
        <f t="shared" ref="S189:S198" si="64">Q189+M189+K189</f>
        <v>0</v>
      </c>
      <c r="T189" s="727" t="e">
        <f t="shared" ref="T189:T198" si="65">S189/H189</f>
        <v>#DIV/0!</v>
      </c>
    </row>
    <row r="190" spans="1:24" s="148" customFormat="1" ht="19.5" customHeight="1" x14ac:dyDescent="0.25">
      <c r="A190" s="97"/>
      <c r="B190" s="346"/>
      <c r="C190" s="346"/>
      <c r="D190" s="346"/>
      <c r="E190" s="487"/>
      <c r="F190" s="701"/>
      <c r="G190" s="497"/>
      <c r="H190" s="701"/>
      <c r="I190" s="102">
        <f t="shared" si="63"/>
        <v>0</v>
      </c>
      <c r="J190" s="260"/>
      <c r="K190" s="354"/>
      <c r="L190" s="614"/>
      <c r="M190" s="354"/>
      <c r="N190" s="616"/>
      <c r="O190" s="785"/>
      <c r="P190" s="656"/>
      <c r="Q190" s="466"/>
      <c r="R190" s="636"/>
      <c r="S190" s="726">
        <f t="shared" si="64"/>
        <v>0</v>
      </c>
      <c r="T190" s="727" t="e">
        <f t="shared" si="65"/>
        <v>#DIV/0!</v>
      </c>
    </row>
    <row r="191" spans="1:24" s="148" customFormat="1" x14ac:dyDescent="0.25">
      <c r="A191" s="97"/>
      <c r="B191" s="370"/>
      <c r="C191" s="72"/>
      <c r="D191" s="152"/>
      <c r="E191" s="145"/>
      <c r="F191" s="702"/>
      <c r="G191" s="97"/>
      <c r="H191" s="706"/>
      <c r="I191" s="102">
        <f t="shared" si="63"/>
        <v>0</v>
      </c>
      <c r="J191" s="170"/>
      <c r="K191" s="211"/>
      <c r="L191" s="522"/>
      <c r="M191" s="210"/>
      <c r="N191" s="606"/>
      <c r="O191" s="782"/>
      <c r="P191" s="657"/>
      <c r="Q191" s="467"/>
      <c r="R191" s="528"/>
      <c r="S191" s="726">
        <f t="shared" si="64"/>
        <v>0</v>
      </c>
      <c r="T191" s="727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702"/>
      <c r="G192" s="97"/>
      <c r="H192" s="706"/>
      <c r="I192" s="102">
        <f t="shared" si="63"/>
        <v>0</v>
      </c>
      <c r="J192" s="170"/>
      <c r="K192" s="211"/>
      <c r="L192" s="522"/>
      <c r="M192" s="210"/>
      <c r="N192" s="606"/>
      <c r="O192" s="782"/>
      <c r="P192" s="657"/>
      <c r="Q192" s="467"/>
      <c r="R192" s="528"/>
      <c r="S192" s="726">
        <f t="shared" si="64"/>
        <v>0</v>
      </c>
      <c r="T192" s="727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702"/>
      <c r="G193" s="97"/>
      <c r="H193" s="706"/>
      <c r="I193" s="102">
        <f t="shared" si="63"/>
        <v>0</v>
      </c>
      <c r="J193" s="170"/>
      <c r="K193" s="211"/>
      <c r="L193" s="522"/>
      <c r="M193" s="210"/>
      <c r="N193" s="606"/>
      <c r="O193" s="782"/>
      <c r="P193" s="657"/>
      <c r="Q193" s="467"/>
      <c r="R193" s="528"/>
      <c r="S193" s="726">
        <f t="shared" si="64"/>
        <v>0</v>
      </c>
      <c r="T193" s="727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702"/>
      <c r="G194" s="97"/>
      <c r="H194" s="706"/>
      <c r="I194" s="102">
        <f t="shared" si="63"/>
        <v>0</v>
      </c>
      <c r="J194" s="170"/>
      <c r="K194" s="211"/>
      <c r="L194" s="522"/>
      <c r="M194" s="210"/>
      <c r="N194" s="606"/>
      <c r="O194" s="782"/>
      <c r="P194" s="657"/>
      <c r="Q194" s="467"/>
      <c r="R194" s="528"/>
      <c r="S194" s="726">
        <f t="shared" si="64"/>
        <v>0</v>
      </c>
      <c r="T194" s="727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702"/>
      <c r="G195" s="97"/>
      <c r="H195" s="706"/>
      <c r="I195" s="102">
        <f t="shared" si="63"/>
        <v>0</v>
      </c>
      <c r="J195" s="170"/>
      <c r="K195" s="211"/>
      <c r="L195" s="522"/>
      <c r="M195" s="210"/>
      <c r="N195" s="606"/>
      <c r="O195" s="782"/>
      <c r="P195" s="657"/>
      <c r="Q195" s="467"/>
      <c r="R195" s="528"/>
      <c r="S195" s="726">
        <f t="shared" si="64"/>
        <v>0</v>
      </c>
      <c r="T195" s="727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702"/>
      <c r="G196" s="97"/>
      <c r="H196" s="706"/>
      <c r="I196" s="102">
        <f t="shared" si="63"/>
        <v>0</v>
      </c>
      <c r="J196" s="170"/>
      <c r="K196" s="211"/>
      <c r="L196" s="522"/>
      <c r="M196" s="210"/>
      <c r="N196" s="606"/>
      <c r="O196" s="782"/>
      <c r="P196" s="657"/>
      <c r="Q196" s="467"/>
      <c r="R196" s="528"/>
      <c r="S196" s="726">
        <f t="shared" si="64"/>
        <v>0</v>
      </c>
      <c r="T196" s="727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702"/>
      <c r="G197" s="97"/>
      <c r="H197" s="706"/>
      <c r="I197" s="102">
        <f t="shared" si="63"/>
        <v>0</v>
      </c>
      <c r="J197" s="170"/>
      <c r="K197" s="211"/>
      <c r="L197" s="522"/>
      <c r="M197" s="210"/>
      <c r="N197" s="606"/>
      <c r="O197" s="782"/>
      <c r="P197" s="657"/>
      <c r="Q197" s="467"/>
      <c r="R197" s="528"/>
      <c r="S197" s="726">
        <f t="shared" si="64"/>
        <v>0</v>
      </c>
      <c r="T197" s="727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702"/>
      <c r="G198" s="97"/>
      <c r="H198" s="706"/>
      <c r="I198" s="102">
        <f t="shared" si="63"/>
        <v>0</v>
      </c>
      <c r="J198" s="170"/>
      <c r="K198" s="211"/>
      <c r="L198" s="522"/>
      <c r="M198" s="210"/>
      <c r="N198" s="607"/>
      <c r="O198" s="782"/>
      <c r="P198" s="657"/>
      <c r="Q198" s="468"/>
      <c r="R198" s="529"/>
      <c r="S198" s="726">
        <f t="shared" si="64"/>
        <v>0</v>
      </c>
      <c r="T198" s="727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702"/>
      <c r="G199" s="97"/>
      <c r="H199" s="706"/>
      <c r="I199" s="102">
        <f t="shared" si="63"/>
        <v>0</v>
      </c>
      <c r="J199" s="170"/>
      <c r="K199" s="211"/>
      <c r="L199" s="522"/>
      <c r="M199" s="210"/>
      <c r="N199" s="607"/>
      <c r="O199" s="782"/>
      <c r="P199" s="657"/>
      <c r="Q199" s="468"/>
      <c r="R199" s="529"/>
      <c r="S199" s="726"/>
      <c r="T199" s="726"/>
    </row>
    <row r="200" spans="1:20" s="148" customFormat="1" x14ac:dyDescent="0.25">
      <c r="A200" s="97"/>
      <c r="B200" s="74"/>
      <c r="C200" s="72"/>
      <c r="D200" s="152"/>
      <c r="E200" s="145"/>
      <c r="F200" s="702"/>
      <c r="G200" s="97"/>
      <c r="H200" s="706"/>
      <c r="I200" s="102">
        <f t="shared" si="63"/>
        <v>0</v>
      </c>
      <c r="J200" s="170"/>
      <c r="K200" s="211"/>
      <c r="L200" s="522"/>
      <c r="M200" s="210"/>
      <c r="N200" s="607"/>
      <c r="O200" s="782"/>
      <c r="P200" s="657"/>
      <c r="Q200" s="468"/>
      <c r="R200" s="529"/>
      <c r="S200" s="726"/>
      <c r="T200" s="726"/>
    </row>
    <row r="201" spans="1:20" s="148" customFormat="1" ht="16.5" thickBot="1" x14ac:dyDescent="0.3">
      <c r="A201" s="97"/>
      <c r="B201" s="74"/>
      <c r="C201" s="142"/>
      <c r="D201" s="142"/>
      <c r="E201" s="130"/>
      <c r="F201" s="691"/>
      <c r="G201" s="97"/>
      <c r="H201" s="706"/>
      <c r="I201" s="102">
        <f t="shared" si="63"/>
        <v>0</v>
      </c>
      <c r="J201" s="170"/>
      <c r="K201" s="105"/>
      <c r="L201" s="522"/>
      <c r="M201" s="70"/>
      <c r="N201" s="607"/>
      <c r="O201" s="782"/>
      <c r="P201" s="368"/>
      <c r="Q201" s="469"/>
      <c r="R201" s="530"/>
      <c r="S201" s="726">
        <f t="shared" ref="S201:S206" si="66">Q201+M201+K201</f>
        <v>0</v>
      </c>
      <c r="T201" s="726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691"/>
      <c r="G202" s="97"/>
      <c r="H202" s="706"/>
      <c r="I202" s="102">
        <f t="shared" si="63"/>
        <v>0</v>
      </c>
      <c r="J202" s="170"/>
      <c r="K202" s="105"/>
      <c r="L202" s="522"/>
      <c r="M202" s="70"/>
      <c r="N202" s="607"/>
      <c r="O202" s="782"/>
      <c r="P202" s="368"/>
      <c r="Q202" s="470"/>
      <c r="R202" s="531"/>
      <c r="S202" s="726">
        <f t="shared" si="66"/>
        <v>0</v>
      </c>
      <c r="T202" s="726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691"/>
      <c r="G203" s="97"/>
      <c r="H203" s="706"/>
      <c r="I203" s="102">
        <f t="shared" si="63"/>
        <v>0</v>
      </c>
      <c r="J203" s="170"/>
      <c r="K203" s="105"/>
      <c r="L203" s="522"/>
      <c r="M203" s="70"/>
      <c r="N203" s="607"/>
      <c r="O203" s="782"/>
      <c r="P203" s="368"/>
      <c r="Q203" s="470"/>
      <c r="R203" s="531"/>
      <c r="S203" s="726">
        <f t="shared" si="66"/>
        <v>0</v>
      </c>
      <c r="T203" s="726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691"/>
      <c r="G204" s="97"/>
      <c r="H204" s="706"/>
      <c r="I204" s="102">
        <f t="shared" si="63"/>
        <v>0</v>
      </c>
      <c r="J204" s="170"/>
      <c r="K204" s="105"/>
      <c r="L204" s="522"/>
      <c r="M204" s="70"/>
      <c r="N204" s="607"/>
      <c r="O204" s="782"/>
      <c r="P204" s="368"/>
      <c r="Q204" s="470"/>
      <c r="R204" s="532"/>
      <c r="S204" s="726">
        <f t="shared" si="66"/>
        <v>0</v>
      </c>
      <c r="T204" s="726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691"/>
      <c r="G205" s="97"/>
      <c r="H205" s="706"/>
      <c r="I205" s="102">
        <f t="shared" si="63"/>
        <v>0</v>
      </c>
      <c r="J205" s="170"/>
      <c r="K205" s="105"/>
      <c r="L205" s="522"/>
      <c r="M205" s="70"/>
      <c r="N205" s="607"/>
      <c r="O205" s="782"/>
      <c r="P205" s="368"/>
      <c r="Q205" s="470"/>
      <c r="R205" s="532"/>
      <c r="S205" s="726">
        <f t="shared" si="66"/>
        <v>0</v>
      </c>
      <c r="T205" s="726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691"/>
      <c r="G206" s="97"/>
      <c r="H206" s="706"/>
      <c r="I206" s="102">
        <f t="shared" si="63"/>
        <v>0</v>
      </c>
      <c r="J206" s="170"/>
      <c r="K206" s="105"/>
      <c r="L206" s="522"/>
      <c r="M206" s="70"/>
      <c r="N206" s="607"/>
      <c r="O206" s="782"/>
      <c r="P206" s="368"/>
      <c r="Q206" s="358"/>
      <c r="R206" s="533"/>
      <c r="S206" s="726">
        <f t="shared" si="66"/>
        <v>0</v>
      </c>
      <c r="T206" s="726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691"/>
      <c r="G207" s="97"/>
      <c r="H207" s="706"/>
      <c r="I207" s="102">
        <f t="shared" si="63"/>
        <v>0</v>
      </c>
      <c r="J207" s="170"/>
      <c r="K207" s="105"/>
      <c r="L207" s="522"/>
      <c r="M207" s="70"/>
      <c r="N207" s="607"/>
      <c r="O207" s="782"/>
      <c r="P207" s="368"/>
      <c r="Q207" s="358"/>
      <c r="R207" s="533"/>
      <c r="S207" s="726">
        <f t="shared" ref="S207:S212" si="68">Q207+M207+K207</f>
        <v>0</v>
      </c>
      <c r="T207" s="726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691"/>
      <c r="G208" s="97"/>
      <c r="H208" s="706"/>
      <c r="I208" s="102">
        <f t="shared" si="63"/>
        <v>0</v>
      </c>
      <c r="J208" s="170"/>
      <c r="K208" s="105"/>
      <c r="L208" s="522"/>
      <c r="M208" s="70"/>
      <c r="N208" s="607"/>
      <c r="O208" s="782"/>
      <c r="P208" s="368"/>
      <c r="Q208" s="358"/>
      <c r="R208" s="533"/>
      <c r="S208" s="726">
        <f t="shared" si="68"/>
        <v>0</v>
      </c>
      <c r="T208" s="726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691"/>
      <c r="G209" s="97"/>
      <c r="H209" s="706"/>
      <c r="I209" s="102">
        <f t="shared" si="63"/>
        <v>0</v>
      </c>
      <c r="J209" s="170"/>
      <c r="K209" s="105"/>
      <c r="L209" s="522"/>
      <c r="M209" s="70"/>
      <c r="N209" s="607"/>
      <c r="O209" s="782"/>
      <c r="P209" s="368"/>
      <c r="Q209" s="358"/>
      <c r="R209" s="533"/>
      <c r="S209" s="726">
        <f t="shared" si="68"/>
        <v>0</v>
      </c>
      <c r="T209" s="726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691"/>
      <c r="G210" s="97"/>
      <c r="H210" s="706"/>
      <c r="I210" s="102">
        <f t="shared" si="63"/>
        <v>0</v>
      </c>
      <c r="J210" s="170"/>
      <c r="K210" s="105"/>
      <c r="L210" s="522"/>
      <c r="M210" s="70"/>
      <c r="N210" s="607"/>
      <c r="O210" s="782"/>
      <c r="P210" s="368"/>
      <c r="Q210" s="358"/>
      <c r="R210" s="533"/>
      <c r="S210" s="726">
        <f t="shared" si="68"/>
        <v>0</v>
      </c>
      <c r="T210" s="726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691"/>
      <c r="G211" s="97"/>
      <c r="H211" s="706"/>
      <c r="I211" s="102">
        <f t="shared" si="63"/>
        <v>0</v>
      </c>
      <c r="J211" s="170"/>
      <c r="K211" s="105"/>
      <c r="L211" s="522"/>
      <c r="M211" s="70"/>
      <c r="N211" s="607"/>
      <c r="O211" s="782"/>
      <c r="P211" s="368"/>
      <c r="Q211" s="471"/>
      <c r="R211" s="530"/>
      <c r="S211" s="726">
        <f t="shared" si="68"/>
        <v>0</v>
      </c>
      <c r="T211" s="726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691"/>
      <c r="G212" s="97"/>
      <c r="H212" s="706"/>
      <c r="I212" s="102">
        <f t="shared" si="63"/>
        <v>0</v>
      </c>
      <c r="J212" s="170"/>
      <c r="K212" s="105"/>
      <c r="L212" s="522"/>
      <c r="M212" s="70"/>
      <c r="N212" s="607"/>
      <c r="O212" s="782"/>
      <c r="P212" s="368"/>
      <c r="Q212" s="471"/>
      <c r="R212" s="534"/>
      <c r="S212" s="726">
        <f t="shared" si="68"/>
        <v>0</v>
      </c>
      <c r="T212" s="726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7"/>
      <c r="F213" s="691"/>
      <c r="G213" s="97"/>
      <c r="H213" s="706"/>
      <c r="I213" s="102">
        <f t="shared" si="63"/>
        <v>0</v>
      </c>
      <c r="J213" s="125"/>
      <c r="K213" s="157"/>
      <c r="L213" s="523"/>
      <c r="M213" s="70"/>
      <c r="N213" s="608"/>
      <c r="O213" s="782"/>
      <c r="P213" s="368"/>
      <c r="Q213" s="358"/>
      <c r="R213" s="535"/>
      <c r="S213" s="726">
        <f>Q213+M213+K213</f>
        <v>0</v>
      </c>
      <c r="T213" s="726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703" t="s">
        <v>31</v>
      </c>
      <c r="G214" s="71">
        <f>SUM(G5:G213)</f>
        <v>3791</v>
      </c>
      <c r="H214" s="711">
        <f>SUM(H3:H213)</f>
        <v>716267.23900000006</v>
      </c>
      <c r="I214" s="421">
        <f>PIERNA!I37</f>
        <v>0</v>
      </c>
      <c r="J214" s="46"/>
      <c r="K214" s="159">
        <f>SUM(K5:K213)</f>
        <v>302650</v>
      </c>
      <c r="L214" s="524"/>
      <c r="M214" s="159">
        <f>SUM(M5:M213)</f>
        <v>900160</v>
      </c>
      <c r="N214" s="609"/>
      <c r="O214" s="790"/>
      <c r="P214" s="658"/>
      <c r="Q214" s="472">
        <f>SUM(Q5:Q213)</f>
        <v>25519310.289820004</v>
      </c>
      <c r="R214" s="536"/>
      <c r="S214" s="728">
        <f>Q214+M214+K214</f>
        <v>26722120.289820004</v>
      </c>
      <c r="T214" s="726"/>
    </row>
    <row r="215" spans="1:20" s="148" customFormat="1" ht="16.5" thickTop="1" x14ac:dyDescent="0.25">
      <c r="B215" s="74"/>
      <c r="C215" s="74"/>
      <c r="D215" s="97"/>
      <c r="E215" s="130"/>
      <c r="F215" s="696"/>
      <c r="G215" s="97"/>
      <c r="H215" s="696"/>
      <c r="I215" s="74"/>
      <c r="J215" s="125"/>
      <c r="L215" s="525"/>
      <c r="N215" s="610"/>
      <c r="O215" s="780"/>
      <c r="P215" s="368"/>
      <c r="Q215" s="358"/>
      <c r="R215" s="432" t="s">
        <v>42</v>
      </c>
      <c r="S215" s="398"/>
      <c r="T215" s="398"/>
    </row>
  </sheetData>
  <sortState ref="A101:AC105">
    <sortCondition ref="E99:E100"/>
  </sortState>
  <mergeCells count="70">
    <mergeCell ref="M130:M132"/>
    <mergeCell ref="E151:E156"/>
    <mergeCell ref="J157:J160"/>
    <mergeCell ref="K157:K160"/>
    <mergeCell ref="L157:L160"/>
    <mergeCell ref="B157:B160"/>
    <mergeCell ref="E157:E160"/>
    <mergeCell ref="O157:O160"/>
    <mergeCell ref="J145:J148"/>
    <mergeCell ref="K145:K148"/>
    <mergeCell ref="L145:L148"/>
    <mergeCell ref="O151:O156"/>
    <mergeCell ref="B145:B148"/>
    <mergeCell ref="E145:E148"/>
    <mergeCell ref="B141:B143"/>
    <mergeCell ref="E141:E143"/>
    <mergeCell ref="B151:B156"/>
    <mergeCell ref="O145:O148"/>
    <mergeCell ref="O141:O143"/>
    <mergeCell ref="Q1:Q2"/>
    <mergeCell ref="K1:K2"/>
    <mergeCell ref="M1:M2"/>
    <mergeCell ref="P124:P125"/>
    <mergeCell ref="B114:B117"/>
    <mergeCell ref="E114:E117"/>
    <mergeCell ref="O114:O117"/>
    <mergeCell ref="O122:O123"/>
    <mergeCell ref="O102:O104"/>
    <mergeCell ref="B105:B108"/>
    <mergeCell ref="E105:E108"/>
    <mergeCell ref="O105:O108"/>
    <mergeCell ref="K114:K117"/>
    <mergeCell ref="L114:L117"/>
    <mergeCell ref="J114:J117"/>
    <mergeCell ref="B102:B104"/>
    <mergeCell ref="E102:E104"/>
    <mergeCell ref="R130:R132"/>
    <mergeCell ref="O133:O138"/>
    <mergeCell ref="R133:R138"/>
    <mergeCell ref="K130:K132"/>
    <mergeCell ref="L130:L132"/>
    <mergeCell ref="E120:E121"/>
    <mergeCell ref="M122:N122"/>
    <mergeCell ref="O120:O121"/>
    <mergeCell ref="P114:P117"/>
    <mergeCell ref="P105:P108"/>
    <mergeCell ref="E124:E125"/>
    <mergeCell ref="J130:J132"/>
    <mergeCell ref="O130:O132"/>
    <mergeCell ref="R124:R125"/>
    <mergeCell ref="N130:N132"/>
    <mergeCell ref="B120:B121"/>
    <mergeCell ref="B133:B139"/>
    <mergeCell ref="E133:E139"/>
    <mergeCell ref="B122:B123"/>
    <mergeCell ref="E122:E123"/>
    <mergeCell ref="B130:B132"/>
    <mergeCell ref="E130:E132"/>
    <mergeCell ref="B124:B125"/>
    <mergeCell ref="B128:B129"/>
    <mergeCell ref="E128:E129"/>
    <mergeCell ref="P157:P160"/>
    <mergeCell ref="R158:R160"/>
    <mergeCell ref="R105:R108"/>
    <mergeCell ref="R102:R104"/>
    <mergeCell ref="R114:R117"/>
    <mergeCell ref="R141:R143"/>
    <mergeCell ref="R145:R148"/>
    <mergeCell ref="R120:R121"/>
    <mergeCell ref="R151:R15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7"/>
      <c r="D4" s="130"/>
      <c r="E4" s="58"/>
      <c r="F4" s="61"/>
      <c r="G4" s="151"/>
      <c r="H4" s="151"/>
    </row>
    <row r="5" spans="1:9" ht="15.75" customHeight="1" x14ac:dyDescent="0.25">
      <c r="A5" s="213"/>
      <c r="B5" s="1604"/>
      <c r="C5" s="501"/>
      <c r="D5" s="218"/>
      <c r="E5" s="77"/>
      <c r="F5" s="61"/>
      <c r="G5" s="5"/>
    </row>
    <row r="6" spans="1:9" x14ac:dyDescent="0.25">
      <c r="A6" s="213"/>
      <c r="B6" s="1604"/>
      <c r="C6" s="357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7"/>
      <c r="D7" s="130"/>
      <c r="E7" s="44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2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2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2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2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2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2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2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2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2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2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2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2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2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2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2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2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2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2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2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2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2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2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2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2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2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2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2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2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2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2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95" t="s">
        <v>11</v>
      </c>
      <c r="D47" s="1596"/>
      <c r="E47" s="56">
        <f>E5+E6-F42+E7</f>
        <v>0</v>
      </c>
      <c r="F47" s="72"/>
    </row>
    <row r="50" spans="1:7" x14ac:dyDescent="0.25">
      <c r="A50" s="213"/>
      <c r="B50" s="1598"/>
      <c r="C50" s="435"/>
      <c r="D50" s="218"/>
      <c r="E50" s="77"/>
      <c r="F50" s="61"/>
      <c r="G50" s="5"/>
    </row>
    <row r="51" spans="1:7" x14ac:dyDescent="0.25">
      <c r="A51" s="213"/>
      <c r="B51" s="1598"/>
      <c r="C51" s="357"/>
      <c r="D51" s="130"/>
      <c r="E51" s="197"/>
      <c r="F51" s="61"/>
      <c r="G51" s="47"/>
    </row>
    <row r="52" spans="1:7" x14ac:dyDescent="0.25">
      <c r="B52" s="19"/>
      <c r="C52" s="435"/>
      <c r="D52" s="130"/>
      <c r="E52" s="44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 t="s">
        <v>318</v>
      </c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605" t="s">
        <v>101</v>
      </c>
      <c r="B5" s="12"/>
      <c r="C5" s="501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605"/>
      <c r="B6" s="1606" t="s">
        <v>77</v>
      </c>
      <c r="C6" s="441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605"/>
      <c r="B7" s="1606"/>
      <c r="C7" s="501"/>
      <c r="D7" s="130"/>
      <c r="E7" s="58"/>
      <c r="F7" s="61"/>
      <c r="G7" s="47">
        <f>F79</f>
        <v>1426.8700000000001</v>
      </c>
      <c r="H7" s="7">
        <f>E7-G7+E8+E6-G6+E5</f>
        <v>-0.24000000000012278</v>
      </c>
    </row>
    <row r="8" spans="1:9" ht="15.75" thickBot="1" x14ac:dyDescent="0.3">
      <c r="B8" s="19"/>
      <c r="C8" s="435"/>
      <c r="D8" s="130"/>
      <c r="E8" s="440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119</v>
      </c>
      <c r="C10" s="15">
        <v>1</v>
      </c>
      <c r="D10" s="68">
        <v>11.6</v>
      </c>
      <c r="E10" s="191">
        <v>45173</v>
      </c>
      <c r="F10" s="68">
        <f t="shared" ref="F10:F73" si="0">D10</f>
        <v>11.6</v>
      </c>
      <c r="G10" s="69" t="s">
        <v>518</v>
      </c>
      <c r="H10" s="70">
        <v>90</v>
      </c>
      <c r="I10" s="102">
        <f>E7-F10+E6+E8+E5+E4</f>
        <v>1415.03</v>
      </c>
    </row>
    <row r="11" spans="1:9" x14ac:dyDescent="0.25">
      <c r="A11" s="185"/>
      <c r="B11" s="174">
        <f>B10-C11</f>
        <v>118</v>
      </c>
      <c r="C11" s="15">
        <v>1</v>
      </c>
      <c r="D11" s="68">
        <v>12.41</v>
      </c>
      <c r="E11" s="191">
        <v>45174</v>
      </c>
      <c r="F11" s="68">
        <f t="shared" si="0"/>
        <v>12.41</v>
      </c>
      <c r="G11" s="69" t="s">
        <v>528</v>
      </c>
      <c r="H11" s="70">
        <v>90</v>
      </c>
      <c r="I11" s="102">
        <f>I10-F11</f>
        <v>1402.62</v>
      </c>
    </row>
    <row r="12" spans="1:9" x14ac:dyDescent="0.25">
      <c r="A12" s="174"/>
      <c r="B12" s="174">
        <f t="shared" ref="B12:B75" si="1">B11-C12</f>
        <v>103</v>
      </c>
      <c r="C12" s="15">
        <v>15</v>
      </c>
      <c r="D12" s="68">
        <v>175.04</v>
      </c>
      <c r="E12" s="191">
        <v>45174</v>
      </c>
      <c r="F12" s="68">
        <f t="shared" si="0"/>
        <v>175.04</v>
      </c>
      <c r="G12" s="69" t="s">
        <v>519</v>
      </c>
      <c r="H12" s="70">
        <v>90</v>
      </c>
      <c r="I12" s="102">
        <f t="shared" ref="I12:I75" si="2">I11-F12</f>
        <v>1227.58</v>
      </c>
    </row>
    <row r="13" spans="1:9" x14ac:dyDescent="0.25">
      <c r="A13" s="859"/>
      <c r="B13" s="174">
        <f t="shared" si="1"/>
        <v>91</v>
      </c>
      <c r="C13" s="15">
        <v>12</v>
      </c>
      <c r="D13" s="68">
        <v>140.05000000000001</v>
      </c>
      <c r="E13" s="191">
        <v>45176</v>
      </c>
      <c r="F13" s="68">
        <f t="shared" si="0"/>
        <v>140.05000000000001</v>
      </c>
      <c r="G13" s="69" t="s">
        <v>563</v>
      </c>
      <c r="H13" s="70">
        <v>90</v>
      </c>
      <c r="I13" s="102">
        <f t="shared" si="2"/>
        <v>1087.53</v>
      </c>
    </row>
    <row r="14" spans="1:9" x14ac:dyDescent="0.25">
      <c r="A14" s="81" t="s">
        <v>33</v>
      </c>
      <c r="B14" s="174">
        <f t="shared" si="1"/>
        <v>81</v>
      </c>
      <c r="C14" s="15">
        <v>10</v>
      </c>
      <c r="D14" s="68">
        <v>117.73</v>
      </c>
      <c r="E14" s="191">
        <v>45178</v>
      </c>
      <c r="F14" s="68">
        <f t="shared" si="0"/>
        <v>117.73</v>
      </c>
      <c r="G14" s="69" t="s">
        <v>581</v>
      </c>
      <c r="H14" s="70">
        <v>90</v>
      </c>
      <c r="I14" s="102">
        <f t="shared" si="2"/>
        <v>969.8</v>
      </c>
    </row>
    <row r="15" spans="1:9" x14ac:dyDescent="0.25">
      <c r="A15" s="72"/>
      <c r="B15" s="174">
        <f t="shared" si="1"/>
        <v>66</v>
      </c>
      <c r="C15" s="15">
        <v>15</v>
      </c>
      <c r="D15" s="68">
        <v>176.91</v>
      </c>
      <c r="E15" s="191">
        <v>45178</v>
      </c>
      <c r="F15" s="68">
        <f t="shared" si="0"/>
        <v>176.91</v>
      </c>
      <c r="G15" s="69" t="s">
        <v>583</v>
      </c>
      <c r="H15" s="70">
        <v>90</v>
      </c>
      <c r="I15" s="102">
        <f t="shared" si="2"/>
        <v>792.89</v>
      </c>
    </row>
    <row r="16" spans="1:9" ht="15.75" customHeight="1" x14ac:dyDescent="0.25">
      <c r="A16" s="72"/>
      <c r="B16" s="174">
        <f t="shared" si="1"/>
        <v>65</v>
      </c>
      <c r="C16" s="15">
        <v>1</v>
      </c>
      <c r="D16" s="68">
        <v>12.63</v>
      </c>
      <c r="E16" s="191">
        <v>45180</v>
      </c>
      <c r="F16" s="68">
        <f t="shared" si="0"/>
        <v>12.63</v>
      </c>
      <c r="G16" s="69" t="s">
        <v>600</v>
      </c>
      <c r="H16" s="70">
        <v>90</v>
      </c>
      <c r="I16" s="102">
        <f t="shared" si="2"/>
        <v>780.26</v>
      </c>
    </row>
    <row r="17" spans="1:9" ht="15.75" customHeight="1" x14ac:dyDescent="0.25">
      <c r="B17" s="174">
        <f t="shared" si="1"/>
        <v>51</v>
      </c>
      <c r="C17" s="15">
        <v>14</v>
      </c>
      <c r="D17" s="68">
        <v>170.47</v>
      </c>
      <c r="E17" s="191">
        <v>45181</v>
      </c>
      <c r="F17" s="68">
        <f t="shared" si="0"/>
        <v>170.47</v>
      </c>
      <c r="G17" s="69" t="s">
        <v>621</v>
      </c>
      <c r="H17" s="70">
        <v>90</v>
      </c>
      <c r="I17" s="102">
        <f t="shared" si="2"/>
        <v>609.79</v>
      </c>
    </row>
    <row r="18" spans="1:9" x14ac:dyDescent="0.25">
      <c r="B18" s="174">
        <f t="shared" si="1"/>
        <v>50</v>
      </c>
      <c r="C18" s="15">
        <v>1</v>
      </c>
      <c r="D18" s="68">
        <v>13</v>
      </c>
      <c r="E18" s="191">
        <v>45183</v>
      </c>
      <c r="F18" s="68">
        <f t="shared" si="0"/>
        <v>13</v>
      </c>
      <c r="G18" s="69" t="s">
        <v>639</v>
      </c>
      <c r="H18" s="70">
        <v>90</v>
      </c>
      <c r="I18" s="102">
        <f t="shared" si="2"/>
        <v>596.79</v>
      </c>
    </row>
    <row r="19" spans="1:9" x14ac:dyDescent="0.25">
      <c r="A19" s="118"/>
      <c r="B19" s="174">
        <f t="shared" si="1"/>
        <v>40</v>
      </c>
      <c r="C19" s="15">
        <v>10</v>
      </c>
      <c r="D19" s="68">
        <v>123.84</v>
      </c>
      <c r="E19" s="191">
        <v>45187</v>
      </c>
      <c r="F19" s="68">
        <f t="shared" si="0"/>
        <v>123.84</v>
      </c>
      <c r="G19" s="69" t="s">
        <v>669</v>
      </c>
      <c r="H19" s="70">
        <v>90</v>
      </c>
      <c r="I19" s="102">
        <f t="shared" si="2"/>
        <v>472.94999999999993</v>
      </c>
    </row>
    <row r="20" spans="1:9" x14ac:dyDescent="0.25">
      <c r="A20" s="118"/>
      <c r="B20" s="174">
        <f t="shared" si="1"/>
        <v>39</v>
      </c>
      <c r="C20" s="15">
        <v>1</v>
      </c>
      <c r="D20" s="68">
        <v>11.53</v>
      </c>
      <c r="E20" s="191">
        <v>45188</v>
      </c>
      <c r="F20" s="68">
        <f t="shared" si="0"/>
        <v>11.53</v>
      </c>
      <c r="G20" s="69" t="s">
        <v>674</v>
      </c>
      <c r="H20" s="70">
        <v>90</v>
      </c>
      <c r="I20" s="102">
        <f t="shared" si="2"/>
        <v>461.41999999999996</v>
      </c>
    </row>
    <row r="21" spans="1:9" x14ac:dyDescent="0.25">
      <c r="A21" s="118"/>
      <c r="B21" s="174">
        <f t="shared" si="1"/>
        <v>29</v>
      </c>
      <c r="C21" s="15">
        <v>10</v>
      </c>
      <c r="D21" s="68">
        <v>118.14</v>
      </c>
      <c r="E21" s="191">
        <v>45189</v>
      </c>
      <c r="F21" s="68">
        <f t="shared" si="0"/>
        <v>118.14</v>
      </c>
      <c r="G21" s="69" t="s">
        <v>690</v>
      </c>
      <c r="H21" s="70">
        <v>90</v>
      </c>
      <c r="I21" s="102">
        <f t="shared" si="2"/>
        <v>343.28</v>
      </c>
    </row>
    <row r="22" spans="1:9" x14ac:dyDescent="0.25">
      <c r="A22" s="118"/>
      <c r="B22" s="174">
        <f t="shared" si="1"/>
        <v>24</v>
      </c>
      <c r="C22" s="15">
        <v>5</v>
      </c>
      <c r="D22" s="68">
        <v>59.36</v>
      </c>
      <c r="E22" s="191">
        <v>45190</v>
      </c>
      <c r="F22" s="68">
        <f t="shared" si="0"/>
        <v>59.36</v>
      </c>
      <c r="G22" s="69" t="s">
        <v>659</v>
      </c>
      <c r="H22" s="70">
        <v>90</v>
      </c>
      <c r="I22" s="102">
        <f t="shared" si="2"/>
        <v>283.91999999999996</v>
      </c>
    </row>
    <row r="23" spans="1:9" x14ac:dyDescent="0.25">
      <c r="A23" s="118"/>
      <c r="B23" s="174">
        <f t="shared" si="1"/>
        <v>23</v>
      </c>
      <c r="C23" s="15">
        <v>1</v>
      </c>
      <c r="D23" s="68">
        <v>11.97</v>
      </c>
      <c r="E23" s="191">
        <v>45192</v>
      </c>
      <c r="F23" s="68">
        <f t="shared" si="0"/>
        <v>11.97</v>
      </c>
      <c r="G23" s="69" t="s">
        <v>706</v>
      </c>
      <c r="H23" s="70">
        <v>90</v>
      </c>
      <c r="I23" s="102">
        <f t="shared" si="2"/>
        <v>271.94999999999993</v>
      </c>
    </row>
    <row r="24" spans="1:9" x14ac:dyDescent="0.25">
      <c r="A24" s="119"/>
      <c r="B24" s="174">
        <f t="shared" si="1"/>
        <v>18</v>
      </c>
      <c r="C24" s="15">
        <v>5</v>
      </c>
      <c r="D24" s="68">
        <v>58.47</v>
      </c>
      <c r="E24" s="191">
        <v>45192</v>
      </c>
      <c r="F24" s="68">
        <f t="shared" si="0"/>
        <v>58.47</v>
      </c>
      <c r="G24" s="69" t="s">
        <v>713</v>
      </c>
      <c r="H24" s="70">
        <v>90</v>
      </c>
      <c r="I24" s="102">
        <f t="shared" si="2"/>
        <v>213.47999999999993</v>
      </c>
    </row>
    <row r="25" spans="1:9" x14ac:dyDescent="0.25">
      <c r="A25" s="118"/>
      <c r="B25" s="174">
        <f t="shared" si="1"/>
        <v>17</v>
      </c>
      <c r="C25" s="15">
        <v>1</v>
      </c>
      <c r="D25" s="68">
        <v>11.58</v>
      </c>
      <c r="E25" s="191">
        <v>45192</v>
      </c>
      <c r="F25" s="68">
        <f t="shared" si="0"/>
        <v>11.58</v>
      </c>
      <c r="G25" s="69" t="s">
        <v>714</v>
      </c>
      <c r="H25" s="70">
        <v>90</v>
      </c>
      <c r="I25" s="102">
        <f t="shared" si="2"/>
        <v>201.89999999999992</v>
      </c>
    </row>
    <row r="26" spans="1:9" x14ac:dyDescent="0.25">
      <c r="A26" s="118"/>
      <c r="B26" s="174">
        <f t="shared" si="1"/>
        <v>7</v>
      </c>
      <c r="C26" s="15">
        <v>10</v>
      </c>
      <c r="D26" s="68">
        <v>118.25</v>
      </c>
      <c r="E26" s="191">
        <v>45196</v>
      </c>
      <c r="F26" s="68">
        <f t="shared" si="0"/>
        <v>118.25</v>
      </c>
      <c r="G26" s="69" t="s">
        <v>738</v>
      </c>
      <c r="H26" s="70">
        <v>90</v>
      </c>
      <c r="I26" s="102">
        <f t="shared" si="2"/>
        <v>83.64999999999992</v>
      </c>
    </row>
    <row r="27" spans="1:9" x14ac:dyDescent="0.25">
      <c r="A27" s="118"/>
      <c r="B27" s="174">
        <f t="shared" si="1"/>
        <v>0</v>
      </c>
      <c r="C27" s="15">
        <v>7</v>
      </c>
      <c r="D27" s="68">
        <v>83.89</v>
      </c>
      <c r="E27" s="191">
        <v>45196</v>
      </c>
      <c r="F27" s="68">
        <f t="shared" si="0"/>
        <v>83.89</v>
      </c>
      <c r="G27" s="69" t="s">
        <v>739</v>
      </c>
      <c r="H27" s="70">
        <v>90</v>
      </c>
      <c r="I27" s="102">
        <f t="shared" si="2"/>
        <v>-0.24000000000008015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-0.24000000000008015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2"/>
        <v>-0.24000000000008015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1269">
        <f t="shared" si="0"/>
        <v>0</v>
      </c>
      <c r="G30" s="1270"/>
      <c r="H30" s="1261"/>
      <c r="I30" s="1262">
        <f t="shared" si="2"/>
        <v>-0.24000000000008015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1269">
        <f t="shared" si="0"/>
        <v>0</v>
      </c>
      <c r="G31" s="1270"/>
      <c r="H31" s="1261"/>
      <c r="I31" s="1262">
        <f t="shared" si="2"/>
        <v>-0.24000000000008015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1269">
        <f t="shared" si="0"/>
        <v>0</v>
      </c>
      <c r="G32" s="1270"/>
      <c r="H32" s="1261"/>
      <c r="I32" s="1262">
        <f t="shared" si="2"/>
        <v>-0.24000000000008015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1269">
        <f t="shared" si="0"/>
        <v>0</v>
      </c>
      <c r="G33" s="1270"/>
      <c r="H33" s="1261"/>
      <c r="I33" s="1262">
        <f t="shared" si="2"/>
        <v>-0.24000000000008015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1269">
        <f t="shared" si="0"/>
        <v>0</v>
      </c>
      <c r="G34" s="1270"/>
      <c r="H34" s="1261"/>
      <c r="I34" s="1262">
        <f t="shared" si="2"/>
        <v>-0.24000000000008015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2"/>
        <v>-0.24000000000008015</v>
      </c>
    </row>
    <row r="36" spans="1:9" x14ac:dyDescent="0.25">
      <c r="A36" s="118"/>
      <c r="B36" s="174">
        <f t="shared" si="1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2"/>
        <v>-0.24000000000008015</v>
      </c>
    </row>
    <row r="37" spans="1:9" x14ac:dyDescent="0.25">
      <c r="A37" s="118" t="s">
        <v>22</v>
      </c>
      <c r="B37" s="174">
        <f t="shared" si="1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2"/>
        <v>-0.24000000000008015</v>
      </c>
    </row>
    <row r="38" spans="1:9" x14ac:dyDescent="0.25">
      <c r="A38" s="119"/>
      <c r="B38" s="174">
        <f t="shared" si="1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2"/>
        <v>-0.24000000000008015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-0.24000000000008015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-0.24000000000008015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-0.24000000000008015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-0.24000000000008015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-0.24000000000008015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-0.24000000000008015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-0.24000000000008015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-0.24000000000008015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-0.24000000000008015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-0.24000000000008015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-0.24000000000008015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-0.24000000000008015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-0.24000000000008015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-0.24000000000008015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-0.24000000000008015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-0.24000000000008015</v>
      </c>
    </row>
    <row r="55" spans="1:9" x14ac:dyDescent="0.25">
      <c r="A55" s="118"/>
      <c r="B55" s="174">
        <f t="shared" si="1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-0.24000000000008015</v>
      </c>
    </row>
    <row r="56" spans="1:9" x14ac:dyDescent="0.25">
      <c r="A56" s="118"/>
      <c r="B56" s="174">
        <f t="shared" si="1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-0.24000000000008015</v>
      </c>
    </row>
    <row r="57" spans="1:9" x14ac:dyDescent="0.25">
      <c r="A57" s="118"/>
      <c r="B57" s="174">
        <f t="shared" si="1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-0.24000000000008015</v>
      </c>
    </row>
    <row r="58" spans="1:9" x14ac:dyDescent="0.25">
      <c r="A58" s="118"/>
      <c r="B58" s="174">
        <f t="shared" si="1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-0.24000000000008015</v>
      </c>
    </row>
    <row r="59" spans="1:9" x14ac:dyDescent="0.25">
      <c r="A59" s="118"/>
      <c r="B59" s="174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-0.24000000000008015</v>
      </c>
    </row>
    <row r="60" spans="1:9" x14ac:dyDescent="0.25">
      <c r="A60" s="118"/>
      <c r="B60" s="174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-0.24000000000008015</v>
      </c>
    </row>
    <row r="61" spans="1:9" x14ac:dyDescent="0.25">
      <c r="A61" s="118"/>
      <c r="B61" s="174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-0.24000000000008015</v>
      </c>
    </row>
    <row r="62" spans="1:9" x14ac:dyDescent="0.25">
      <c r="A62" s="118"/>
      <c r="B62" s="174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-0.24000000000008015</v>
      </c>
    </row>
    <row r="63" spans="1:9" x14ac:dyDescent="0.25">
      <c r="A63" s="118"/>
      <c r="B63" s="174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-0.24000000000008015</v>
      </c>
    </row>
    <row r="64" spans="1:9" x14ac:dyDescent="0.25">
      <c r="A64" s="118"/>
      <c r="B64" s="174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-0.24000000000008015</v>
      </c>
    </row>
    <row r="65" spans="1:9" x14ac:dyDescent="0.25">
      <c r="A65" s="118"/>
      <c r="B65" s="174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-0.24000000000008015</v>
      </c>
    </row>
    <row r="66" spans="1:9" x14ac:dyDescent="0.25">
      <c r="A66" s="118"/>
      <c r="B66" s="174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-0.24000000000008015</v>
      </c>
    </row>
    <row r="67" spans="1:9" x14ac:dyDescent="0.25">
      <c r="A67" s="118"/>
      <c r="B67" s="174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-0.24000000000008015</v>
      </c>
    </row>
    <row r="68" spans="1:9" x14ac:dyDescent="0.25">
      <c r="A68" s="118"/>
      <c r="B68" s="174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-0.24000000000008015</v>
      </c>
    </row>
    <row r="69" spans="1:9" x14ac:dyDescent="0.25">
      <c r="A69" s="118"/>
      <c r="B69" s="174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-0.24000000000008015</v>
      </c>
    </row>
    <row r="70" spans="1:9" x14ac:dyDescent="0.25">
      <c r="A70" s="118"/>
      <c r="B70" s="174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-0.24000000000008015</v>
      </c>
    </row>
    <row r="71" spans="1:9" x14ac:dyDescent="0.25">
      <c r="A71" s="118"/>
      <c r="B71" s="174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-0.24000000000008015</v>
      </c>
    </row>
    <row r="72" spans="1:9" x14ac:dyDescent="0.25">
      <c r="A72" s="118"/>
      <c r="B72" s="174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-0.24000000000008015</v>
      </c>
    </row>
    <row r="73" spans="1:9" x14ac:dyDescent="0.25">
      <c r="A73" s="118"/>
      <c r="B73" s="174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-0.24000000000008015</v>
      </c>
    </row>
    <row r="74" spans="1:9" x14ac:dyDescent="0.25">
      <c r="A74" s="118"/>
      <c r="B74" s="174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-0.24000000000008015</v>
      </c>
    </row>
    <row r="75" spans="1:9" x14ac:dyDescent="0.25">
      <c r="A75" s="118"/>
      <c r="B75" s="174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-0.24000000000008015</v>
      </c>
    </row>
    <row r="76" spans="1:9" x14ac:dyDescent="0.25">
      <c r="A76" s="118"/>
      <c r="B76" s="174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-0.24000000000008015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-0.24000000000008015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120</v>
      </c>
      <c r="D79" s="6">
        <f>SUM(D10:D78)</f>
        <v>1426.8700000000001</v>
      </c>
      <c r="F79" s="6">
        <f>SUM(F10:F78)</f>
        <v>1426.8700000000001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-78</v>
      </c>
    </row>
    <row r="83" spans="3:6" ht="15.75" thickBot="1" x14ac:dyDescent="0.3"/>
    <row r="84" spans="3:6" ht="15.75" thickBot="1" x14ac:dyDescent="0.3">
      <c r="C84" s="1595" t="s">
        <v>11</v>
      </c>
      <c r="D84" s="1596"/>
      <c r="E84" s="56">
        <f>E6+E7-F79+E8</f>
        <v>-930.36000000000013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22" activePane="bottomLeft" state="frozen"/>
      <selection pane="bottomLeft" activeCell="M32" sqref="M3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0" max="10" width="12.42578125" style="74" bestFit="1" customWidth="1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07" t="s">
        <v>306</v>
      </c>
      <c r="B1" s="1607"/>
      <c r="C1" s="1607"/>
      <c r="D1" s="1607"/>
      <c r="E1" s="1607"/>
      <c r="F1" s="1607"/>
      <c r="G1" s="1607"/>
      <c r="H1" s="11">
        <v>1</v>
      </c>
      <c r="L1" s="1593" t="s">
        <v>331</v>
      </c>
      <c r="M1" s="1593"/>
      <c r="N1" s="1593"/>
      <c r="O1" s="1593"/>
      <c r="P1" s="1593"/>
      <c r="Q1" s="1593"/>
      <c r="R1" s="159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7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4"/>
      <c r="B4" s="1608" t="s">
        <v>67</v>
      </c>
      <c r="C4" s="230"/>
      <c r="D4" s="130"/>
      <c r="E4" s="429">
        <v>369.53</v>
      </c>
      <c r="F4" s="72">
        <v>12</v>
      </c>
      <c r="G4" s="151"/>
      <c r="H4" s="151"/>
      <c r="L4" s="404"/>
      <c r="M4" s="1608" t="s">
        <v>67</v>
      </c>
      <c r="N4" s="230"/>
      <c r="O4" s="130"/>
      <c r="P4" s="429">
        <v>685.86</v>
      </c>
      <c r="Q4" s="72">
        <v>28</v>
      </c>
      <c r="R4" s="151"/>
      <c r="S4" s="151"/>
    </row>
    <row r="5" spans="1:21" ht="21" customHeight="1" x14ac:dyDescent="0.25">
      <c r="A5" s="1610" t="s">
        <v>187</v>
      </c>
      <c r="B5" s="1609"/>
      <c r="C5" s="230">
        <v>119</v>
      </c>
      <c r="D5" s="130">
        <v>45161</v>
      </c>
      <c r="E5" s="429">
        <v>18669.650000000001</v>
      </c>
      <c r="F5" s="72">
        <v>642</v>
      </c>
      <c r="G5" s="5"/>
      <c r="L5" s="1610" t="s">
        <v>187</v>
      </c>
      <c r="M5" s="1609"/>
      <c r="N5" s="230">
        <v>121</v>
      </c>
      <c r="O5" s="130">
        <v>45182</v>
      </c>
      <c r="P5" s="429">
        <v>3050.19</v>
      </c>
      <c r="Q5" s="72">
        <v>105</v>
      </c>
      <c r="R5" s="5"/>
    </row>
    <row r="6" spans="1:21" ht="21" customHeight="1" x14ac:dyDescent="0.25">
      <c r="A6" s="1610"/>
      <c r="B6" s="1609"/>
      <c r="C6" s="366"/>
      <c r="D6" s="130"/>
      <c r="E6" s="430"/>
      <c r="F6" s="72"/>
      <c r="G6" s="47">
        <f>F79</f>
        <v>19039.18</v>
      </c>
      <c r="H6" s="7">
        <f>E6-G6+E7+E5-G5+E4</f>
        <v>1.1368683772161603E-12</v>
      </c>
      <c r="L6" s="1610"/>
      <c r="M6" s="1609"/>
      <c r="N6" s="366">
        <v>121</v>
      </c>
      <c r="O6" s="130">
        <v>45183</v>
      </c>
      <c r="P6" s="430">
        <v>1083.8800000000001</v>
      </c>
      <c r="Q6" s="72">
        <v>40</v>
      </c>
      <c r="R6" s="47">
        <f>Q79</f>
        <v>4819.9299999999994</v>
      </c>
      <c r="S6" s="7">
        <f>P6-R6+P7+P5-R5+P4</f>
        <v>0</v>
      </c>
    </row>
    <row r="7" spans="1:21" ht="15.75" x14ac:dyDescent="0.25">
      <c r="A7" s="611"/>
      <c r="B7" s="1609"/>
      <c r="C7" s="220"/>
      <c r="D7" s="218"/>
      <c r="E7" s="429"/>
      <c r="F7" s="72"/>
      <c r="L7" s="611"/>
      <c r="M7" s="1609"/>
      <c r="N7" s="220"/>
      <c r="O7" s="218"/>
      <c r="P7" s="429"/>
      <c r="Q7" s="72"/>
    </row>
    <row r="8" spans="1:21" ht="15.75" thickBot="1" x14ac:dyDescent="0.3">
      <c r="A8" s="404"/>
      <c r="B8" s="144"/>
      <c r="C8" s="220"/>
      <c r="D8" s="218"/>
      <c r="E8" s="429"/>
      <c r="F8" s="72"/>
      <c r="L8" s="404"/>
      <c r="M8" s="144"/>
      <c r="N8" s="220"/>
      <c r="O8" s="218"/>
      <c r="P8" s="429"/>
      <c r="Q8" s="72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80" t="s">
        <v>3</v>
      </c>
    </row>
    <row r="10" spans="1:21" ht="15.75" thickTop="1" x14ac:dyDescent="0.25">
      <c r="A10" s="79" t="s">
        <v>32</v>
      </c>
      <c r="B10" s="174">
        <f>F6-C10+F5+F4+F7+F8</f>
        <v>626</v>
      </c>
      <c r="C10" s="15">
        <v>28</v>
      </c>
      <c r="D10" s="68">
        <v>825.68</v>
      </c>
      <c r="E10" s="191">
        <v>45163</v>
      </c>
      <c r="F10" s="68">
        <f t="shared" ref="F10:F57" si="0">D10</f>
        <v>825.68</v>
      </c>
      <c r="G10" s="69" t="s">
        <v>260</v>
      </c>
      <c r="H10" s="70">
        <v>131</v>
      </c>
      <c r="I10" s="102">
        <f>E6-F10+E5+E4+E7+E8</f>
        <v>18213.5</v>
      </c>
      <c r="J10" s="70">
        <f>F10*H10</f>
        <v>108164.07999999999</v>
      </c>
      <c r="L10" s="79" t="s">
        <v>32</v>
      </c>
      <c r="M10" s="174">
        <f>Q6-N10+Q5+Q4+Q7+Q8</f>
        <v>142</v>
      </c>
      <c r="N10" s="15">
        <v>31</v>
      </c>
      <c r="O10" s="68">
        <v>850.79</v>
      </c>
      <c r="P10" s="191">
        <v>45191</v>
      </c>
      <c r="Q10" s="68">
        <f t="shared" ref="Q10:Q57" si="1">O10</f>
        <v>850.79</v>
      </c>
      <c r="R10" s="69" t="s">
        <v>699</v>
      </c>
      <c r="S10" s="70">
        <v>134</v>
      </c>
      <c r="T10" s="102">
        <f>P6-Q10+P5+P4+P7+P8</f>
        <v>3969.1400000000003</v>
      </c>
      <c r="U10" s="17">
        <f>Q10*S10</f>
        <v>114005.86</v>
      </c>
    </row>
    <row r="11" spans="1:21" x14ac:dyDescent="0.25">
      <c r="A11" s="185"/>
      <c r="B11" s="174">
        <f>B10-C11</f>
        <v>622</v>
      </c>
      <c r="C11" s="15">
        <v>4</v>
      </c>
      <c r="D11" s="68">
        <v>119.8</v>
      </c>
      <c r="E11" s="191">
        <v>45163</v>
      </c>
      <c r="F11" s="68">
        <f t="shared" si="0"/>
        <v>119.8</v>
      </c>
      <c r="G11" s="69" t="s">
        <v>261</v>
      </c>
      <c r="H11" s="70">
        <v>131</v>
      </c>
      <c r="I11" s="102">
        <f>I10-F11</f>
        <v>18093.7</v>
      </c>
      <c r="J11" s="70">
        <f t="shared" ref="J11:J74" si="2">F11*H11</f>
        <v>15693.8</v>
      </c>
      <c r="L11" s="185"/>
      <c r="M11" s="174">
        <f>M10-N11</f>
        <v>141</v>
      </c>
      <c r="N11" s="15">
        <v>1</v>
      </c>
      <c r="O11" s="68">
        <v>26.35</v>
      </c>
      <c r="P11" s="191">
        <v>45191</v>
      </c>
      <c r="Q11" s="68">
        <f t="shared" si="1"/>
        <v>26.35</v>
      </c>
      <c r="R11" s="69" t="s">
        <v>700</v>
      </c>
      <c r="S11" s="70">
        <v>134</v>
      </c>
      <c r="T11" s="102">
        <f>T10-Q11</f>
        <v>3942.7900000000004</v>
      </c>
      <c r="U11" s="17">
        <f t="shared" ref="U11:U74" si="3">Q11*S11</f>
        <v>3530.9</v>
      </c>
    </row>
    <row r="12" spans="1:21" x14ac:dyDescent="0.25">
      <c r="A12" s="174"/>
      <c r="B12" s="174">
        <f t="shared" ref="B12:B75" si="4">B11-C12</f>
        <v>602</v>
      </c>
      <c r="C12" s="15">
        <v>20</v>
      </c>
      <c r="D12" s="68">
        <v>606.1</v>
      </c>
      <c r="E12" s="191">
        <v>45163</v>
      </c>
      <c r="F12" s="68">
        <f t="shared" si="0"/>
        <v>606.1</v>
      </c>
      <c r="G12" s="69" t="s">
        <v>270</v>
      </c>
      <c r="H12" s="70">
        <v>119</v>
      </c>
      <c r="I12" s="102">
        <f t="shared" ref="I12:I75" si="5">I11-F12</f>
        <v>17487.600000000002</v>
      </c>
      <c r="J12" s="70">
        <f t="shared" si="2"/>
        <v>72125.900000000009</v>
      </c>
      <c r="L12" s="174"/>
      <c r="M12" s="174">
        <f t="shared" ref="M12:M75" si="6">M11-N12</f>
        <v>140</v>
      </c>
      <c r="N12" s="15">
        <v>1</v>
      </c>
      <c r="O12" s="68">
        <v>26.76</v>
      </c>
      <c r="P12" s="191">
        <v>45191</v>
      </c>
      <c r="Q12" s="68">
        <f t="shared" si="1"/>
        <v>26.76</v>
      </c>
      <c r="R12" s="69" t="s">
        <v>700</v>
      </c>
      <c r="S12" s="70">
        <v>134</v>
      </c>
      <c r="T12" s="102">
        <f t="shared" ref="T12:T75" si="7">T11-Q12</f>
        <v>3916.03</v>
      </c>
      <c r="U12" s="17">
        <f t="shared" si="3"/>
        <v>3585.84</v>
      </c>
    </row>
    <row r="13" spans="1:21" x14ac:dyDescent="0.25">
      <c r="A13" s="174"/>
      <c r="B13" s="174">
        <f t="shared" si="4"/>
        <v>575</v>
      </c>
      <c r="C13" s="15">
        <v>27</v>
      </c>
      <c r="D13" s="68">
        <f>504.63+222.72</f>
        <v>727.35</v>
      </c>
      <c r="E13" s="191">
        <v>45164</v>
      </c>
      <c r="F13" s="68">
        <f t="shared" si="0"/>
        <v>727.35</v>
      </c>
      <c r="G13" s="69" t="s">
        <v>269</v>
      </c>
      <c r="H13" s="70">
        <v>131</v>
      </c>
      <c r="I13" s="102">
        <f t="shared" si="5"/>
        <v>16760.250000000004</v>
      </c>
      <c r="J13" s="70">
        <f t="shared" si="2"/>
        <v>95282.85</v>
      </c>
      <c r="L13" s="174"/>
      <c r="M13" s="174">
        <f t="shared" si="6"/>
        <v>130</v>
      </c>
      <c r="N13" s="15">
        <v>10</v>
      </c>
      <c r="O13" s="68">
        <v>266.26</v>
      </c>
      <c r="P13" s="191">
        <v>45192</v>
      </c>
      <c r="Q13" s="68">
        <f t="shared" si="1"/>
        <v>266.26</v>
      </c>
      <c r="R13" s="69" t="s">
        <v>709</v>
      </c>
      <c r="S13" s="70">
        <v>134</v>
      </c>
      <c r="T13" s="102">
        <f t="shared" si="7"/>
        <v>3649.7700000000004</v>
      </c>
      <c r="U13" s="17">
        <f t="shared" si="3"/>
        <v>35678.839999999997</v>
      </c>
    </row>
    <row r="14" spans="1:21" x14ac:dyDescent="0.25">
      <c r="A14" s="81" t="s">
        <v>33</v>
      </c>
      <c r="B14" s="174">
        <f t="shared" si="4"/>
        <v>568</v>
      </c>
      <c r="C14" s="15">
        <v>7</v>
      </c>
      <c r="D14" s="68">
        <v>228.21</v>
      </c>
      <c r="E14" s="191">
        <v>45166</v>
      </c>
      <c r="F14" s="68">
        <f t="shared" si="0"/>
        <v>228.21</v>
      </c>
      <c r="G14" s="69" t="s">
        <v>268</v>
      </c>
      <c r="H14" s="70">
        <v>131</v>
      </c>
      <c r="I14" s="102">
        <f t="shared" si="5"/>
        <v>16532.040000000005</v>
      </c>
      <c r="J14" s="70">
        <f t="shared" si="2"/>
        <v>29895.510000000002</v>
      </c>
      <c r="L14" s="81" t="s">
        <v>33</v>
      </c>
      <c r="M14" s="174">
        <f t="shared" si="6"/>
        <v>124</v>
      </c>
      <c r="N14" s="15">
        <v>6</v>
      </c>
      <c r="O14" s="68">
        <v>159.16</v>
      </c>
      <c r="P14" s="191">
        <v>45192</v>
      </c>
      <c r="Q14" s="68">
        <f t="shared" si="1"/>
        <v>159.16</v>
      </c>
      <c r="R14" s="69" t="s">
        <v>712</v>
      </c>
      <c r="S14" s="70">
        <v>134</v>
      </c>
      <c r="T14" s="102">
        <f t="shared" si="7"/>
        <v>3490.6100000000006</v>
      </c>
      <c r="U14" s="17">
        <f t="shared" si="3"/>
        <v>21327.439999999999</v>
      </c>
    </row>
    <row r="15" spans="1:21" x14ac:dyDescent="0.25">
      <c r="A15" s="72"/>
      <c r="B15" s="174">
        <f t="shared" si="4"/>
        <v>532</v>
      </c>
      <c r="C15" s="15">
        <v>36</v>
      </c>
      <c r="D15" s="68">
        <v>1003.45</v>
      </c>
      <c r="E15" s="191">
        <v>45166</v>
      </c>
      <c r="F15" s="68">
        <f t="shared" si="0"/>
        <v>1003.45</v>
      </c>
      <c r="G15" s="69" t="s">
        <v>271</v>
      </c>
      <c r="H15" s="70">
        <v>119</v>
      </c>
      <c r="I15" s="102">
        <f t="shared" si="5"/>
        <v>15528.590000000004</v>
      </c>
      <c r="J15" s="70">
        <f t="shared" si="2"/>
        <v>119410.55</v>
      </c>
      <c r="L15" s="72"/>
      <c r="M15" s="174">
        <f t="shared" si="6"/>
        <v>120</v>
      </c>
      <c r="N15" s="15">
        <v>4</v>
      </c>
      <c r="O15" s="68">
        <v>119.43</v>
      </c>
      <c r="P15" s="191">
        <v>45192</v>
      </c>
      <c r="Q15" s="68">
        <f t="shared" si="1"/>
        <v>119.43</v>
      </c>
      <c r="R15" s="69" t="s">
        <v>712</v>
      </c>
      <c r="S15" s="70">
        <v>134</v>
      </c>
      <c r="T15" s="102">
        <f t="shared" si="7"/>
        <v>3371.1800000000007</v>
      </c>
      <c r="U15" s="17">
        <f t="shared" si="3"/>
        <v>16003.62</v>
      </c>
    </row>
    <row r="16" spans="1:21" x14ac:dyDescent="0.25">
      <c r="A16" s="72"/>
      <c r="B16" s="174">
        <f t="shared" si="4"/>
        <v>522</v>
      </c>
      <c r="C16" s="15">
        <v>10</v>
      </c>
      <c r="D16" s="68">
        <v>313.93</v>
      </c>
      <c r="E16" s="191">
        <v>45167</v>
      </c>
      <c r="F16" s="68">
        <f t="shared" si="0"/>
        <v>313.93</v>
      </c>
      <c r="G16" s="69" t="s">
        <v>274</v>
      </c>
      <c r="H16" s="70">
        <v>131</v>
      </c>
      <c r="I16" s="102">
        <f t="shared" si="5"/>
        <v>15214.660000000003</v>
      </c>
      <c r="J16" s="70">
        <f t="shared" si="2"/>
        <v>41124.83</v>
      </c>
      <c r="L16" s="72"/>
      <c r="M16" s="174">
        <f t="shared" si="6"/>
        <v>119</v>
      </c>
      <c r="N16" s="15">
        <v>1</v>
      </c>
      <c r="O16" s="68">
        <v>30.39</v>
      </c>
      <c r="P16" s="191">
        <v>45192</v>
      </c>
      <c r="Q16" s="68">
        <f t="shared" si="1"/>
        <v>30.39</v>
      </c>
      <c r="R16" s="69" t="s">
        <v>714</v>
      </c>
      <c r="S16" s="70">
        <v>134</v>
      </c>
      <c r="T16" s="102">
        <f t="shared" si="7"/>
        <v>3340.7900000000009</v>
      </c>
      <c r="U16" s="17">
        <f t="shared" si="3"/>
        <v>4072.26</v>
      </c>
    </row>
    <row r="17" spans="1:21" x14ac:dyDescent="0.25">
      <c r="B17" s="174">
        <f t="shared" si="4"/>
        <v>520</v>
      </c>
      <c r="C17" s="15">
        <v>2</v>
      </c>
      <c r="D17" s="68">
        <f>24.22+24.99</f>
        <v>49.209999999999994</v>
      </c>
      <c r="E17" s="191">
        <v>45167</v>
      </c>
      <c r="F17" s="68">
        <f t="shared" si="0"/>
        <v>49.209999999999994</v>
      </c>
      <c r="G17" s="69" t="s">
        <v>275</v>
      </c>
      <c r="H17" s="70">
        <v>131</v>
      </c>
      <c r="I17" s="102">
        <f t="shared" si="5"/>
        <v>15165.450000000004</v>
      </c>
      <c r="J17" s="70">
        <f t="shared" si="2"/>
        <v>6446.5099999999993</v>
      </c>
      <c r="M17" s="174">
        <f t="shared" si="6"/>
        <v>111</v>
      </c>
      <c r="N17" s="15">
        <v>8</v>
      </c>
      <c r="O17" s="68">
        <v>200.93</v>
      </c>
      <c r="P17" s="191">
        <v>45194</v>
      </c>
      <c r="Q17" s="68">
        <f t="shared" si="1"/>
        <v>200.93</v>
      </c>
      <c r="R17" s="69" t="s">
        <v>720</v>
      </c>
      <c r="S17" s="70">
        <v>134</v>
      </c>
      <c r="T17" s="102">
        <f t="shared" si="7"/>
        <v>3139.860000000001</v>
      </c>
      <c r="U17" s="17">
        <f t="shared" si="3"/>
        <v>26924.620000000003</v>
      </c>
    </row>
    <row r="18" spans="1:21" x14ac:dyDescent="0.25">
      <c r="B18" s="174">
        <f t="shared" si="4"/>
        <v>518</v>
      </c>
      <c r="C18" s="15">
        <v>2</v>
      </c>
      <c r="D18" s="68">
        <f>31.03+32.43</f>
        <v>63.46</v>
      </c>
      <c r="E18" s="191">
        <v>45168</v>
      </c>
      <c r="F18" s="68">
        <f t="shared" si="0"/>
        <v>63.46</v>
      </c>
      <c r="G18" s="69" t="s">
        <v>278</v>
      </c>
      <c r="H18" s="70">
        <v>131</v>
      </c>
      <c r="I18" s="102">
        <f t="shared" si="5"/>
        <v>15101.990000000005</v>
      </c>
      <c r="J18" s="70">
        <f t="shared" si="2"/>
        <v>8313.26</v>
      </c>
      <c r="M18" s="174">
        <f t="shared" si="6"/>
        <v>106</v>
      </c>
      <c r="N18" s="15">
        <v>5</v>
      </c>
      <c r="O18" s="68">
        <v>146.63999999999999</v>
      </c>
      <c r="P18" s="191">
        <v>45194</v>
      </c>
      <c r="Q18" s="68">
        <f t="shared" si="1"/>
        <v>146.63999999999999</v>
      </c>
      <c r="R18" s="69" t="s">
        <v>717</v>
      </c>
      <c r="S18" s="70">
        <v>134</v>
      </c>
      <c r="T18" s="102">
        <f t="shared" si="7"/>
        <v>2993.2200000000012</v>
      </c>
      <c r="U18" s="17">
        <f t="shared" si="3"/>
        <v>19649.759999999998</v>
      </c>
    </row>
    <row r="19" spans="1:21" x14ac:dyDescent="0.25">
      <c r="A19" s="118"/>
      <c r="B19" s="174">
        <f t="shared" si="4"/>
        <v>508</v>
      </c>
      <c r="C19" s="15">
        <v>10</v>
      </c>
      <c r="D19" s="68">
        <v>306.52999999999997</v>
      </c>
      <c r="E19" s="191">
        <v>45168</v>
      </c>
      <c r="F19" s="68">
        <f t="shared" si="0"/>
        <v>306.52999999999997</v>
      </c>
      <c r="G19" s="69" t="s">
        <v>279</v>
      </c>
      <c r="H19" s="70">
        <v>131</v>
      </c>
      <c r="I19" s="102">
        <f t="shared" si="5"/>
        <v>14795.460000000005</v>
      </c>
      <c r="J19" s="70">
        <f t="shared" si="2"/>
        <v>40155.429999999993</v>
      </c>
      <c r="L19" s="118"/>
      <c r="M19" s="174">
        <f t="shared" si="6"/>
        <v>101</v>
      </c>
      <c r="N19" s="15">
        <v>5</v>
      </c>
      <c r="O19" s="68">
        <v>141.61000000000001</v>
      </c>
      <c r="P19" s="191">
        <v>45195</v>
      </c>
      <c r="Q19" s="68">
        <f t="shared" si="1"/>
        <v>141.61000000000001</v>
      </c>
      <c r="R19" s="69" t="s">
        <v>682</v>
      </c>
      <c r="S19" s="70">
        <v>119</v>
      </c>
      <c r="T19" s="102">
        <f t="shared" si="7"/>
        <v>2851.610000000001</v>
      </c>
      <c r="U19" s="17">
        <f t="shared" si="3"/>
        <v>16851.59</v>
      </c>
    </row>
    <row r="20" spans="1:21" x14ac:dyDescent="0.25">
      <c r="A20" s="118"/>
      <c r="B20" s="174">
        <f t="shared" si="4"/>
        <v>504</v>
      </c>
      <c r="C20" s="15">
        <v>4</v>
      </c>
      <c r="D20" s="68">
        <v>126.69</v>
      </c>
      <c r="E20" s="191">
        <v>45168</v>
      </c>
      <c r="F20" s="68">
        <f t="shared" si="0"/>
        <v>126.69</v>
      </c>
      <c r="G20" s="69" t="s">
        <v>279</v>
      </c>
      <c r="H20" s="70">
        <v>131</v>
      </c>
      <c r="I20" s="102">
        <f t="shared" si="5"/>
        <v>14668.770000000004</v>
      </c>
      <c r="J20" s="70">
        <f t="shared" si="2"/>
        <v>16596.39</v>
      </c>
      <c r="L20" s="118"/>
      <c r="M20" s="174">
        <f t="shared" si="6"/>
        <v>66</v>
      </c>
      <c r="N20" s="15">
        <v>35</v>
      </c>
      <c r="O20" s="68">
        <v>948.71</v>
      </c>
      <c r="P20" s="191">
        <v>45195</v>
      </c>
      <c r="Q20" s="68">
        <f t="shared" si="1"/>
        <v>948.71</v>
      </c>
      <c r="R20" s="69" t="s">
        <v>682</v>
      </c>
      <c r="S20" s="70">
        <v>134</v>
      </c>
      <c r="T20" s="102">
        <f t="shared" si="7"/>
        <v>1902.900000000001</v>
      </c>
      <c r="U20" s="17">
        <f t="shared" si="3"/>
        <v>127127.14</v>
      </c>
    </row>
    <row r="21" spans="1:21" x14ac:dyDescent="0.25">
      <c r="A21" s="118"/>
      <c r="B21" s="174">
        <f t="shared" si="4"/>
        <v>469</v>
      </c>
      <c r="C21" s="15">
        <v>35</v>
      </c>
      <c r="D21" s="68">
        <v>1026.18</v>
      </c>
      <c r="E21" s="191">
        <v>45169</v>
      </c>
      <c r="F21" s="68">
        <f t="shared" si="0"/>
        <v>1026.18</v>
      </c>
      <c r="G21" s="69" t="s">
        <v>282</v>
      </c>
      <c r="H21" s="70">
        <v>131</v>
      </c>
      <c r="I21" s="102">
        <f t="shared" si="5"/>
        <v>13642.590000000004</v>
      </c>
      <c r="J21" s="70">
        <f t="shared" si="2"/>
        <v>134429.58000000002</v>
      </c>
      <c r="L21" s="118"/>
      <c r="M21" s="174">
        <f t="shared" si="6"/>
        <v>31</v>
      </c>
      <c r="N21" s="15">
        <v>35</v>
      </c>
      <c r="O21" s="68">
        <v>1013.77</v>
      </c>
      <c r="P21" s="191">
        <v>45196</v>
      </c>
      <c r="Q21" s="68">
        <f t="shared" si="1"/>
        <v>1013.77</v>
      </c>
      <c r="R21" s="69" t="s">
        <v>732</v>
      </c>
      <c r="S21" s="70">
        <v>134</v>
      </c>
      <c r="T21" s="102">
        <f t="shared" si="7"/>
        <v>889.13000000000102</v>
      </c>
      <c r="U21" s="17">
        <f t="shared" si="3"/>
        <v>135845.18</v>
      </c>
    </row>
    <row r="22" spans="1:21" x14ac:dyDescent="0.25">
      <c r="A22" s="118"/>
      <c r="B22" s="174">
        <f t="shared" si="4"/>
        <v>466</v>
      </c>
      <c r="C22" s="15">
        <v>3</v>
      </c>
      <c r="D22" s="68">
        <v>92.26</v>
      </c>
      <c r="E22" s="191">
        <v>45169</v>
      </c>
      <c r="F22" s="68">
        <f t="shared" si="0"/>
        <v>92.26</v>
      </c>
      <c r="G22" s="69" t="s">
        <v>286</v>
      </c>
      <c r="H22" s="70">
        <v>131</v>
      </c>
      <c r="I22" s="102">
        <f t="shared" si="5"/>
        <v>13550.330000000004</v>
      </c>
      <c r="J22" s="70">
        <f t="shared" si="2"/>
        <v>12086.060000000001</v>
      </c>
      <c r="L22" s="118"/>
      <c r="M22" s="174">
        <f t="shared" si="6"/>
        <v>21</v>
      </c>
      <c r="N22" s="15">
        <v>10</v>
      </c>
      <c r="O22" s="68">
        <v>296.11</v>
      </c>
      <c r="P22" s="191">
        <v>45196</v>
      </c>
      <c r="Q22" s="68">
        <f t="shared" si="1"/>
        <v>296.11</v>
      </c>
      <c r="R22" s="69" t="s">
        <v>737</v>
      </c>
      <c r="S22" s="70">
        <v>119</v>
      </c>
      <c r="T22" s="102">
        <f t="shared" si="7"/>
        <v>593.020000000001</v>
      </c>
      <c r="U22" s="17">
        <f t="shared" si="3"/>
        <v>35237.090000000004</v>
      </c>
    </row>
    <row r="23" spans="1:21" x14ac:dyDescent="0.25">
      <c r="A23" s="118"/>
      <c r="B23" s="174">
        <f t="shared" si="4"/>
        <v>456</v>
      </c>
      <c r="C23" s="15">
        <v>10</v>
      </c>
      <c r="D23" s="68">
        <v>319.87</v>
      </c>
      <c r="E23" s="191">
        <v>45169</v>
      </c>
      <c r="F23" s="68">
        <f t="shared" si="0"/>
        <v>319.87</v>
      </c>
      <c r="G23" s="69" t="s">
        <v>284</v>
      </c>
      <c r="H23" s="70">
        <v>131</v>
      </c>
      <c r="I23" s="102">
        <f t="shared" si="5"/>
        <v>13230.460000000003</v>
      </c>
      <c r="J23" s="70">
        <f t="shared" si="2"/>
        <v>41902.97</v>
      </c>
      <c r="L23" s="118"/>
      <c r="M23" s="174">
        <f t="shared" si="6"/>
        <v>16</v>
      </c>
      <c r="N23" s="15">
        <v>5</v>
      </c>
      <c r="O23" s="68">
        <v>156.21</v>
      </c>
      <c r="P23" s="191">
        <v>45197</v>
      </c>
      <c r="Q23" s="68">
        <f t="shared" si="1"/>
        <v>156.21</v>
      </c>
      <c r="R23" s="69" t="s">
        <v>747</v>
      </c>
      <c r="S23" s="70">
        <v>119</v>
      </c>
      <c r="T23" s="102">
        <f t="shared" si="7"/>
        <v>436.81000000000097</v>
      </c>
      <c r="U23" s="17">
        <f t="shared" si="3"/>
        <v>18588.990000000002</v>
      </c>
    </row>
    <row r="24" spans="1:21" x14ac:dyDescent="0.25">
      <c r="A24" s="119"/>
      <c r="B24" s="174">
        <f t="shared" si="4"/>
        <v>446</v>
      </c>
      <c r="C24" s="15">
        <v>10</v>
      </c>
      <c r="D24" s="68">
        <v>307.8</v>
      </c>
      <c r="E24" s="191">
        <v>45170</v>
      </c>
      <c r="F24" s="68">
        <f t="shared" si="0"/>
        <v>307.8</v>
      </c>
      <c r="G24" s="69" t="s">
        <v>288</v>
      </c>
      <c r="H24" s="70">
        <v>119</v>
      </c>
      <c r="I24" s="102">
        <f t="shared" si="5"/>
        <v>12922.660000000003</v>
      </c>
      <c r="J24" s="70">
        <f t="shared" si="2"/>
        <v>36628.200000000004</v>
      </c>
      <c r="L24" s="119"/>
      <c r="M24" s="174">
        <f t="shared" si="6"/>
        <v>15</v>
      </c>
      <c r="N24" s="15">
        <v>1</v>
      </c>
      <c r="O24" s="68">
        <v>29.94</v>
      </c>
      <c r="P24" s="191">
        <v>45197</v>
      </c>
      <c r="Q24" s="68">
        <f t="shared" si="1"/>
        <v>29.94</v>
      </c>
      <c r="R24" s="69" t="s">
        <v>757</v>
      </c>
      <c r="S24" s="70">
        <v>134</v>
      </c>
      <c r="T24" s="102">
        <f t="shared" si="7"/>
        <v>406.87000000000097</v>
      </c>
      <c r="U24" s="17">
        <f t="shared" si="3"/>
        <v>4011.96</v>
      </c>
    </row>
    <row r="25" spans="1:21" x14ac:dyDescent="0.25">
      <c r="A25" s="118"/>
      <c r="B25" s="174">
        <f t="shared" si="4"/>
        <v>444</v>
      </c>
      <c r="C25" s="15">
        <v>2</v>
      </c>
      <c r="D25" s="68">
        <f>25.9+26.35</f>
        <v>52.25</v>
      </c>
      <c r="E25" s="191">
        <v>45170</v>
      </c>
      <c r="F25" s="68">
        <f t="shared" si="0"/>
        <v>52.25</v>
      </c>
      <c r="G25" s="69" t="s">
        <v>290</v>
      </c>
      <c r="H25" s="70">
        <v>131</v>
      </c>
      <c r="I25" s="102">
        <f t="shared" si="5"/>
        <v>12870.410000000003</v>
      </c>
      <c r="J25" s="70">
        <f t="shared" si="2"/>
        <v>6844.75</v>
      </c>
      <c r="L25" s="118"/>
      <c r="M25" s="174">
        <f t="shared" si="6"/>
        <v>5</v>
      </c>
      <c r="N25" s="15">
        <v>10</v>
      </c>
      <c r="O25" s="68">
        <v>299.32</v>
      </c>
      <c r="P25" s="191">
        <v>45198</v>
      </c>
      <c r="Q25" s="68">
        <f t="shared" si="1"/>
        <v>299.32</v>
      </c>
      <c r="R25" s="69" t="s">
        <v>762</v>
      </c>
      <c r="S25" s="70">
        <v>134</v>
      </c>
      <c r="T25" s="102">
        <f t="shared" si="7"/>
        <v>107.55000000000098</v>
      </c>
      <c r="U25" s="17">
        <f t="shared" si="3"/>
        <v>40108.879999999997</v>
      </c>
    </row>
    <row r="26" spans="1:21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295</v>
      </c>
      <c r="H26" s="70">
        <v>131</v>
      </c>
      <c r="I26" s="102">
        <f t="shared" si="5"/>
        <v>11894.430000000004</v>
      </c>
      <c r="J26" s="70">
        <f t="shared" si="2"/>
        <v>127853.38</v>
      </c>
      <c r="L26" s="118"/>
      <c r="M26" s="174">
        <f t="shared" si="6"/>
        <v>4</v>
      </c>
      <c r="N26" s="15">
        <v>1</v>
      </c>
      <c r="O26" s="68">
        <v>30.25</v>
      </c>
      <c r="P26" s="191">
        <v>45198</v>
      </c>
      <c r="Q26" s="68">
        <f t="shared" si="1"/>
        <v>30.25</v>
      </c>
      <c r="R26" s="69" t="s">
        <v>766</v>
      </c>
      <c r="S26" s="70">
        <v>134</v>
      </c>
      <c r="T26" s="102">
        <f t="shared" si="7"/>
        <v>77.300000000000978</v>
      </c>
      <c r="U26" s="17">
        <f t="shared" si="3"/>
        <v>4053.5</v>
      </c>
    </row>
    <row r="27" spans="1:21" x14ac:dyDescent="0.25">
      <c r="A27" s="118"/>
      <c r="B27" s="579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576">
        <f t="shared" si="5"/>
        <v>11894.430000000004</v>
      </c>
      <c r="J27" s="70">
        <f t="shared" si="2"/>
        <v>0</v>
      </c>
      <c r="L27" s="118"/>
      <c r="M27" s="174">
        <f t="shared" si="6"/>
        <v>0</v>
      </c>
      <c r="N27" s="15">
        <v>4</v>
      </c>
      <c r="O27" s="68">
        <v>77.3</v>
      </c>
      <c r="P27" s="191">
        <v>45199</v>
      </c>
      <c r="Q27" s="68">
        <f t="shared" si="1"/>
        <v>77.3</v>
      </c>
      <c r="R27" s="69" t="s">
        <v>770</v>
      </c>
      <c r="S27" s="70">
        <v>134</v>
      </c>
      <c r="T27" s="102">
        <f t="shared" si="7"/>
        <v>9.8054897534893826E-13</v>
      </c>
      <c r="U27" s="17">
        <f t="shared" si="3"/>
        <v>10358.199999999999</v>
      </c>
    </row>
    <row r="28" spans="1:21" x14ac:dyDescent="0.25">
      <c r="A28" s="118"/>
      <c r="B28" s="174">
        <f t="shared" si="4"/>
        <v>384</v>
      </c>
      <c r="C28" s="15">
        <v>25</v>
      </c>
      <c r="D28" s="1012">
        <v>749.34</v>
      </c>
      <c r="E28" s="1013">
        <v>45173</v>
      </c>
      <c r="F28" s="1012">
        <f t="shared" si="0"/>
        <v>749.34</v>
      </c>
      <c r="G28" s="844" t="s">
        <v>526</v>
      </c>
      <c r="H28" s="845">
        <v>131</v>
      </c>
      <c r="I28" s="1014">
        <f t="shared" si="5"/>
        <v>11145.090000000004</v>
      </c>
      <c r="J28" s="70">
        <f t="shared" si="2"/>
        <v>98163.540000000008</v>
      </c>
      <c r="L28" s="118"/>
      <c r="M28" s="174">
        <f t="shared" si="6"/>
        <v>0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9.8054897534893826E-13</v>
      </c>
      <c r="U28" s="17">
        <f t="shared" si="3"/>
        <v>0</v>
      </c>
    </row>
    <row r="29" spans="1:21" x14ac:dyDescent="0.25">
      <c r="A29" s="118"/>
      <c r="B29" s="174">
        <f t="shared" si="4"/>
        <v>375</v>
      </c>
      <c r="C29" s="15">
        <v>9</v>
      </c>
      <c r="D29" s="1012">
        <v>282.05</v>
      </c>
      <c r="E29" s="1013">
        <v>45175</v>
      </c>
      <c r="F29" s="1012">
        <f t="shared" si="0"/>
        <v>282.05</v>
      </c>
      <c r="G29" s="844" t="s">
        <v>539</v>
      </c>
      <c r="H29" s="845">
        <v>131</v>
      </c>
      <c r="I29" s="1014">
        <f t="shared" si="5"/>
        <v>10863.040000000005</v>
      </c>
      <c r="J29" s="70">
        <f t="shared" si="2"/>
        <v>36948.550000000003</v>
      </c>
      <c r="L29" s="118"/>
      <c r="M29" s="174">
        <f t="shared" si="6"/>
        <v>0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9.8054897534893826E-13</v>
      </c>
      <c r="U29" s="17">
        <f t="shared" si="3"/>
        <v>0</v>
      </c>
    </row>
    <row r="30" spans="1:21" x14ac:dyDescent="0.25">
      <c r="A30" s="118"/>
      <c r="B30" s="174">
        <f t="shared" si="4"/>
        <v>349</v>
      </c>
      <c r="C30" s="15">
        <v>26</v>
      </c>
      <c r="D30" s="1012">
        <v>863.21</v>
      </c>
      <c r="E30" s="1013">
        <v>45175</v>
      </c>
      <c r="F30" s="1012">
        <f t="shared" si="0"/>
        <v>863.21</v>
      </c>
      <c r="G30" s="844" t="s">
        <v>550</v>
      </c>
      <c r="H30" s="845">
        <v>131</v>
      </c>
      <c r="I30" s="1014">
        <f t="shared" si="5"/>
        <v>9999.8300000000054</v>
      </c>
      <c r="J30" s="70">
        <f t="shared" si="2"/>
        <v>113080.51000000001</v>
      </c>
      <c r="L30" s="118"/>
      <c r="M30" s="174">
        <f t="shared" si="6"/>
        <v>0</v>
      </c>
      <c r="N30" s="15"/>
      <c r="O30" s="68"/>
      <c r="P30" s="191"/>
      <c r="Q30" s="68">
        <f t="shared" si="1"/>
        <v>0</v>
      </c>
      <c r="R30" s="1270"/>
      <c r="S30" s="1261"/>
      <c r="T30" s="1262">
        <f t="shared" si="7"/>
        <v>9.8054897534893826E-13</v>
      </c>
      <c r="U30" s="1336">
        <f t="shared" si="3"/>
        <v>0</v>
      </c>
    </row>
    <row r="31" spans="1:21" x14ac:dyDescent="0.25">
      <c r="A31" s="118"/>
      <c r="B31" s="174">
        <f t="shared" si="4"/>
        <v>314</v>
      </c>
      <c r="C31" s="15">
        <v>35</v>
      </c>
      <c r="D31" s="1012">
        <v>1016.68</v>
      </c>
      <c r="E31" s="1013">
        <v>45176</v>
      </c>
      <c r="F31" s="1012">
        <f t="shared" si="0"/>
        <v>1016.68</v>
      </c>
      <c r="G31" s="844" t="s">
        <v>566</v>
      </c>
      <c r="H31" s="845">
        <v>131</v>
      </c>
      <c r="I31" s="1014">
        <f t="shared" si="5"/>
        <v>8983.1500000000051</v>
      </c>
      <c r="J31" s="70">
        <f t="shared" si="2"/>
        <v>133185.07999999999</v>
      </c>
      <c r="L31" s="118"/>
      <c r="M31" s="174">
        <f t="shared" si="6"/>
        <v>0</v>
      </c>
      <c r="N31" s="15"/>
      <c r="O31" s="68"/>
      <c r="P31" s="191"/>
      <c r="Q31" s="68">
        <f t="shared" si="1"/>
        <v>0</v>
      </c>
      <c r="R31" s="1270"/>
      <c r="S31" s="1261"/>
      <c r="T31" s="1262">
        <f t="shared" si="7"/>
        <v>9.8054897534893826E-13</v>
      </c>
      <c r="U31" s="1336">
        <f t="shared" si="3"/>
        <v>0</v>
      </c>
    </row>
    <row r="32" spans="1:21" x14ac:dyDescent="0.25">
      <c r="A32" s="118"/>
      <c r="B32" s="174">
        <f t="shared" si="4"/>
        <v>310</v>
      </c>
      <c r="C32" s="15">
        <v>4</v>
      </c>
      <c r="D32" s="1012">
        <v>130.4</v>
      </c>
      <c r="E32" s="1013">
        <v>45177</v>
      </c>
      <c r="F32" s="1012">
        <f t="shared" si="0"/>
        <v>130.4</v>
      </c>
      <c r="G32" s="844" t="s">
        <v>571</v>
      </c>
      <c r="H32" s="845">
        <v>131</v>
      </c>
      <c r="I32" s="1014">
        <f t="shared" si="5"/>
        <v>8852.7500000000055</v>
      </c>
      <c r="J32" s="70">
        <f t="shared" si="2"/>
        <v>17082.400000000001</v>
      </c>
      <c r="L32" s="118"/>
      <c r="M32" s="174">
        <f t="shared" si="6"/>
        <v>0</v>
      </c>
      <c r="N32" s="15"/>
      <c r="O32" s="68"/>
      <c r="P32" s="191"/>
      <c r="Q32" s="68">
        <f t="shared" si="1"/>
        <v>0</v>
      </c>
      <c r="R32" s="1270"/>
      <c r="S32" s="1261"/>
      <c r="T32" s="1262">
        <f t="shared" si="7"/>
        <v>9.8054897534893826E-13</v>
      </c>
      <c r="U32" s="1336">
        <f t="shared" si="3"/>
        <v>0</v>
      </c>
    </row>
    <row r="33" spans="1:21" x14ac:dyDescent="0.25">
      <c r="A33" s="118"/>
      <c r="B33" s="174">
        <f t="shared" si="4"/>
        <v>305</v>
      </c>
      <c r="C33" s="15">
        <v>5</v>
      </c>
      <c r="D33" s="1012">
        <v>141.57</v>
      </c>
      <c r="E33" s="1013">
        <v>45177</v>
      </c>
      <c r="F33" s="1012">
        <f t="shared" si="0"/>
        <v>141.57</v>
      </c>
      <c r="G33" s="844" t="s">
        <v>579</v>
      </c>
      <c r="H33" s="845">
        <v>131</v>
      </c>
      <c r="I33" s="1014">
        <f t="shared" si="5"/>
        <v>8711.1800000000057</v>
      </c>
      <c r="J33" s="70">
        <f t="shared" si="2"/>
        <v>18545.669999999998</v>
      </c>
      <c r="L33" s="118"/>
      <c r="M33" s="174">
        <f t="shared" si="6"/>
        <v>0</v>
      </c>
      <c r="N33" s="15"/>
      <c r="O33" s="68"/>
      <c r="P33" s="191"/>
      <c r="Q33" s="68">
        <f t="shared" si="1"/>
        <v>0</v>
      </c>
      <c r="R33" s="1270"/>
      <c r="S33" s="1261"/>
      <c r="T33" s="1262">
        <f t="shared" si="7"/>
        <v>9.8054897534893826E-13</v>
      </c>
      <c r="U33" s="1336">
        <f t="shared" si="3"/>
        <v>0</v>
      </c>
    </row>
    <row r="34" spans="1:21" x14ac:dyDescent="0.25">
      <c r="A34" s="118"/>
      <c r="B34" s="174">
        <f t="shared" si="4"/>
        <v>300</v>
      </c>
      <c r="C34" s="15">
        <v>5</v>
      </c>
      <c r="D34" s="1012">
        <v>141.19</v>
      </c>
      <c r="E34" s="1013">
        <v>45178</v>
      </c>
      <c r="F34" s="1012">
        <f t="shared" si="0"/>
        <v>141.19</v>
      </c>
      <c r="G34" s="844" t="s">
        <v>584</v>
      </c>
      <c r="H34" s="845">
        <v>119</v>
      </c>
      <c r="I34" s="1014">
        <f t="shared" si="5"/>
        <v>8569.9900000000052</v>
      </c>
      <c r="J34" s="70">
        <f t="shared" si="2"/>
        <v>16801.61</v>
      </c>
      <c r="L34" s="118"/>
      <c r="M34" s="174">
        <f t="shared" si="6"/>
        <v>0</v>
      </c>
      <c r="N34" s="15"/>
      <c r="O34" s="68"/>
      <c r="P34" s="191"/>
      <c r="Q34" s="68">
        <f t="shared" si="1"/>
        <v>0</v>
      </c>
      <c r="R34" s="1270"/>
      <c r="S34" s="1261"/>
      <c r="T34" s="1262">
        <f t="shared" si="7"/>
        <v>9.8054897534893826E-13</v>
      </c>
      <c r="U34" s="1336">
        <f t="shared" si="3"/>
        <v>0</v>
      </c>
    </row>
    <row r="35" spans="1:21" x14ac:dyDescent="0.25">
      <c r="A35" s="118"/>
      <c r="B35" s="174">
        <f t="shared" si="4"/>
        <v>299</v>
      </c>
      <c r="C35" s="15">
        <v>1</v>
      </c>
      <c r="D35" s="1012">
        <v>31.07</v>
      </c>
      <c r="E35" s="1013">
        <v>45178</v>
      </c>
      <c r="F35" s="1012">
        <f t="shared" si="0"/>
        <v>31.07</v>
      </c>
      <c r="G35" s="844" t="s">
        <v>585</v>
      </c>
      <c r="H35" s="845">
        <v>131</v>
      </c>
      <c r="I35" s="1014">
        <f t="shared" si="5"/>
        <v>8538.9200000000055</v>
      </c>
      <c r="J35" s="70">
        <f t="shared" si="2"/>
        <v>4070.17</v>
      </c>
      <c r="L35" s="118"/>
      <c r="M35" s="174">
        <f t="shared" si="6"/>
        <v>0</v>
      </c>
      <c r="N35" s="15"/>
      <c r="O35" s="68"/>
      <c r="P35" s="191"/>
      <c r="Q35" s="68">
        <f t="shared" si="1"/>
        <v>0</v>
      </c>
      <c r="R35" s="69"/>
      <c r="S35" s="70"/>
      <c r="T35" s="102">
        <f t="shared" si="7"/>
        <v>9.8054897534893826E-13</v>
      </c>
      <c r="U35" s="17">
        <f t="shared" si="3"/>
        <v>0</v>
      </c>
    </row>
    <row r="36" spans="1:21" x14ac:dyDescent="0.25">
      <c r="A36" s="118"/>
      <c r="B36" s="174">
        <f t="shared" si="4"/>
        <v>293</v>
      </c>
      <c r="C36" s="15">
        <v>6</v>
      </c>
      <c r="D36" s="1012">
        <v>178.08</v>
      </c>
      <c r="E36" s="1013">
        <v>45178</v>
      </c>
      <c r="F36" s="1012">
        <f t="shared" si="0"/>
        <v>178.08</v>
      </c>
      <c r="G36" s="844" t="s">
        <v>588</v>
      </c>
      <c r="H36" s="845">
        <v>131</v>
      </c>
      <c r="I36" s="1014">
        <f t="shared" si="5"/>
        <v>8360.8400000000056</v>
      </c>
      <c r="J36" s="70">
        <f t="shared" si="2"/>
        <v>23328.480000000003</v>
      </c>
      <c r="L36" s="118"/>
      <c r="M36" s="174">
        <f t="shared" si="6"/>
        <v>0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7"/>
        <v>9.8054897534893826E-13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283</v>
      </c>
      <c r="C37" s="15">
        <v>10</v>
      </c>
      <c r="D37" s="1012">
        <v>306.39999999999998</v>
      </c>
      <c r="E37" s="1013">
        <v>45180</v>
      </c>
      <c r="F37" s="1012">
        <f t="shared" si="0"/>
        <v>306.39999999999998</v>
      </c>
      <c r="G37" s="844" t="s">
        <v>599</v>
      </c>
      <c r="H37" s="845">
        <v>131</v>
      </c>
      <c r="I37" s="1014">
        <f t="shared" si="5"/>
        <v>8054.440000000006</v>
      </c>
      <c r="J37" s="70">
        <f t="shared" si="2"/>
        <v>40138.399999999994</v>
      </c>
      <c r="L37" s="118" t="s">
        <v>22</v>
      </c>
      <c r="M37" s="174">
        <f t="shared" si="6"/>
        <v>0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7"/>
        <v>9.8054897534893826E-13</v>
      </c>
      <c r="U37" s="17">
        <f t="shared" si="3"/>
        <v>0</v>
      </c>
    </row>
    <row r="38" spans="1:21" x14ac:dyDescent="0.25">
      <c r="A38" s="119"/>
      <c r="B38" s="174">
        <f t="shared" si="4"/>
        <v>248</v>
      </c>
      <c r="C38" s="15">
        <v>35</v>
      </c>
      <c r="D38" s="1012">
        <v>998.29</v>
      </c>
      <c r="E38" s="1013">
        <v>45180</v>
      </c>
      <c r="F38" s="1012">
        <f t="shared" si="0"/>
        <v>998.29</v>
      </c>
      <c r="G38" s="844" t="s">
        <v>601</v>
      </c>
      <c r="H38" s="845">
        <v>119</v>
      </c>
      <c r="I38" s="1014">
        <f t="shared" si="5"/>
        <v>7056.150000000006</v>
      </c>
      <c r="J38" s="70">
        <f t="shared" si="2"/>
        <v>118796.51</v>
      </c>
      <c r="L38" s="119"/>
      <c r="M38" s="174">
        <f t="shared" si="6"/>
        <v>0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7"/>
        <v>9.8054897534893826E-13</v>
      </c>
      <c r="U38" s="17">
        <f t="shared" si="3"/>
        <v>0</v>
      </c>
    </row>
    <row r="39" spans="1:21" x14ac:dyDescent="0.25">
      <c r="A39" s="118"/>
      <c r="B39" s="174">
        <f t="shared" si="4"/>
        <v>247</v>
      </c>
      <c r="C39" s="15">
        <v>1</v>
      </c>
      <c r="D39" s="1012">
        <v>24.18</v>
      </c>
      <c r="E39" s="1013">
        <v>45181</v>
      </c>
      <c r="F39" s="1012">
        <f t="shared" si="0"/>
        <v>24.18</v>
      </c>
      <c r="G39" s="844" t="s">
        <v>618</v>
      </c>
      <c r="H39" s="845">
        <v>131</v>
      </c>
      <c r="I39" s="1014">
        <f t="shared" si="5"/>
        <v>7031.9700000000057</v>
      </c>
      <c r="J39" s="70">
        <f t="shared" si="2"/>
        <v>3167.58</v>
      </c>
      <c r="L39" s="118"/>
      <c r="M39" s="174">
        <f t="shared" si="6"/>
        <v>0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7"/>
        <v>9.8054897534893826E-13</v>
      </c>
      <c r="U39" s="17">
        <f t="shared" si="3"/>
        <v>0</v>
      </c>
    </row>
    <row r="40" spans="1:21" x14ac:dyDescent="0.25">
      <c r="A40" s="118"/>
      <c r="B40" s="174">
        <f t="shared" si="4"/>
        <v>212</v>
      </c>
      <c r="C40" s="15">
        <v>35</v>
      </c>
      <c r="D40" s="1012">
        <v>1057.74</v>
      </c>
      <c r="E40" s="1013">
        <v>45181</v>
      </c>
      <c r="F40" s="1012">
        <f t="shared" si="0"/>
        <v>1057.74</v>
      </c>
      <c r="G40" s="844" t="s">
        <v>622</v>
      </c>
      <c r="H40" s="845">
        <v>131</v>
      </c>
      <c r="I40" s="1014">
        <f t="shared" si="5"/>
        <v>5974.2300000000059</v>
      </c>
      <c r="J40" s="70">
        <f t="shared" si="2"/>
        <v>138563.94</v>
      </c>
      <c r="L40" s="118"/>
      <c r="M40" s="174">
        <f t="shared" si="6"/>
        <v>0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9.8054897534893826E-13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>
        <v>10</v>
      </c>
      <c r="D41" s="1012">
        <v>294.93</v>
      </c>
      <c r="E41" s="1013">
        <v>45182</v>
      </c>
      <c r="F41" s="1012">
        <f t="shared" si="0"/>
        <v>294.93</v>
      </c>
      <c r="G41" s="844" t="s">
        <v>630</v>
      </c>
      <c r="H41" s="845">
        <v>119</v>
      </c>
      <c r="I41" s="1014">
        <f t="shared" si="5"/>
        <v>5679.3000000000056</v>
      </c>
      <c r="J41" s="70">
        <f t="shared" si="2"/>
        <v>35096.67</v>
      </c>
      <c r="L41" s="118"/>
      <c r="M41" s="174">
        <f t="shared" si="6"/>
        <v>0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9.8054897534893826E-13</v>
      </c>
      <c r="U41" s="17">
        <f t="shared" si="3"/>
        <v>0</v>
      </c>
    </row>
    <row r="42" spans="1:21" x14ac:dyDescent="0.25">
      <c r="A42" s="118"/>
      <c r="B42" s="174">
        <f t="shared" si="4"/>
        <v>172</v>
      </c>
      <c r="C42" s="15">
        <v>30</v>
      </c>
      <c r="D42" s="1012">
        <v>835.94</v>
      </c>
      <c r="E42" s="1013">
        <v>45182</v>
      </c>
      <c r="F42" s="1012">
        <f t="shared" si="0"/>
        <v>835.94</v>
      </c>
      <c r="G42" s="844" t="s">
        <v>633</v>
      </c>
      <c r="H42" s="845">
        <v>119</v>
      </c>
      <c r="I42" s="1014">
        <f t="shared" si="5"/>
        <v>4843.360000000006</v>
      </c>
      <c r="J42" s="70">
        <f t="shared" si="2"/>
        <v>99476.86</v>
      </c>
      <c r="L42" s="118"/>
      <c r="M42" s="174">
        <f t="shared" si="6"/>
        <v>0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9.8054897534893826E-13</v>
      </c>
      <c r="U42" s="17">
        <f t="shared" si="3"/>
        <v>0</v>
      </c>
    </row>
    <row r="43" spans="1:21" x14ac:dyDescent="0.25">
      <c r="A43" s="118"/>
      <c r="B43" s="174">
        <f t="shared" si="4"/>
        <v>169</v>
      </c>
      <c r="C43" s="15">
        <v>3</v>
      </c>
      <c r="D43" s="1012">
        <v>82.15</v>
      </c>
      <c r="E43" s="1013">
        <v>45182</v>
      </c>
      <c r="F43" s="1012">
        <f t="shared" si="0"/>
        <v>82.15</v>
      </c>
      <c r="G43" s="844" t="s">
        <v>634</v>
      </c>
      <c r="H43" s="845">
        <v>134</v>
      </c>
      <c r="I43" s="1014">
        <f t="shared" si="5"/>
        <v>4761.2100000000064</v>
      </c>
      <c r="J43" s="70">
        <f t="shared" si="2"/>
        <v>11008.1</v>
      </c>
      <c r="L43" s="118"/>
      <c r="M43" s="174">
        <f t="shared" si="6"/>
        <v>0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9.8054897534893826E-13</v>
      </c>
      <c r="U43" s="17">
        <f t="shared" si="3"/>
        <v>0</v>
      </c>
    </row>
    <row r="44" spans="1:21" x14ac:dyDescent="0.25">
      <c r="A44" s="118"/>
      <c r="B44" s="174">
        <f t="shared" si="4"/>
        <v>134</v>
      </c>
      <c r="C44" s="15">
        <v>35</v>
      </c>
      <c r="D44" s="1012">
        <v>941.78</v>
      </c>
      <c r="E44" s="1013">
        <v>45183</v>
      </c>
      <c r="F44" s="1012">
        <f t="shared" si="0"/>
        <v>941.78</v>
      </c>
      <c r="G44" s="844" t="s">
        <v>642</v>
      </c>
      <c r="H44" s="845">
        <v>134</v>
      </c>
      <c r="I44" s="1014">
        <f t="shared" si="5"/>
        <v>3819.4300000000067</v>
      </c>
      <c r="J44" s="70">
        <f t="shared" si="2"/>
        <v>126198.51999999999</v>
      </c>
      <c r="L44" s="118"/>
      <c r="M44" s="174">
        <f t="shared" si="6"/>
        <v>0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9.8054897534893826E-13</v>
      </c>
      <c r="U44" s="17">
        <f t="shared" si="3"/>
        <v>0</v>
      </c>
    </row>
    <row r="45" spans="1:21" x14ac:dyDescent="0.25">
      <c r="A45" s="118"/>
      <c r="B45" s="174">
        <f t="shared" si="4"/>
        <v>132</v>
      </c>
      <c r="C45" s="15">
        <v>2</v>
      </c>
      <c r="D45" s="1012">
        <v>55.39</v>
      </c>
      <c r="E45" s="1013">
        <v>45182</v>
      </c>
      <c r="F45" s="1012">
        <f t="shared" si="0"/>
        <v>55.39</v>
      </c>
      <c r="G45" s="844" t="s">
        <v>644</v>
      </c>
      <c r="H45" s="845">
        <v>134</v>
      </c>
      <c r="I45" s="1014">
        <f t="shared" si="5"/>
        <v>3764.0400000000068</v>
      </c>
      <c r="J45" s="70">
        <f t="shared" si="2"/>
        <v>7422.26</v>
      </c>
      <c r="L45" s="118"/>
      <c r="M45" s="174">
        <f t="shared" si="6"/>
        <v>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9.8054897534893826E-13</v>
      </c>
      <c r="U45" s="17">
        <f t="shared" si="3"/>
        <v>0</v>
      </c>
    </row>
    <row r="46" spans="1:21" x14ac:dyDescent="0.25">
      <c r="A46" s="118"/>
      <c r="B46" s="174">
        <f t="shared" si="4"/>
        <v>121</v>
      </c>
      <c r="C46" s="15">
        <v>11</v>
      </c>
      <c r="D46" s="1012">
        <v>319.38</v>
      </c>
      <c r="E46" s="1013">
        <v>45185</v>
      </c>
      <c r="F46" s="1012">
        <f t="shared" si="0"/>
        <v>319.38</v>
      </c>
      <c r="G46" s="844" t="s">
        <v>655</v>
      </c>
      <c r="H46" s="845">
        <v>134</v>
      </c>
      <c r="I46" s="1014">
        <f t="shared" si="5"/>
        <v>3444.6600000000067</v>
      </c>
      <c r="J46" s="70">
        <f t="shared" si="2"/>
        <v>42796.92</v>
      </c>
      <c r="L46" s="118"/>
      <c r="M46" s="174">
        <f t="shared" si="6"/>
        <v>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9.8054897534893826E-13</v>
      </c>
      <c r="U46" s="17">
        <f t="shared" si="3"/>
        <v>0</v>
      </c>
    </row>
    <row r="47" spans="1:21" x14ac:dyDescent="0.25">
      <c r="A47" s="118"/>
      <c r="B47" s="174">
        <f t="shared" si="4"/>
        <v>114</v>
      </c>
      <c r="C47" s="15">
        <v>7</v>
      </c>
      <c r="D47" s="1012">
        <v>194.41</v>
      </c>
      <c r="E47" s="1013">
        <v>45187</v>
      </c>
      <c r="F47" s="1012">
        <f t="shared" si="0"/>
        <v>194.41</v>
      </c>
      <c r="G47" s="844" t="s">
        <v>657</v>
      </c>
      <c r="H47" s="845">
        <v>134</v>
      </c>
      <c r="I47" s="1014">
        <f t="shared" si="5"/>
        <v>3250.2500000000068</v>
      </c>
      <c r="J47" s="70">
        <f t="shared" si="2"/>
        <v>26050.94</v>
      </c>
      <c r="L47" s="118"/>
      <c r="M47" s="174">
        <f t="shared" si="6"/>
        <v>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9.8054897534893826E-13</v>
      </c>
      <c r="U47" s="17">
        <f t="shared" si="3"/>
        <v>0</v>
      </c>
    </row>
    <row r="48" spans="1:21" x14ac:dyDescent="0.25">
      <c r="A48" s="118"/>
      <c r="B48" s="174">
        <f t="shared" si="4"/>
        <v>99</v>
      </c>
      <c r="C48" s="15">
        <v>15</v>
      </c>
      <c r="D48" s="1012">
        <v>411</v>
      </c>
      <c r="E48" s="1013">
        <v>45188</v>
      </c>
      <c r="F48" s="1012">
        <f t="shared" si="0"/>
        <v>411</v>
      </c>
      <c r="G48" s="844" t="s">
        <v>670</v>
      </c>
      <c r="H48" s="845">
        <v>134</v>
      </c>
      <c r="I48" s="1014">
        <f t="shared" si="5"/>
        <v>2839.2500000000068</v>
      </c>
      <c r="J48" s="70">
        <f t="shared" si="2"/>
        <v>55074</v>
      </c>
      <c r="L48" s="118"/>
      <c r="M48" s="174">
        <f t="shared" si="6"/>
        <v>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9.8054897534893826E-13</v>
      </c>
      <c r="U48" s="17">
        <f t="shared" si="3"/>
        <v>0</v>
      </c>
    </row>
    <row r="49" spans="1:21" x14ac:dyDescent="0.25">
      <c r="A49" s="118"/>
      <c r="B49" s="174">
        <f t="shared" si="4"/>
        <v>89</v>
      </c>
      <c r="C49" s="15">
        <v>10</v>
      </c>
      <c r="D49" s="1012">
        <v>288.75</v>
      </c>
      <c r="E49" s="1013">
        <v>45189</v>
      </c>
      <c r="F49" s="1012">
        <f t="shared" si="0"/>
        <v>288.75</v>
      </c>
      <c r="G49" s="844" t="s">
        <v>675</v>
      </c>
      <c r="H49" s="845">
        <v>134</v>
      </c>
      <c r="I49" s="1014">
        <f t="shared" si="5"/>
        <v>2550.5000000000068</v>
      </c>
      <c r="J49" s="70">
        <f t="shared" si="2"/>
        <v>38692.5</v>
      </c>
      <c r="L49" s="118"/>
      <c r="M49" s="174">
        <f t="shared" si="6"/>
        <v>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9.8054897534893826E-13</v>
      </c>
      <c r="U49" s="17">
        <f t="shared" si="3"/>
        <v>0</v>
      </c>
    </row>
    <row r="50" spans="1:21" x14ac:dyDescent="0.25">
      <c r="A50" s="118"/>
      <c r="B50" s="174">
        <f t="shared" si="4"/>
        <v>64</v>
      </c>
      <c r="C50" s="15">
        <v>25</v>
      </c>
      <c r="D50" s="1012">
        <v>728.02</v>
      </c>
      <c r="E50" s="1013">
        <v>45189</v>
      </c>
      <c r="F50" s="1012">
        <f t="shared" si="0"/>
        <v>728.02</v>
      </c>
      <c r="G50" s="844" t="s">
        <v>675</v>
      </c>
      <c r="H50" s="845">
        <v>134</v>
      </c>
      <c r="I50" s="1014">
        <f t="shared" si="5"/>
        <v>1822.4800000000068</v>
      </c>
      <c r="J50" s="70">
        <f t="shared" si="2"/>
        <v>97554.68</v>
      </c>
      <c r="L50" s="118"/>
      <c r="M50" s="174">
        <f t="shared" si="6"/>
        <v>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9.8054897534893826E-13</v>
      </c>
      <c r="U50" s="17">
        <f t="shared" si="3"/>
        <v>0</v>
      </c>
    </row>
    <row r="51" spans="1:21" x14ac:dyDescent="0.25">
      <c r="A51" s="118"/>
      <c r="B51" s="174">
        <f t="shared" si="4"/>
        <v>29</v>
      </c>
      <c r="C51" s="15">
        <v>35</v>
      </c>
      <c r="D51" s="1012">
        <v>1106.5</v>
      </c>
      <c r="E51" s="1013">
        <v>45190</v>
      </c>
      <c r="F51" s="1012">
        <f t="shared" si="0"/>
        <v>1106.5</v>
      </c>
      <c r="G51" s="844" t="s">
        <v>659</v>
      </c>
      <c r="H51" s="845">
        <v>134</v>
      </c>
      <c r="I51" s="1014">
        <f t="shared" si="5"/>
        <v>715.98000000000684</v>
      </c>
      <c r="J51" s="70">
        <f t="shared" si="2"/>
        <v>148271</v>
      </c>
      <c r="L51" s="118"/>
      <c r="M51" s="174">
        <f t="shared" si="6"/>
        <v>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9.8054897534893826E-13</v>
      </c>
      <c r="U51" s="17">
        <f t="shared" si="3"/>
        <v>0</v>
      </c>
    </row>
    <row r="52" spans="1:21" x14ac:dyDescent="0.25">
      <c r="A52" s="118"/>
      <c r="B52" s="174">
        <f t="shared" si="4"/>
        <v>28</v>
      </c>
      <c r="C52" s="15">
        <v>1</v>
      </c>
      <c r="D52" s="1012">
        <v>30.12</v>
      </c>
      <c r="E52" s="1013">
        <v>45191</v>
      </c>
      <c r="F52" s="1012">
        <f t="shared" si="0"/>
        <v>30.12</v>
      </c>
      <c r="G52" s="844" t="s">
        <v>697</v>
      </c>
      <c r="H52" s="845">
        <v>134</v>
      </c>
      <c r="I52" s="1014">
        <f t="shared" si="5"/>
        <v>685.86000000000683</v>
      </c>
      <c r="J52" s="70">
        <f t="shared" si="2"/>
        <v>4036.08</v>
      </c>
      <c r="L52" s="118"/>
      <c r="M52" s="174">
        <f t="shared" si="6"/>
        <v>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9.8054897534893826E-13</v>
      </c>
      <c r="U52" s="17">
        <f t="shared" si="3"/>
        <v>0</v>
      </c>
    </row>
    <row r="53" spans="1:21" x14ac:dyDescent="0.25">
      <c r="A53" s="118"/>
      <c r="B53" s="174">
        <f t="shared" si="4"/>
        <v>28</v>
      </c>
      <c r="C53" s="15"/>
      <c r="D53" s="1012"/>
      <c r="E53" s="1013"/>
      <c r="F53" s="1012">
        <f t="shared" si="0"/>
        <v>0</v>
      </c>
      <c r="G53" s="844"/>
      <c r="H53" s="845"/>
      <c r="I53" s="1014">
        <f t="shared" si="5"/>
        <v>685.86000000000683</v>
      </c>
      <c r="J53" s="70">
        <f t="shared" si="2"/>
        <v>0</v>
      </c>
      <c r="L53" s="118"/>
      <c r="M53" s="174">
        <f t="shared" si="6"/>
        <v>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9.8054897534893826E-13</v>
      </c>
      <c r="U53" s="17">
        <f t="shared" si="3"/>
        <v>0</v>
      </c>
    </row>
    <row r="54" spans="1:21" x14ac:dyDescent="0.25">
      <c r="A54" s="118"/>
      <c r="B54" s="174">
        <f t="shared" si="4"/>
        <v>28</v>
      </c>
      <c r="C54" s="15"/>
      <c r="D54" s="1012"/>
      <c r="E54" s="1013"/>
      <c r="F54" s="1012">
        <f t="shared" si="0"/>
        <v>0</v>
      </c>
      <c r="G54" s="844"/>
      <c r="H54" s="845"/>
      <c r="I54" s="1014">
        <f t="shared" si="5"/>
        <v>685.86000000000683</v>
      </c>
      <c r="J54" s="70">
        <f t="shared" si="2"/>
        <v>0</v>
      </c>
      <c r="L54" s="118"/>
      <c r="M54" s="174">
        <f t="shared" si="6"/>
        <v>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9.8054897534893826E-13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>
        <v>28</v>
      </c>
      <c r="D55" s="1012"/>
      <c r="E55" s="1013"/>
      <c r="F55" s="1257">
        <v>685.86</v>
      </c>
      <c r="G55" s="1258"/>
      <c r="H55" s="1259"/>
      <c r="I55" s="1268">
        <f t="shared" si="5"/>
        <v>6.8212102632969618E-12</v>
      </c>
      <c r="J55" s="1261">
        <f t="shared" si="2"/>
        <v>0</v>
      </c>
      <c r="L55" s="118"/>
      <c r="M55" s="174">
        <f t="shared" si="6"/>
        <v>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9.8054897534893826E-13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1012"/>
      <c r="E56" s="1013"/>
      <c r="F56" s="1257">
        <f t="shared" si="0"/>
        <v>0</v>
      </c>
      <c r="G56" s="1258"/>
      <c r="H56" s="1259"/>
      <c r="I56" s="1268">
        <f t="shared" si="5"/>
        <v>6.8212102632969618E-12</v>
      </c>
      <c r="J56" s="1261">
        <f t="shared" si="2"/>
        <v>0</v>
      </c>
      <c r="L56" s="118"/>
      <c r="M56" s="174">
        <f t="shared" si="6"/>
        <v>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9.8054897534893826E-13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1012"/>
      <c r="E57" s="1013"/>
      <c r="F57" s="1257">
        <f t="shared" si="0"/>
        <v>0</v>
      </c>
      <c r="G57" s="1258"/>
      <c r="H57" s="1259"/>
      <c r="I57" s="1268">
        <f t="shared" si="5"/>
        <v>6.8212102632969618E-12</v>
      </c>
      <c r="J57" s="1261">
        <f t="shared" si="2"/>
        <v>0</v>
      </c>
      <c r="L57" s="118"/>
      <c r="M57" s="174">
        <f t="shared" si="6"/>
        <v>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9.8054897534893826E-13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1012"/>
      <c r="E58" s="1013"/>
      <c r="F58" s="1257">
        <v>0</v>
      </c>
      <c r="G58" s="1258"/>
      <c r="H58" s="1259"/>
      <c r="I58" s="1268">
        <f t="shared" si="5"/>
        <v>6.8212102632969618E-12</v>
      </c>
      <c r="J58" s="1261">
        <f t="shared" si="2"/>
        <v>0</v>
      </c>
      <c r="L58" s="118"/>
      <c r="M58" s="174">
        <f t="shared" si="6"/>
        <v>0</v>
      </c>
      <c r="N58" s="15"/>
      <c r="O58" s="68"/>
      <c r="P58" s="191"/>
      <c r="Q58" s="68">
        <v>0</v>
      </c>
      <c r="R58" s="69"/>
      <c r="S58" s="70"/>
      <c r="T58" s="102">
        <f t="shared" si="7"/>
        <v>9.8054897534893826E-13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1012"/>
      <c r="E59" s="1013"/>
      <c r="F59" s="1257">
        <f t="shared" ref="F59:F74" si="8">D59</f>
        <v>0</v>
      </c>
      <c r="G59" s="1258"/>
      <c r="H59" s="1259"/>
      <c r="I59" s="1268">
        <f t="shared" si="5"/>
        <v>6.8212102632969618E-12</v>
      </c>
      <c r="J59" s="1261">
        <f t="shared" si="2"/>
        <v>0</v>
      </c>
      <c r="L59" s="118"/>
      <c r="M59" s="174">
        <f t="shared" si="6"/>
        <v>0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9.8054897534893826E-13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1012"/>
      <c r="E60" s="1013"/>
      <c r="F60" s="1257">
        <f t="shared" si="8"/>
        <v>0</v>
      </c>
      <c r="G60" s="1258"/>
      <c r="H60" s="1259"/>
      <c r="I60" s="1268">
        <f t="shared" si="5"/>
        <v>6.8212102632969618E-12</v>
      </c>
      <c r="J60" s="1261">
        <f t="shared" si="2"/>
        <v>0</v>
      </c>
      <c r="L60" s="118"/>
      <c r="M60" s="174">
        <f t="shared" si="6"/>
        <v>0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9.8054897534893826E-13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1012"/>
      <c r="E61" s="1013"/>
      <c r="F61" s="1012">
        <f t="shared" si="8"/>
        <v>0</v>
      </c>
      <c r="G61" s="844"/>
      <c r="H61" s="845"/>
      <c r="I61" s="1014">
        <f t="shared" si="5"/>
        <v>6.8212102632969618E-12</v>
      </c>
      <c r="J61" s="70">
        <f t="shared" si="2"/>
        <v>0</v>
      </c>
      <c r="L61" s="118"/>
      <c r="M61" s="174">
        <f t="shared" si="6"/>
        <v>0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9.8054897534893826E-13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1012"/>
      <c r="E62" s="1013"/>
      <c r="F62" s="1012">
        <f t="shared" si="8"/>
        <v>0</v>
      </c>
      <c r="G62" s="844"/>
      <c r="H62" s="845"/>
      <c r="I62" s="1014">
        <f t="shared" si="5"/>
        <v>6.8212102632969618E-12</v>
      </c>
      <c r="J62" s="70">
        <f t="shared" si="2"/>
        <v>0</v>
      </c>
      <c r="L62" s="118"/>
      <c r="M62" s="174">
        <f t="shared" si="6"/>
        <v>0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9.8054897534893826E-13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1012"/>
      <c r="E63" s="1013"/>
      <c r="F63" s="1012">
        <f t="shared" si="8"/>
        <v>0</v>
      </c>
      <c r="G63" s="844"/>
      <c r="H63" s="845"/>
      <c r="I63" s="1014">
        <f t="shared" si="5"/>
        <v>6.8212102632969618E-12</v>
      </c>
      <c r="J63" s="70">
        <f t="shared" si="2"/>
        <v>0</v>
      </c>
      <c r="L63" s="118"/>
      <c r="M63" s="174">
        <f t="shared" si="6"/>
        <v>0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9.8054897534893826E-13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1012"/>
      <c r="E64" s="1013"/>
      <c r="F64" s="1012">
        <f t="shared" si="8"/>
        <v>0</v>
      </c>
      <c r="G64" s="844"/>
      <c r="H64" s="845"/>
      <c r="I64" s="1014">
        <f t="shared" si="5"/>
        <v>6.8212102632969618E-12</v>
      </c>
      <c r="J64" s="70">
        <f t="shared" si="2"/>
        <v>0</v>
      </c>
      <c r="L64" s="118"/>
      <c r="M64" s="174">
        <f t="shared" si="6"/>
        <v>0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9.8054897534893826E-13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1012"/>
      <c r="E65" s="1013"/>
      <c r="F65" s="1012">
        <f t="shared" si="8"/>
        <v>0</v>
      </c>
      <c r="G65" s="844"/>
      <c r="H65" s="845"/>
      <c r="I65" s="1014">
        <f t="shared" si="5"/>
        <v>6.8212102632969618E-12</v>
      </c>
      <c r="J65" s="70">
        <f t="shared" si="2"/>
        <v>0</v>
      </c>
      <c r="L65" s="118"/>
      <c r="M65" s="174">
        <f t="shared" si="6"/>
        <v>0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9.8054897534893826E-13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1012"/>
      <c r="E66" s="1013"/>
      <c r="F66" s="1012">
        <f t="shared" si="8"/>
        <v>0</v>
      </c>
      <c r="G66" s="844"/>
      <c r="H66" s="845"/>
      <c r="I66" s="1014">
        <f t="shared" si="5"/>
        <v>6.8212102632969618E-12</v>
      </c>
      <c r="J66" s="70">
        <f t="shared" si="2"/>
        <v>0</v>
      </c>
      <c r="L66" s="118"/>
      <c r="M66" s="174">
        <f t="shared" si="6"/>
        <v>0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9.8054897534893826E-13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1012"/>
      <c r="E67" s="1013"/>
      <c r="F67" s="1012">
        <f t="shared" si="8"/>
        <v>0</v>
      </c>
      <c r="G67" s="844"/>
      <c r="H67" s="845"/>
      <c r="I67" s="1014">
        <f t="shared" si="5"/>
        <v>6.8212102632969618E-12</v>
      </c>
      <c r="J67" s="70">
        <f t="shared" si="2"/>
        <v>0</v>
      </c>
      <c r="L67" s="118"/>
      <c r="M67" s="174">
        <f t="shared" si="6"/>
        <v>0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9.8054897534893826E-13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1012"/>
      <c r="E68" s="1013"/>
      <c r="F68" s="1012">
        <f t="shared" si="8"/>
        <v>0</v>
      </c>
      <c r="G68" s="844"/>
      <c r="H68" s="845"/>
      <c r="I68" s="1014">
        <f t="shared" si="5"/>
        <v>6.8212102632969618E-12</v>
      </c>
      <c r="J68" s="70">
        <f t="shared" si="2"/>
        <v>0</v>
      </c>
      <c r="L68" s="118"/>
      <c r="M68" s="174">
        <f t="shared" si="6"/>
        <v>0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9.8054897534893826E-13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1012"/>
      <c r="E69" s="1013"/>
      <c r="F69" s="1012">
        <f t="shared" si="8"/>
        <v>0</v>
      </c>
      <c r="G69" s="844"/>
      <c r="H69" s="845"/>
      <c r="I69" s="1014">
        <f t="shared" si="5"/>
        <v>6.8212102632969618E-12</v>
      </c>
      <c r="J69" s="70">
        <f t="shared" si="2"/>
        <v>0</v>
      </c>
      <c r="L69" s="118"/>
      <c r="M69" s="174">
        <f t="shared" si="6"/>
        <v>0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9.8054897534893826E-13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1012"/>
      <c r="E70" s="1013"/>
      <c r="F70" s="1012">
        <f t="shared" si="8"/>
        <v>0</v>
      </c>
      <c r="G70" s="844"/>
      <c r="H70" s="845"/>
      <c r="I70" s="1014">
        <f t="shared" si="5"/>
        <v>6.8212102632969618E-12</v>
      </c>
      <c r="J70" s="70">
        <f t="shared" si="2"/>
        <v>0</v>
      </c>
      <c r="L70" s="118"/>
      <c r="M70" s="174">
        <f t="shared" si="6"/>
        <v>0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9.8054897534893826E-13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6.8212102632969618E-12</v>
      </c>
      <c r="J71" s="70">
        <f t="shared" si="2"/>
        <v>0</v>
      </c>
      <c r="L71" s="118"/>
      <c r="M71" s="174">
        <f t="shared" si="6"/>
        <v>0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9.8054897534893826E-13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6.8212102632969618E-12</v>
      </c>
      <c r="J72" s="70">
        <f t="shared" si="2"/>
        <v>0</v>
      </c>
      <c r="L72" s="118"/>
      <c r="M72" s="174">
        <f t="shared" si="6"/>
        <v>0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9.8054897534893826E-13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6.8212102632969618E-12</v>
      </c>
      <c r="J73" s="70">
        <f t="shared" si="2"/>
        <v>0</v>
      </c>
      <c r="L73" s="118"/>
      <c r="M73" s="174">
        <f t="shared" si="6"/>
        <v>0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9.8054897534893826E-13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6.8212102632969618E-12</v>
      </c>
      <c r="J74" s="70">
        <f t="shared" si="2"/>
        <v>0</v>
      </c>
      <c r="L74" s="118"/>
      <c r="M74" s="174">
        <f t="shared" si="6"/>
        <v>0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9.8054897534893826E-13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6.8212102632969618E-12</v>
      </c>
      <c r="J75" s="70">
        <f t="shared" ref="J75:J77" si="10">F75*H75</f>
        <v>0</v>
      </c>
      <c r="L75" s="118"/>
      <c r="M75" s="174">
        <f t="shared" si="6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9.8054897534893826E-13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6.8212102632969618E-12</v>
      </c>
      <c r="J76" s="70">
        <f t="shared" si="10"/>
        <v>0</v>
      </c>
      <c r="L76" s="118"/>
      <c r="M76" s="174">
        <f t="shared" ref="M76" si="14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9.8054897534893826E-13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6.8212102632969618E-12</v>
      </c>
      <c r="J77" s="70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9.8054897534893826E-13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654</v>
      </c>
      <c r="D79" s="6">
        <f>SUM(D10:D78)</f>
        <v>18353.32</v>
      </c>
      <c r="F79" s="6">
        <f>SUM(F10:F78)</f>
        <v>19039.18</v>
      </c>
      <c r="N79" s="53">
        <f>SUM(N10:N78)</f>
        <v>173</v>
      </c>
      <c r="O79" s="6">
        <f>SUM(O10:O78)</f>
        <v>4819.9299999999994</v>
      </c>
      <c r="Q79" s="6">
        <f>SUM(Q10:Q78)</f>
        <v>4819.9299999999994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</row>
    <row r="83" spans="3:17" ht="15.75" thickBot="1" x14ac:dyDescent="0.3"/>
    <row r="84" spans="3:17" ht="15.75" thickBot="1" x14ac:dyDescent="0.3">
      <c r="C84" s="1595" t="s">
        <v>11</v>
      </c>
      <c r="D84" s="1596"/>
      <c r="E84" s="56">
        <f>E5+E6-F79+E7+E4</f>
        <v>1.1368683772161603E-12</v>
      </c>
      <c r="F84" s="72"/>
      <c r="N84" s="1595" t="s">
        <v>11</v>
      </c>
      <c r="O84" s="1596"/>
      <c r="P84" s="56">
        <f>P5+P6-Q79+P7+P4</f>
        <v>0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97"/>
      <c r="B5" s="1597"/>
      <c r="C5" s="216"/>
      <c r="D5" s="130"/>
      <c r="E5" s="77"/>
      <c r="F5" s="61"/>
      <c r="G5" s="5"/>
    </row>
    <row r="6" spans="1:9" x14ac:dyDescent="0.25">
      <c r="A6" s="1597"/>
      <c r="B6" s="1597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9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763"/>
      <c r="E34" s="764"/>
      <c r="F34" s="146"/>
      <c r="G34" s="135"/>
      <c r="H34" s="70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5" t="s">
        <v>11</v>
      </c>
      <c r="D40" s="159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97" t="s">
        <v>52</v>
      </c>
      <c r="B5" s="1611" t="s">
        <v>87</v>
      </c>
      <c r="C5" s="216"/>
      <c r="D5" s="130"/>
      <c r="E5" s="77"/>
      <c r="F5" s="61"/>
      <c r="G5" s="5"/>
    </row>
    <row r="6" spans="1:9" x14ac:dyDescent="0.25">
      <c r="A6" s="1597"/>
      <c r="B6" s="1611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9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1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801"/>
      <c r="E34" s="802"/>
      <c r="F34" s="803"/>
      <c r="G34" s="804"/>
      <c r="H34" s="353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5" t="s">
        <v>11</v>
      </c>
      <c r="D40" s="159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N3" sqref="N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3" t="s">
        <v>331</v>
      </c>
      <c r="B1" s="1593"/>
      <c r="C1" s="1593"/>
      <c r="D1" s="1593"/>
      <c r="E1" s="1593"/>
      <c r="F1" s="1593"/>
      <c r="G1" s="1593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4"/>
      <c r="B4" s="1608" t="s">
        <v>67</v>
      </c>
      <c r="C4" s="230"/>
      <c r="D4" s="130"/>
      <c r="E4" s="429"/>
      <c r="F4" s="72"/>
      <c r="G4" s="151"/>
      <c r="H4" s="151"/>
    </row>
    <row r="5" spans="1:10" x14ac:dyDescent="0.25">
      <c r="A5" s="1610" t="s">
        <v>95</v>
      </c>
      <c r="B5" s="1609"/>
      <c r="C5" s="230">
        <v>121.5</v>
      </c>
      <c r="D5" s="130">
        <v>45197</v>
      </c>
      <c r="E5" s="429">
        <v>3359.96</v>
      </c>
      <c r="F5" s="72">
        <v>105</v>
      </c>
      <c r="G5" s="5"/>
    </row>
    <row r="6" spans="1:10" x14ac:dyDescent="0.25">
      <c r="A6" s="1610"/>
      <c r="B6" s="1609"/>
      <c r="C6" s="366"/>
      <c r="D6" s="130"/>
      <c r="E6" s="430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611"/>
      <c r="B7" s="1609"/>
      <c r="C7" s="220"/>
      <c r="D7" s="218"/>
      <c r="E7" s="429"/>
      <c r="F7" s="72"/>
    </row>
    <row r="8" spans="1:10" ht="15.75" thickBot="1" x14ac:dyDescent="0.3">
      <c r="A8" s="404"/>
      <c r="B8" s="144"/>
      <c r="C8" s="220"/>
      <c r="D8" s="218"/>
      <c r="E8" s="429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755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755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781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782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783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79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76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68"/>
      <c r="E30" s="191"/>
      <c r="F30" s="68">
        <f t="shared" si="0"/>
        <v>0</v>
      </c>
      <c r="G30" s="69"/>
      <c r="H30" s="7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68"/>
      <c r="E31" s="191"/>
      <c r="F31" s="68">
        <f t="shared" si="0"/>
        <v>0</v>
      </c>
      <c r="G31" s="69"/>
      <c r="H31" s="7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68"/>
      <c r="E32" s="191"/>
      <c r="F32" s="68">
        <f t="shared" si="0"/>
        <v>0</v>
      </c>
      <c r="G32" s="69"/>
      <c r="H32" s="7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595" t="s">
        <v>11</v>
      </c>
      <c r="D84" s="1596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U12" sqref="U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607" t="s">
        <v>307</v>
      </c>
      <c r="B1" s="1607"/>
      <c r="C1" s="1607"/>
      <c r="D1" s="1607"/>
      <c r="E1" s="1607"/>
      <c r="F1" s="1607"/>
      <c r="G1" s="1607"/>
      <c r="H1" s="11">
        <v>1</v>
      </c>
      <c r="I1" s="229"/>
      <c r="K1" s="1593" t="s">
        <v>331</v>
      </c>
      <c r="L1" s="1593"/>
      <c r="M1" s="1593"/>
      <c r="N1" s="1593"/>
      <c r="O1" s="1593"/>
      <c r="P1" s="1593"/>
      <c r="Q1" s="1593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x14ac:dyDescent="0.25">
      <c r="A5" s="1597" t="s">
        <v>79</v>
      </c>
      <c r="B5" s="1612" t="s">
        <v>181</v>
      </c>
      <c r="C5" s="358">
        <v>49</v>
      </c>
      <c r="D5" s="215">
        <v>45139</v>
      </c>
      <c r="E5" s="714">
        <v>15</v>
      </c>
      <c r="F5" s="61">
        <v>1</v>
      </c>
      <c r="G5" s="5"/>
      <c r="H5" t="s">
        <v>41</v>
      </c>
      <c r="K5" s="1597" t="s">
        <v>79</v>
      </c>
      <c r="L5" s="1612" t="s">
        <v>181</v>
      </c>
      <c r="M5" s="358">
        <v>53</v>
      </c>
      <c r="N5" s="215">
        <v>45189</v>
      </c>
      <c r="O5" s="714">
        <v>1005</v>
      </c>
      <c r="P5" s="61">
        <v>67</v>
      </c>
      <c r="Q5" s="5"/>
      <c r="R5" t="s">
        <v>41</v>
      </c>
    </row>
    <row r="6" spans="1:19" ht="15.75" x14ac:dyDescent="0.25">
      <c r="A6" s="1597"/>
      <c r="B6" s="1612"/>
      <c r="C6" s="422">
        <v>49</v>
      </c>
      <c r="D6" s="130">
        <v>45148</v>
      </c>
      <c r="E6" s="77">
        <v>1005</v>
      </c>
      <c r="F6" s="61">
        <v>67</v>
      </c>
      <c r="G6" s="47">
        <f>D35</f>
        <v>1020</v>
      </c>
      <c r="H6" s="7">
        <f>E6-G6+E7+E5-G5+E4+E8</f>
        <v>0</v>
      </c>
      <c r="I6" s="5"/>
      <c r="K6" s="1597"/>
      <c r="L6" s="1612"/>
      <c r="M6" s="422"/>
      <c r="N6" s="130"/>
      <c r="O6" s="77"/>
      <c r="P6" s="61"/>
      <c r="Q6" s="47">
        <f>N35</f>
        <v>420</v>
      </c>
      <c r="R6" s="7">
        <f>O6-Q6+O7+O5-Q5+O4+O8</f>
        <v>585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191">
        <v>45140</v>
      </c>
      <c r="F10" s="68">
        <f t="shared" ref="F10:F33" si="0">D10</f>
        <v>15</v>
      </c>
      <c r="G10" s="69" t="s">
        <v>198</v>
      </c>
      <c r="H10" s="70">
        <v>51</v>
      </c>
      <c r="I10" s="194">
        <f>E4+E5+E6+E7-F10+E8</f>
        <v>1005</v>
      </c>
      <c r="K10" s="79" t="s">
        <v>32</v>
      </c>
      <c r="L10" s="221">
        <f>P4+P5+P6+P7-M10+P8</f>
        <v>60</v>
      </c>
      <c r="M10" s="15">
        <v>7</v>
      </c>
      <c r="N10" s="68">
        <v>105</v>
      </c>
      <c r="O10" s="191">
        <v>45189</v>
      </c>
      <c r="P10" s="68">
        <f t="shared" ref="P10:P26" si="1">N10</f>
        <v>105</v>
      </c>
      <c r="Q10" s="69" t="s">
        <v>690</v>
      </c>
      <c r="R10" s="70">
        <v>55</v>
      </c>
      <c r="S10" s="194">
        <f>O4+O5+O6+O7-P10+O8</f>
        <v>900</v>
      </c>
    </row>
    <row r="11" spans="1:19" x14ac:dyDescent="0.25">
      <c r="A11" s="185"/>
      <c r="B11" s="221">
        <f>B10-C11</f>
        <v>47</v>
      </c>
      <c r="C11" s="15">
        <v>20</v>
      </c>
      <c r="D11" s="68">
        <v>300</v>
      </c>
      <c r="E11" s="191">
        <v>45150</v>
      </c>
      <c r="F11" s="68">
        <f t="shared" si="0"/>
        <v>300</v>
      </c>
      <c r="G11" s="69" t="s">
        <v>202</v>
      </c>
      <c r="H11" s="70">
        <v>51</v>
      </c>
      <c r="I11" s="194">
        <f>I10-F11</f>
        <v>705</v>
      </c>
      <c r="K11" s="185"/>
      <c r="L11" s="221">
        <f>L10-M11</f>
        <v>53</v>
      </c>
      <c r="M11" s="15">
        <v>7</v>
      </c>
      <c r="N11" s="68">
        <v>105</v>
      </c>
      <c r="O11" s="191">
        <v>45194</v>
      </c>
      <c r="P11" s="68">
        <f t="shared" si="1"/>
        <v>105</v>
      </c>
      <c r="Q11" s="69" t="s">
        <v>722</v>
      </c>
      <c r="R11" s="70">
        <v>55</v>
      </c>
      <c r="S11" s="194">
        <f>S10-P11</f>
        <v>795</v>
      </c>
    </row>
    <row r="12" spans="1:19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191">
        <v>45155</v>
      </c>
      <c r="F12" s="68">
        <f t="shared" si="0"/>
        <v>60</v>
      </c>
      <c r="G12" s="69" t="s">
        <v>241</v>
      </c>
      <c r="H12" s="70">
        <v>51</v>
      </c>
      <c r="I12" s="194">
        <f t="shared" ref="I12:I30" si="3">I11-F12</f>
        <v>645</v>
      </c>
      <c r="K12" s="174"/>
      <c r="L12" s="221">
        <f t="shared" ref="L12:L28" si="4">L11-M12</f>
        <v>39</v>
      </c>
      <c r="M12" s="15">
        <v>14</v>
      </c>
      <c r="N12" s="68">
        <v>210</v>
      </c>
      <c r="O12" s="191">
        <v>45196</v>
      </c>
      <c r="P12" s="68">
        <f t="shared" si="1"/>
        <v>210</v>
      </c>
      <c r="Q12" s="69" t="s">
        <v>734</v>
      </c>
      <c r="R12" s="70">
        <v>55</v>
      </c>
      <c r="S12" s="194">
        <f t="shared" ref="S12:S30" si="5">S11-P12</f>
        <v>585</v>
      </c>
    </row>
    <row r="13" spans="1:19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191">
        <v>45160</v>
      </c>
      <c r="F13" s="68">
        <f t="shared" si="0"/>
        <v>180</v>
      </c>
      <c r="G13" s="69" t="s">
        <v>252</v>
      </c>
      <c r="H13" s="70">
        <v>51</v>
      </c>
      <c r="I13" s="194">
        <f t="shared" si="3"/>
        <v>465</v>
      </c>
      <c r="K13" s="81" t="s">
        <v>33</v>
      </c>
      <c r="L13" s="1015">
        <f t="shared" si="4"/>
        <v>39</v>
      </c>
      <c r="M13" s="15"/>
      <c r="N13" s="68"/>
      <c r="O13" s="191"/>
      <c r="P13" s="68">
        <f t="shared" si="1"/>
        <v>0</v>
      </c>
      <c r="Q13" s="69"/>
      <c r="R13" s="70"/>
      <c r="S13" s="1016">
        <f t="shared" si="5"/>
        <v>585</v>
      </c>
    </row>
    <row r="14" spans="1:19" x14ac:dyDescent="0.25">
      <c r="A14" s="72"/>
      <c r="B14" s="221">
        <f t="shared" si="2"/>
        <v>27</v>
      </c>
      <c r="C14" s="15">
        <v>4</v>
      </c>
      <c r="D14" s="68">
        <v>60</v>
      </c>
      <c r="E14" s="191">
        <v>45166</v>
      </c>
      <c r="F14" s="68">
        <f t="shared" si="0"/>
        <v>60</v>
      </c>
      <c r="G14" s="69" t="s">
        <v>273</v>
      </c>
      <c r="H14" s="70">
        <v>51</v>
      </c>
      <c r="I14" s="194">
        <f t="shared" si="3"/>
        <v>405</v>
      </c>
      <c r="K14" s="72"/>
      <c r="L14" s="221">
        <f t="shared" si="4"/>
        <v>39</v>
      </c>
      <c r="M14" s="15"/>
      <c r="N14" s="68"/>
      <c r="O14" s="191"/>
      <c r="P14" s="68">
        <f t="shared" si="1"/>
        <v>0</v>
      </c>
      <c r="Q14" s="69"/>
      <c r="R14" s="70"/>
      <c r="S14" s="194">
        <f t="shared" si="5"/>
        <v>585</v>
      </c>
    </row>
    <row r="15" spans="1:19" x14ac:dyDescent="0.25">
      <c r="A15" s="72"/>
      <c r="B15" s="1015">
        <f t="shared" si="2"/>
        <v>27</v>
      </c>
      <c r="C15" s="15"/>
      <c r="D15" s="68"/>
      <c r="E15" s="191"/>
      <c r="F15" s="68">
        <f t="shared" si="0"/>
        <v>0</v>
      </c>
      <c r="G15" s="69"/>
      <c r="H15" s="70"/>
      <c r="I15" s="1016">
        <f t="shared" si="3"/>
        <v>405</v>
      </c>
      <c r="K15" s="72"/>
      <c r="L15" s="221">
        <f t="shared" si="4"/>
        <v>39</v>
      </c>
      <c r="M15" s="15"/>
      <c r="N15" s="68"/>
      <c r="O15" s="191"/>
      <c r="P15" s="68">
        <f t="shared" si="1"/>
        <v>0</v>
      </c>
      <c r="Q15" s="69"/>
      <c r="R15" s="70"/>
      <c r="S15" s="194">
        <f t="shared" si="5"/>
        <v>585</v>
      </c>
    </row>
    <row r="16" spans="1:19" x14ac:dyDescent="0.25">
      <c r="B16" s="221">
        <f t="shared" si="2"/>
        <v>12</v>
      </c>
      <c r="C16" s="15">
        <v>15</v>
      </c>
      <c r="D16" s="1012">
        <v>225</v>
      </c>
      <c r="E16" s="1013">
        <v>45178</v>
      </c>
      <c r="F16" s="1012">
        <f t="shared" si="0"/>
        <v>225</v>
      </c>
      <c r="G16" s="844" t="s">
        <v>583</v>
      </c>
      <c r="H16" s="845">
        <v>51</v>
      </c>
      <c r="I16" s="194">
        <f t="shared" si="3"/>
        <v>180</v>
      </c>
      <c r="L16" s="221">
        <f t="shared" si="4"/>
        <v>39</v>
      </c>
      <c r="M16" s="15"/>
      <c r="N16" s="68"/>
      <c r="O16" s="191"/>
      <c r="P16" s="68">
        <f t="shared" si="1"/>
        <v>0</v>
      </c>
      <c r="Q16" s="69"/>
      <c r="R16" s="70"/>
      <c r="S16" s="194">
        <f t="shared" si="5"/>
        <v>585</v>
      </c>
    </row>
    <row r="17" spans="1:19" x14ac:dyDescent="0.25">
      <c r="B17" s="221">
        <f t="shared" si="2"/>
        <v>0</v>
      </c>
      <c r="C17" s="15">
        <v>12</v>
      </c>
      <c r="D17" s="1012">
        <v>180</v>
      </c>
      <c r="E17" s="1013">
        <v>45180</v>
      </c>
      <c r="F17" s="1012">
        <f t="shared" si="0"/>
        <v>180</v>
      </c>
      <c r="G17" s="844" t="s">
        <v>604</v>
      </c>
      <c r="H17" s="845">
        <v>51</v>
      </c>
      <c r="I17" s="194">
        <f t="shared" si="3"/>
        <v>0</v>
      </c>
      <c r="L17" s="221">
        <f t="shared" si="4"/>
        <v>39</v>
      </c>
      <c r="M17" s="15"/>
      <c r="N17" s="68"/>
      <c r="O17" s="191"/>
      <c r="P17" s="68">
        <f t="shared" si="1"/>
        <v>0</v>
      </c>
      <c r="Q17" s="69"/>
      <c r="R17" s="70"/>
      <c r="S17" s="194">
        <f t="shared" si="5"/>
        <v>585</v>
      </c>
    </row>
    <row r="18" spans="1:19" x14ac:dyDescent="0.25">
      <c r="A18" s="118"/>
      <c r="B18" s="221">
        <f t="shared" si="2"/>
        <v>0</v>
      </c>
      <c r="C18" s="15"/>
      <c r="D18" s="1012"/>
      <c r="E18" s="1013"/>
      <c r="F18" s="1012">
        <f t="shared" si="0"/>
        <v>0</v>
      </c>
      <c r="G18" s="844"/>
      <c r="H18" s="845"/>
      <c r="I18" s="194">
        <f t="shared" si="3"/>
        <v>0</v>
      </c>
      <c r="K18" s="118"/>
      <c r="L18" s="221">
        <f t="shared" si="4"/>
        <v>39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585</v>
      </c>
    </row>
    <row r="19" spans="1:19" x14ac:dyDescent="0.25">
      <c r="A19" s="118"/>
      <c r="B19" s="221">
        <f t="shared" si="2"/>
        <v>0</v>
      </c>
      <c r="C19" s="15"/>
      <c r="D19" s="1012"/>
      <c r="E19" s="1013"/>
      <c r="F19" s="1257">
        <f t="shared" si="0"/>
        <v>0</v>
      </c>
      <c r="G19" s="1258"/>
      <c r="H19" s="1259"/>
      <c r="I19" s="1299">
        <f t="shared" si="3"/>
        <v>0</v>
      </c>
      <c r="K19" s="118"/>
      <c r="L19" s="221">
        <f t="shared" si="4"/>
        <v>39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585</v>
      </c>
    </row>
    <row r="20" spans="1:19" x14ac:dyDescent="0.25">
      <c r="A20" s="118"/>
      <c r="B20" s="221">
        <f t="shared" si="2"/>
        <v>0</v>
      </c>
      <c r="C20" s="15"/>
      <c r="D20" s="1012"/>
      <c r="E20" s="1013"/>
      <c r="F20" s="1257">
        <f t="shared" si="0"/>
        <v>0</v>
      </c>
      <c r="G20" s="1258"/>
      <c r="H20" s="1259"/>
      <c r="I20" s="1299">
        <f t="shared" si="3"/>
        <v>0</v>
      </c>
      <c r="K20" s="118"/>
      <c r="L20" s="221">
        <f t="shared" si="4"/>
        <v>39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585</v>
      </c>
    </row>
    <row r="21" spans="1:19" x14ac:dyDescent="0.25">
      <c r="A21" s="118"/>
      <c r="B21" s="221">
        <f t="shared" si="2"/>
        <v>0</v>
      </c>
      <c r="C21" s="15"/>
      <c r="D21" s="1012"/>
      <c r="E21" s="1013"/>
      <c r="F21" s="1257">
        <f t="shared" si="0"/>
        <v>0</v>
      </c>
      <c r="G21" s="1258"/>
      <c r="H21" s="1259"/>
      <c r="I21" s="1299">
        <f t="shared" si="3"/>
        <v>0</v>
      </c>
      <c r="K21" s="118"/>
      <c r="L21" s="221">
        <f t="shared" si="4"/>
        <v>39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585</v>
      </c>
    </row>
    <row r="22" spans="1:19" x14ac:dyDescent="0.25">
      <c r="A22" s="118"/>
      <c r="B22" s="221">
        <f t="shared" si="2"/>
        <v>0</v>
      </c>
      <c r="C22" s="15"/>
      <c r="D22" s="1012"/>
      <c r="E22" s="1013"/>
      <c r="F22" s="1257">
        <f t="shared" si="0"/>
        <v>0</v>
      </c>
      <c r="G22" s="1258"/>
      <c r="H22" s="1259"/>
      <c r="I22" s="1299">
        <f t="shared" si="3"/>
        <v>0</v>
      </c>
      <c r="K22" s="118"/>
      <c r="L22" s="221">
        <f t="shared" si="4"/>
        <v>39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585</v>
      </c>
    </row>
    <row r="23" spans="1:19" x14ac:dyDescent="0.25">
      <c r="A23" s="119"/>
      <c r="B23" s="221">
        <f t="shared" si="2"/>
        <v>0</v>
      </c>
      <c r="C23" s="15"/>
      <c r="D23" s="1012"/>
      <c r="E23" s="1013"/>
      <c r="F23" s="1012">
        <f t="shared" si="0"/>
        <v>0</v>
      </c>
      <c r="G23" s="844"/>
      <c r="H23" s="845"/>
      <c r="I23" s="194">
        <f t="shared" si="3"/>
        <v>0</v>
      </c>
      <c r="K23" s="119"/>
      <c r="L23" s="221">
        <f t="shared" si="4"/>
        <v>39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585</v>
      </c>
    </row>
    <row r="24" spans="1:19" x14ac:dyDescent="0.25">
      <c r="A24" s="118"/>
      <c r="B24" s="221">
        <f t="shared" si="2"/>
        <v>0</v>
      </c>
      <c r="C24" s="15"/>
      <c r="D24" s="1012"/>
      <c r="E24" s="1013"/>
      <c r="F24" s="1012">
        <f t="shared" si="0"/>
        <v>0</v>
      </c>
      <c r="G24" s="844"/>
      <c r="H24" s="845"/>
      <c r="I24" s="194">
        <f t="shared" si="3"/>
        <v>0</v>
      </c>
      <c r="K24" s="118"/>
      <c r="L24" s="221">
        <f t="shared" si="4"/>
        <v>39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585</v>
      </c>
    </row>
    <row r="25" spans="1:19" x14ac:dyDescent="0.25">
      <c r="A25" s="118"/>
      <c r="B25" s="221">
        <f t="shared" si="2"/>
        <v>0</v>
      </c>
      <c r="C25" s="15"/>
      <c r="D25" s="1012"/>
      <c r="E25" s="1013"/>
      <c r="F25" s="1012">
        <f t="shared" si="0"/>
        <v>0</v>
      </c>
      <c r="G25" s="844"/>
      <c r="H25" s="845"/>
      <c r="I25" s="194">
        <f t="shared" si="3"/>
        <v>0</v>
      </c>
      <c r="K25" s="118"/>
      <c r="L25" s="221">
        <f t="shared" si="4"/>
        <v>39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585</v>
      </c>
    </row>
    <row r="26" spans="1:19" x14ac:dyDescent="0.25">
      <c r="A26" s="118"/>
      <c r="B26" s="221">
        <f t="shared" si="2"/>
        <v>0</v>
      </c>
      <c r="C26" s="15"/>
      <c r="D26" s="1012"/>
      <c r="E26" s="1013"/>
      <c r="F26" s="1012">
        <f t="shared" si="0"/>
        <v>0</v>
      </c>
      <c r="G26" s="844"/>
      <c r="H26" s="845"/>
      <c r="I26" s="194">
        <f t="shared" si="3"/>
        <v>0</v>
      </c>
      <c r="K26" s="118"/>
      <c r="L26" s="221">
        <f t="shared" si="4"/>
        <v>39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585</v>
      </c>
    </row>
    <row r="27" spans="1:19" x14ac:dyDescent="0.25">
      <c r="A27" s="118"/>
      <c r="B27" s="221">
        <f t="shared" si="2"/>
        <v>0</v>
      </c>
      <c r="C27" s="15"/>
      <c r="D27" s="1012"/>
      <c r="E27" s="1013"/>
      <c r="F27" s="1012">
        <v>0</v>
      </c>
      <c r="G27" s="844"/>
      <c r="H27" s="845"/>
      <c r="I27" s="194">
        <f t="shared" si="3"/>
        <v>0</v>
      </c>
      <c r="K27" s="118"/>
      <c r="L27" s="221">
        <f t="shared" si="4"/>
        <v>39</v>
      </c>
      <c r="M27" s="15"/>
      <c r="N27" s="68"/>
      <c r="O27" s="191"/>
      <c r="P27" s="68">
        <v>0</v>
      </c>
      <c r="Q27" s="69"/>
      <c r="R27" s="70"/>
      <c r="S27" s="194">
        <f t="shared" si="5"/>
        <v>585</v>
      </c>
    </row>
    <row r="28" spans="1:19" x14ac:dyDescent="0.25">
      <c r="A28" s="118"/>
      <c r="B28" s="221">
        <f t="shared" si="2"/>
        <v>0</v>
      </c>
      <c r="C28" s="15"/>
      <c r="D28" s="1012"/>
      <c r="E28" s="1013"/>
      <c r="F28" s="1012">
        <f t="shared" si="0"/>
        <v>0</v>
      </c>
      <c r="G28" s="844"/>
      <c r="H28" s="845"/>
      <c r="I28" s="194">
        <f t="shared" si="3"/>
        <v>0</v>
      </c>
      <c r="K28" s="118"/>
      <c r="L28" s="221">
        <f t="shared" si="4"/>
        <v>39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585</v>
      </c>
    </row>
    <row r="29" spans="1:19" x14ac:dyDescent="0.25">
      <c r="A29" s="118"/>
      <c r="B29" s="221"/>
      <c r="C29" s="15"/>
      <c r="D29" s="1012"/>
      <c r="E29" s="1013"/>
      <c r="F29" s="1012">
        <f t="shared" si="0"/>
        <v>0</v>
      </c>
      <c r="G29" s="844"/>
      <c r="H29" s="845"/>
      <c r="I29" s="194">
        <f t="shared" si="3"/>
        <v>0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585</v>
      </c>
    </row>
    <row r="30" spans="1:19" x14ac:dyDescent="0.25">
      <c r="A30" s="118"/>
      <c r="B30" s="221"/>
      <c r="C30" s="15"/>
      <c r="D30" s="1012"/>
      <c r="E30" s="1013"/>
      <c r="F30" s="1012">
        <f t="shared" si="0"/>
        <v>0</v>
      </c>
      <c r="G30" s="844"/>
      <c r="H30" s="845"/>
      <c r="I30" s="194">
        <f t="shared" si="3"/>
        <v>0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585</v>
      </c>
    </row>
    <row r="31" spans="1:1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1020</v>
      </c>
      <c r="F35" s="6">
        <f>SUM(F10:F34)</f>
        <v>1020</v>
      </c>
      <c r="M35" s="6">
        <f>SUM(M10:M34)</f>
        <v>28</v>
      </c>
      <c r="N35" s="6">
        <f>SUM(N10:N34)</f>
        <v>420</v>
      </c>
      <c r="P35" s="6">
        <f>SUM(P10:P34)</f>
        <v>420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39</v>
      </c>
    </row>
    <row r="39" spans="1:19" ht="15.75" thickBot="1" x14ac:dyDescent="0.3"/>
    <row r="40" spans="1:19" ht="15.75" thickBot="1" x14ac:dyDescent="0.3">
      <c r="C40" s="1595" t="s">
        <v>11</v>
      </c>
      <c r="D40" s="1596"/>
      <c r="E40" s="56">
        <f>E4+E5+E6+E7-F35</f>
        <v>0</v>
      </c>
      <c r="F40" s="72"/>
      <c r="M40" s="1595" t="s">
        <v>11</v>
      </c>
      <c r="N40" s="1596"/>
      <c r="O40" s="56">
        <f>O4+O5+O6+O7-P35</f>
        <v>585</v>
      </c>
      <c r="P40" s="72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6" activePane="bottomLeft" state="frozen"/>
      <selection pane="bottomLeft" activeCell="T26" sqref="T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2"/>
  </cols>
  <sheetData>
    <row r="1" spans="1:19" ht="40.5" x14ac:dyDescent="0.55000000000000004">
      <c r="A1" s="1607" t="s">
        <v>308</v>
      </c>
      <c r="B1" s="1607"/>
      <c r="C1" s="1607"/>
      <c r="D1" s="1607"/>
      <c r="E1" s="1607"/>
      <c r="F1" s="1607"/>
      <c r="G1" s="1607"/>
      <c r="H1" s="11">
        <v>1</v>
      </c>
      <c r="I1" s="491"/>
      <c r="K1" s="1593" t="s">
        <v>331</v>
      </c>
      <c r="L1" s="1593"/>
      <c r="M1" s="1593"/>
      <c r="N1" s="1593"/>
      <c r="O1" s="1593"/>
      <c r="P1" s="1593"/>
      <c r="Q1" s="1593"/>
      <c r="R1" s="11">
        <v>1</v>
      </c>
      <c r="S1" s="49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3"/>
    </row>
    <row r="4" spans="1:19" ht="15.75" customHeight="1" thickTop="1" x14ac:dyDescent="0.25">
      <c r="A4" s="12"/>
      <c r="B4" s="1613" t="s">
        <v>182</v>
      </c>
      <c r="C4" s="366">
        <v>58</v>
      </c>
      <c r="D4" s="938">
        <v>45140</v>
      </c>
      <c r="E4" s="58">
        <v>2019.61</v>
      </c>
      <c r="F4" s="61">
        <v>76</v>
      </c>
      <c r="G4" s="151"/>
      <c r="H4" s="151"/>
      <c r="I4" s="493"/>
      <c r="K4" s="12"/>
      <c r="L4" s="1613" t="s">
        <v>182</v>
      </c>
      <c r="M4" s="366"/>
      <c r="N4" s="938"/>
      <c r="O4" s="58"/>
      <c r="P4" s="61"/>
      <c r="Q4" s="151"/>
      <c r="R4" s="151"/>
      <c r="S4" s="493"/>
    </row>
    <row r="5" spans="1:19" ht="15" customHeight="1" x14ac:dyDescent="0.25">
      <c r="A5" s="1597" t="s">
        <v>52</v>
      </c>
      <c r="B5" s="1614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97" t="s">
        <v>52</v>
      </c>
      <c r="L5" s="1614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97"/>
      <c r="B6" s="1614"/>
      <c r="C6" s="422"/>
      <c r="D6" s="215"/>
      <c r="E6" s="77"/>
      <c r="F6" s="61"/>
      <c r="G6" s="47">
        <f>F35</f>
        <v>4047.639999999999</v>
      </c>
      <c r="H6" s="7">
        <f>E6-G6+E7+E5-G5+E4+E8</f>
        <v>-0.33999999999900865</v>
      </c>
      <c r="I6" s="494"/>
      <c r="K6" s="1597"/>
      <c r="L6" s="1614"/>
      <c r="M6" s="422"/>
      <c r="N6" s="215"/>
      <c r="O6" s="77"/>
      <c r="P6" s="61"/>
      <c r="Q6" s="47">
        <f>P35</f>
        <v>321.57</v>
      </c>
      <c r="R6" s="7">
        <f>O6-Q6+O7+O5-Q5+O4+O8</f>
        <v>0</v>
      </c>
      <c r="S6" s="494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6.5" thickTop="1" x14ac:dyDescent="0.25">
      <c r="A10" s="79" t="s">
        <v>32</v>
      </c>
      <c r="B10" s="221">
        <f>F4+F5+F6+F7-C10+F8</f>
        <v>140</v>
      </c>
      <c r="C10" s="15">
        <v>10</v>
      </c>
      <c r="D10" s="68">
        <v>266.60000000000002</v>
      </c>
      <c r="E10" s="191">
        <v>45140</v>
      </c>
      <c r="F10" s="68">
        <f t="shared" ref="F10:F27" si="0">D10</f>
        <v>266.60000000000002</v>
      </c>
      <c r="G10" s="69" t="s">
        <v>198</v>
      </c>
      <c r="H10" s="70">
        <v>60</v>
      </c>
      <c r="I10" s="59">
        <f>E4+E5+E6+E7-F10+E8</f>
        <v>3780.7000000000003</v>
      </c>
      <c r="K10" s="79" t="s">
        <v>32</v>
      </c>
      <c r="L10" s="221">
        <f>P4+P5+P6+P7-M10+P8</f>
        <v>0</v>
      </c>
      <c r="M10" s="1364">
        <v>13</v>
      </c>
      <c r="N10" s="68">
        <v>321.57</v>
      </c>
      <c r="O10" s="191">
        <v>45175</v>
      </c>
      <c r="P10" s="68">
        <f t="shared" ref="P10" si="1">N10</f>
        <v>321.57</v>
      </c>
      <c r="Q10" s="69" t="s">
        <v>550</v>
      </c>
      <c r="R10" s="70">
        <v>58</v>
      </c>
      <c r="S10" s="59">
        <f>O4+O5+O6+O7-P10+O8</f>
        <v>0</v>
      </c>
    </row>
    <row r="11" spans="1:19" x14ac:dyDescent="0.25">
      <c r="A11" s="185"/>
      <c r="B11" s="221">
        <f>B10-C11</f>
        <v>136</v>
      </c>
      <c r="C11" s="15">
        <v>4</v>
      </c>
      <c r="D11" s="68">
        <v>102.45</v>
      </c>
      <c r="E11" s="191">
        <v>45143</v>
      </c>
      <c r="F11" s="68">
        <f t="shared" si="0"/>
        <v>102.45</v>
      </c>
      <c r="G11" s="69" t="s">
        <v>207</v>
      </c>
      <c r="H11" s="70">
        <v>61</v>
      </c>
      <c r="I11" s="59">
        <f>I10-F11</f>
        <v>3678.2500000000005</v>
      </c>
      <c r="K11" s="185"/>
      <c r="L11" s="221">
        <f>L10-M11</f>
        <v>0</v>
      </c>
      <c r="M11" s="15"/>
      <c r="N11" s="68"/>
      <c r="O11" s="191"/>
      <c r="P11" s="68">
        <f t="shared" ref="P11:P26" si="2">N11</f>
        <v>0</v>
      </c>
      <c r="Q11" s="69"/>
      <c r="R11" s="70"/>
      <c r="S11" s="59">
        <f>S10-P11</f>
        <v>0</v>
      </c>
    </row>
    <row r="12" spans="1:19" x14ac:dyDescent="0.25">
      <c r="A12" s="174"/>
      <c r="B12" s="221">
        <f t="shared" ref="B12:B33" si="3">B11-C12</f>
        <v>128</v>
      </c>
      <c r="C12" s="15">
        <v>8</v>
      </c>
      <c r="D12" s="68">
        <v>230.87</v>
      </c>
      <c r="E12" s="191">
        <v>45145</v>
      </c>
      <c r="F12" s="68">
        <f t="shared" si="0"/>
        <v>230.87</v>
      </c>
      <c r="G12" s="69" t="s">
        <v>204</v>
      </c>
      <c r="H12" s="70">
        <v>61</v>
      </c>
      <c r="I12" s="59">
        <f t="shared" ref="I12:I22" si="4">I11-F12</f>
        <v>3447.3800000000006</v>
      </c>
      <c r="K12" s="174"/>
      <c r="L12" s="221">
        <f t="shared" ref="L12:L33" si="5">L11-M12</f>
        <v>0</v>
      </c>
      <c r="M12" s="15"/>
      <c r="N12" s="1012"/>
      <c r="O12" s="1013"/>
      <c r="P12" s="1269">
        <f t="shared" si="2"/>
        <v>0</v>
      </c>
      <c r="Q12" s="1258"/>
      <c r="R12" s="1259"/>
      <c r="S12" s="1275">
        <f t="shared" ref="S12:S33" si="6">S11-P12</f>
        <v>0</v>
      </c>
    </row>
    <row r="13" spans="1:19" x14ac:dyDescent="0.25">
      <c r="A13" s="81" t="s">
        <v>33</v>
      </c>
      <c r="B13" s="221">
        <f t="shared" si="3"/>
        <v>124</v>
      </c>
      <c r="C13" s="15">
        <v>4</v>
      </c>
      <c r="D13" s="68">
        <v>112.39</v>
      </c>
      <c r="E13" s="191">
        <v>45146</v>
      </c>
      <c r="F13" s="68">
        <f t="shared" si="0"/>
        <v>112.39</v>
      </c>
      <c r="G13" s="69" t="s">
        <v>215</v>
      </c>
      <c r="H13" s="70">
        <v>61</v>
      </c>
      <c r="I13" s="59">
        <f t="shared" si="4"/>
        <v>3334.9900000000007</v>
      </c>
      <c r="K13" s="81" t="s">
        <v>33</v>
      </c>
      <c r="L13" s="221">
        <f t="shared" si="5"/>
        <v>0</v>
      </c>
      <c r="M13" s="15"/>
      <c r="N13" s="68"/>
      <c r="O13" s="191"/>
      <c r="P13" s="1269">
        <f t="shared" si="2"/>
        <v>0</v>
      </c>
      <c r="Q13" s="1270"/>
      <c r="R13" s="1261"/>
      <c r="S13" s="1275">
        <f t="shared" si="6"/>
        <v>0</v>
      </c>
    </row>
    <row r="14" spans="1:19" x14ac:dyDescent="0.25">
      <c r="A14" s="72"/>
      <c r="B14" s="221">
        <f t="shared" si="3"/>
        <v>112</v>
      </c>
      <c r="C14" s="15">
        <v>12</v>
      </c>
      <c r="D14" s="68">
        <v>312.83</v>
      </c>
      <c r="E14" s="191">
        <v>45149</v>
      </c>
      <c r="F14" s="68">
        <f t="shared" si="0"/>
        <v>312.83</v>
      </c>
      <c r="G14" s="69" t="s">
        <v>221</v>
      </c>
      <c r="H14" s="70">
        <v>61</v>
      </c>
      <c r="I14" s="59">
        <f t="shared" si="4"/>
        <v>3022.1600000000008</v>
      </c>
      <c r="K14" s="72"/>
      <c r="L14" s="221">
        <f t="shared" si="5"/>
        <v>0</v>
      </c>
      <c r="M14" s="15"/>
      <c r="N14" s="68"/>
      <c r="O14" s="191"/>
      <c r="P14" s="1269">
        <f t="shared" si="2"/>
        <v>0</v>
      </c>
      <c r="Q14" s="1270"/>
      <c r="R14" s="1261"/>
      <c r="S14" s="1275">
        <f t="shared" si="6"/>
        <v>0</v>
      </c>
    </row>
    <row r="15" spans="1:19" x14ac:dyDescent="0.25">
      <c r="A15" s="72"/>
      <c r="B15" s="221">
        <f t="shared" si="3"/>
        <v>89</v>
      </c>
      <c r="C15" s="15">
        <v>23</v>
      </c>
      <c r="D15" s="68">
        <v>642.11</v>
      </c>
      <c r="E15" s="191">
        <v>45151</v>
      </c>
      <c r="F15" s="68">
        <f t="shared" si="0"/>
        <v>642.11</v>
      </c>
      <c r="G15" s="69" t="s">
        <v>223</v>
      </c>
      <c r="H15" s="70">
        <v>61</v>
      </c>
      <c r="I15" s="59">
        <f t="shared" si="4"/>
        <v>2380.0500000000006</v>
      </c>
      <c r="K15" s="72"/>
      <c r="L15" s="221">
        <f t="shared" si="5"/>
        <v>0</v>
      </c>
      <c r="M15" s="15"/>
      <c r="N15" s="68"/>
      <c r="O15" s="191"/>
      <c r="P15" s="1269">
        <f t="shared" si="2"/>
        <v>0</v>
      </c>
      <c r="Q15" s="1270"/>
      <c r="R15" s="1261"/>
      <c r="S15" s="1275">
        <f t="shared" si="6"/>
        <v>0</v>
      </c>
    </row>
    <row r="16" spans="1:19" x14ac:dyDescent="0.25">
      <c r="B16" s="221">
        <f t="shared" si="3"/>
        <v>79</v>
      </c>
      <c r="C16" s="15">
        <v>10</v>
      </c>
      <c r="D16" s="68">
        <v>262.2</v>
      </c>
      <c r="E16" s="191">
        <v>45152</v>
      </c>
      <c r="F16" s="68">
        <f t="shared" si="0"/>
        <v>262.2</v>
      </c>
      <c r="G16" s="69" t="s">
        <v>227</v>
      </c>
      <c r="H16" s="70">
        <v>61</v>
      </c>
      <c r="I16" s="59">
        <f t="shared" si="4"/>
        <v>2117.8500000000008</v>
      </c>
      <c r="L16" s="221">
        <f t="shared" si="5"/>
        <v>0</v>
      </c>
      <c r="M16" s="15"/>
      <c r="N16" s="68"/>
      <c r="O16" s="191"/>
      <c r="P16" s="1269">
        <f t="shared" si="2"/>
        <v>0</v>
      </c>
      <c r="Q16" s="1270"/>
      <c r="R16" s="1261"/>
      <c r="S16" s="1275">
        <f t="shared" si="6"/>
        <v>0</v>
      </c>
    </row>
    <row r="17" spans="1:19" x14ac:dyDescent="0.25">
      <c r="B17" s="221">
        <f t="shared" si="3"/>
        <v>73</v>
      </c>
      <c r="C17" s="15">
        <v>6</v>
      </c>
      <c r="D17" s="68">
        <v>154</v>
      </c>
      <c r="E17" s="191">
        <v>45159</v>
      </c>
      <c r="F17" s="68">
        <f t="shared" si="0"/>
        <v>154</v>
      </c>
      <c r="G17" s="69" t="s">
        <v>250</v>
      </c>
      <c r="H17" s="70">
        <v>61</v>
      </c>
      <c r="I17" s="59">
        <f t="shared" si="4"/>
        <v>1963.8500000000008</v>
      </c>
      <c r="L17" s="221">
        <f t="shared" si="5"/>
        <v>0</v>
      </c>
      <c r="M17" s="15"/>
      <c r="N17" s="68"/>
      <c r="O17" s="191"/>
      <c r="P17" s="68">
        <f t="shared" si="2"/>
        <v>0</v>
      </c>
      <c r="Q17" s="69"/>
      <c r="R17" s="70"/>
      <c r="S17" s="59">
        <f t="shared" si="6"/>
        <v>0</v>
      </c>
    </row>
    <row r="18" spans="1:19" x14ac:dyDescent="0.25">
      <c r="A18" s="118"/>
      <c r="B18" s="221">
        <f t="shared" si="3"/>
        <v>65</v>
      </c>
      <c r="C18" s="15">
        <v>8</v>
      </c>
      <c r="D18" s="68">
        <v>207.48</v>
      </c>
      <c r="E18" s="191">
        <v>45166</v>
      </c>
      <c r="F18" s="68">
        <f t="shared" si="0"/>
        <v>207.48</v>
      </c>
      <c r="G18" s="69" t="s">
        <v>268</v>
      </c>
      <c r="H18" s="70">
        <v>61</v>
      </c>
      <c r="I18" s="59">
        <f t="shared" si="4"/>
        <v>1756.3700000000008</v>
      </c>
      <c r="K18" s="118"/>
      <c r="L18" s="221">
        <f t="shared" si="5"/>
        <v>0</v>
      </c>
      <c r="M18" s="15"/>
      <c r="N18" s="68"/>
      <c r="O18" s="191"/>
      <c r="P18" s="68">
        <f t="shared" si="2"/>
        <v>0</v>
      </c>
      <c r="Q18" s="69"/>
      <c r="R18" s="70"/>
      <c r="S18" s="59">
        <f t="shared" si="6"/>
        <v>0</v>
      </c>
    </row>
    <row r="19" spans="1:19" x14ac:dyDescent="0.25">
      <c r="A19" s="118"/>
      <c r="B19" s="221">
        <f t="shared" si="3"/>
        <v>57</v>
      </c>
      <c r="C19" s="15">
        <v>8</v>
      </c>
      <c r="D19" s="68">
        <v>200.53</v>
      </c>
      <c r="E19" s="191">
        <v>45166</v>
      </c>
      <c r="F19" s="68">
        <f t="shared" si="0"/>
        <v>200.53</v>
      </c>
      <c r="G19" s="69" t="s">
        <v>273</v>
      </c>
      <c r="H19" s="70">
        <v>61</v>
      </c>
      <c r="I19" s="59">
        <f t="shared" si="4"/>
        <v>1555.8400000000008</v>
      </c>
      <c r="K19" s="118"/>
      <c r="L19" s="221">
        <f t="shared" si="5"/>
        <v>0</v>
      </c>
      <c r="M19" s="15"/>
      <c r="N19" s="68"/>
      <c r="O19" s="191"/>
      <c r="P19" s="68">
        <f t="shared" si="2"/>
        <v>0</v>
      </c>
      <c r="Q19" s="69"/>
      <c r="R19" s="70"/>
      <c r="S19" s="59">
        <f t="shared" si="6"/>
        <v>0</v>
      </c>
    </row>
    <row r="20" spans="1:19" x14ac:dyDescent="0.25">
      <c r="A20" s="118"/>
      <c r="B20" s="221">
        <f t="shared" si="3"/>
        <v>49</v>
      </c>
      <c r="C20" s="15">
        <v>8</v>
      </c>
      <c r="D20" s="68">
        <v>210.19</v>
      </c>
      <c r="E20" s="191">
        <v>45167</v>
      </c>
      <c r="F20" s="68">
        <f t="shared" si="0"/>
        <v>210.19</v>
      </c>
      <c r="G20" s="69" t="s">
        <v>276</v>
      </c>
      <c r="H20" s="70">
        <v>61</v>
      </c>
      <c r="I20" s="59">
        <f t="shared" si="4"/>
        <v>1345.6500000000008</v>
      </c>
      <c r="K20" s="118"/>
      <c r="L20" s="221">
        <f t="shared" si="5"/>
        <v>0</v>
      </c>
      <c r="M20" s="15"/>
      <c r="N20" s="68"/>
      <c r="O20" s="191"/>
      <c r="P20" s="68">
        <f t="shared" si="2"/>
        <v>0</v>
      </c>
      <c r="Q20" s="69"/>
      <c r="R20" s="70"/>
      <c r="S20" s="59">
        <f t="shared" si="6"/>
        <v>0</v>
      </c>
    </row>
    <row r="21" spans="1:19" x14ac:dyDescent="0.25">
      <c r="A21" s="118"/>
      <c r="B21" s="221">
        <f t="shared" si="3"/>
        <v>48</v>
      </c>
      <c r="C21" s="15">
        <v>1</v>
      </c>
      <c r="D21" s="68">
        <v>28.43</v>
      </c>
      <c r="E21" s="191">
        <v>45198</v>
      </c>
      <c r="F21" s="68">
        <f t="shared" si="0"/>
        <v>28.43</v>
      </c>
      <c r="G21" s="69" t="s">
        <v>277</v>
      </c>
      <c r="H21" s="70">
        <v>61</v>
      </c>
      <c r="I21" s="59">
        <f t="shared" si="4"/>
        <v>1317.2200000000007</v>
      </c>
      <c r="K21" s="118"/>
      <c r="L21" s="221">
        <f t="shared" si="5"/>
        <v>0</v>
      </c>
      <c r="M21" s="15"/>
      <c r="N21" s="68"/>
      <c r="O21" s="191"/>
      <c r="P21" s="68">
        <f t="shared" si="2"/>
        <v>0</v>
      </c>
      <c r="Q21" s="69"/>
      <c r="R21" s="70"/>
      <c r="S21" s="59">
        <f t="shared" si="6"/>
        <v>0</v>
      </c>
    </row>
    <row r="22" spans="1:19" x14ac:dyDescent="0.25">
      <c r="A22" s="118"/>
      <c r="B22" s="221">
        <f t="shared" si="3"/>
        <v>37</v>
      </c>
      <c r="C22" s="15">
        <v>11</v>
      </c>
      <c r="D22" s="68">
        <v>303.95</v>
      </c>
      <c r="E22" s="191">
        <v>45169</v>
      </c>
      <c r="F22" s="68">
        <f t="shared" si="0"/>
        <v>303.95</v>
      </c>
      <c r="G22" s="69" t="s">
        <v>284</v>
      </c>
      <c r="H22" s="70">
        <v>61</v>
      </c>
      <c r="I22" s="59">
        <f t="shared" si="4"/>
        <v>1013.2700000000007</v>
      </c>
      <c r="K22" s="118"/>
      <c r="L22" s="221">
        <f t="shared" si="5"/>
        <v>0</v>
      </c>
      <c r="M22" s="15"/>
      <c r="N22" s="68"/>
      <c r="O22" s="191"/>
      <c r="P22" s="68">
        <f t="shared" si="2"/>
        <v>0</v>
      </c>
      <c r="Q22" s="69"/>
      <c r="R22" s="70"/>
      <c r="S22" s="59">
        <f t="shared" si="6"/>
        <v>0</v>
      </c>
    </row>
    <row r="23" spans="1:19" x14ac:dyDescent="0.25">
      <c r="A23" s="119"/>
      <c r="B23" s="221">
        <f t="shared" si="3"/>
        <v>27</v>
      </c>
      <c r="C23" s="15">
        <v>10</v>
      </c>
      <c r="D23" s="68">
        <v>286.27999999999997</v>
      </c>
      <c r="E23" s="191">
        <v>45170</v>
      </c>
      <c r="F23" s="68">
        <f t="shared" si="0"/>
        <v>286.27999999999997</v>
      </c>
      <c r="G23" s="69" t="s">
        <v>291</v>
      </c>
      <c r="H23" s="70">
        <v>61</v>
      </c>
      <c r="I23" s="59">
        <f>I22-F23</f>
        <v>726.99000000000069</v>
      </c>
      <c r="K23" s="119"/>
      <c r="L23" s="221">
        <f t="shared" si="5"/>
        <v>0</v>
      </c>
      <c r="M23" s="15"/>
      <c r="N23" s="68"/>
      <c r="O23" s="191"/>
      <c r="P23" s="68">
        <f t="shared" si="2"/>
        <v>0</v>
      </c>
      <c r="Q23" s="69"/>
      <c r="R23" s="70"/>
      <c r="S23" s="59">
        <f t="shared" si="6"/>
        <v>0</v>
      </c>
    </row>
    <row r="24" spans="1:19" x14ac:dyDescent="0.25">
      <c r="A24" s="118"/>
      <c r="B24" s="1015">
        <f t="shared" si="3"/>
        <v>27</v>
      </c>
      <c r="C24" s="15"/>
      <c r="D24" s="68"/>
      <c r="E24" s="191"/>
      <c r="F24" s="68">
        <f t="shared" si="0"/>
        <v>0</v>
      </c>
      <c r="G24" s="69"/>
      <c r="H24" s="70"/>
      <c r="I24" s="1017">
        <f t="shared" ref="I24:I33" si="7">I23-F24</f>
        <v>726.99000000000069</v>
      </c>
      <c r="K24" s="118"/>
      <c r="L24" s="221">
        <f t="shared" si="5"/>
        <v>0</v>
      </c>
      <c r="M24" s="15"/>
      <c r="N24" s="68"/>
      <c r="O24" s="191"/>
      <c r="P24" s="68">
        <f t="shared" si="2"/>
        <v>0</v>
      </c>
      <c r="Q24" s="69"/>
      <c r="R24" s="70"/>
      <c r="S24" s="59">
        <f t="shared" si="6"/>
        <v>0</v>
      </c>
    </row>
    <row r="25" spans="1:19" x14ac:dyDescent="0.25">
      <c r="A25" s="118"/>
      <c r="B25" s="221">
        <f t="shared" si="3"/>
        <v>27</v>
      </c>
      <c r="C25" s="15"/>
      <c r="D25" s="1012"/>
      <c r="E25" s="1013"/>
      <c r="F25" s="1012"/>
      <c r="G25" s="844"/>
      <c r="H25" s="845"/>
      <c r="I25" s="59">
        <f>I24-F25</f>
        <v>726.99000000000069</v>
      </c>
      <c r="K25" s="118"/>
      <c r="L25" s="221">
        <f t="shared" si="5"/>
        <v>0</v>
      </c>
      <c r="M25" s="15"/>
      <c r="N25" s="68"/>
      <c r="O25" s="191"/>
      <c r="P25" s="68">
        <f t="shared" si="2"/>
        <v>0</v>
      </c>
      <c r="Q25" s="69"/>
      <c r="R25" s="70"/>
      <c r="S25" s="59">
        <f t="shared" si="6"/>
        <v>0</v>
      </c>
    </row>
    <row r="26" spans="1:19" x14ac:dyDescent="0.25">
      <c r="A26" s="118"/>
      <c r="B26" s="221">
        <f t="shared" si="3"/>
        <v>26</v>
      </c>
      <c r="C26" s="15">
        <v>1</v>
      </c>
      <c r="D26" s="1012">
        <v>29.77</v>
      </c>
      <c r="E26" s="1013">
        <v>45176</v>
      </c>
      <c r="F26" s="1012">
        <f t="shared" si="0"/>
        <v>29.77</v>
      </c>
      <c r="G26" s="844" t="s">
        <v>562</v>
      </c>
      <c r="H26" s="845">
        <v>61</v>
      </c>
      <c r="I26" s="59">
        <f t="shared" si="7"/>
        <v>697.22000000000071</v>
      </c>
      <c r="K26" s="118"/>
      <c r="L26" s="221">
        <f t="shared" si="5"/>
        <v>0</v>
      </c>
      <c r="M26" s="15"/>
      <c r="N26" s="68"/>
      <c r="O26" s="191"/>
      <c r="P26" s="68">
        <f t="shared" si="2"/>
        <v>0</v>
      </c>
      <c r="Q26" s="69"/>
      <c r="R26" s="70"/>
      <c r="S26" s="59">
        <f t="shared" si="6"/>
        <v>0</v>
      </c>
    </row>
    <row r="27" spans="1:19" x14ac:dyDescent="0.25">
      <c r="A27" s="118"/>
      <c r="B27" s="221">
        <f t="shared" si="3"/>
        <v>25</v>
      </c>
      <c r="C27" s="15">
        <v>1</v>
      </c>
      <c r="D27" s="1012">
        <v>28.83</v>
      </c>
      <c r="E27" s="1013">
        <v>45176</v>
      </c>
      <c r="F27" s="1012">
        <f t="shared" si="0"/>
        <v>28.83</v>
      </c>
      <c r="G27" s="844" t="s">
        <v>564</v>
      </c>
      <c r="H27" s="845">
        <v>61</v>
      </c>
      <c r="I27" s="59">
        <f t="shared" si="7"/>
        <v>668.39000000000067</v>
      </c>
      <c r="K27" s="118"/>
      <c r="L27" s="221">
        <f t="shared" si="5"/>
        <v>0</v>
      </c>
      <c r="M27" s="15"/>
      <c r="N27" s="68"/>
      <c r="O27" s="191"/>
      <c r="P27" s="68">
        <v>0</v>
      </c>
      <c r="Q27" s="69"/>
      <c r="R27" s="70"/>
      <c r="S27" s="59">
        <f t="shared" si="6"/>
        <v>0</v>
      </c>
    </row>
    <row r="28" spans="1:19" x14ac:dyDescent="0.25">
      <c r="A28" s="118"/>
      <c r="B28" s="221">
        <f t="shared" si="3"/>
        <v>24</v>
      </c>
      <c r="C28" s="15">
        <v>1</v>
      </c>
      <c r="D28" s="1012">
        <v>25.24</v>
      </c>
      <c r="E28" s="1013">
        <v>45180</v>
      </c>
      <c r="F28" s="1012">
        <f t="shared" ref="F28:F33" si="8">D28</f>
        <v>25.24</v>
      </c>
      <c r="G28" s="844" t="s">
        <v>605</v>
      </c>
      <c r="H28" s="845">
        <v>61</v>
      </c>
      <c r="I28" s="59">
        <f t="shared" si="7"/>
        <v>643.15000000000066</v>
      </c>
      <c r="K28" s="118"/>
      <c r="L28" s="221">
        <f t="shared" si="5"/>
        <v>0</v>
      </c>
      <c r="M28" s="15"/>
      <c r="N28" s="68"/>
      <c r="O28" s="191"/>
      <c r="P28" s="68">
        <f t="shared" ref="P28:P33" si="9">N28</f>
        <v>0</v>
      </c>
      <c r="Q28" s="69"/>
      <c r="R28" s="70"/>
      <c r="S28" s="59">
        <f t="shared" si="6"/>
        <v>0</v>
      </c>
    </row>
    <row r="29" spans="1:19" x14ac:dyDescent="0.25">
      <c r="A29" s="118"/>
      <c r="B29" s="221">
        <f t="shared" si="3"/>
        <v>22</v>
      </c>
      <c r="C29" s="15">
        <v>2</v>
      </c>
      <c r="D29" s="1012">
        <v>56.5</v>
      </c>
      <c r="E29" s="1013">
        <v>45182</v>
      </c>
      <c r="F29" s="1012">
        <f t="shared" si="8"/>
        <v>56.5</v>
      </c>
      <c r="G29" s="844" t="s">
        <v>628</v>
      </c>
      <c r="H29" s="845">
        <v>61</v>
      </c>
      <c r="I29" s="59">
        <f t="shared" si="7"/>
        <v>586.65000000000066</v>
      </c>
      <c r="K29" s="118"/>
      <c r="L29" s="221">
        <f t="shared" si="5"/>
        <v>0</v>
      </c>
      <c r="M29" s="15"/>
      <c r="N29" s="68"/>
      <c r="O29" s="191"/>
      <c r="P29" s="68">
        <f t="shared" si="9"/>
        <v>0</v>
      </c>
      <c r="Q29" s="69"/>
      <c r="R29" s="70"/>
      <c r="S29" s="59">
        <f t="shared" si="6"/>
        <v>0</v>
      </c>
    </row>
    <row r="30" spans="1:19" x14ac:dyDescent="0.25">
      <c r="A30" s="118"/>
      <c r="B30" s="221">
        <f t="shared" si="3"/>
        <v>11</v>
      </c>
      <c r="C30" s="15">
        <v>11</v>
      </c>
      <c r="D30" s="1012">
        <v>309.01</v>
      </c>
      <c r="E30" s="1013">
        <v>45182</v>
      </c>
      <c r="F30" s="1012">
        <f t="shared" si="8"/>
        <v>309.01</v>
      </c>
      <c r="G30" s="844" t="s">
        <v>631</v>
      </c>
      <c r="H30" s="845">
        <v>61</v>
      </c>
      <c r="I30" s="59">
        <f t="shared" si="7"/>
        <v>277.64000000000067</v>
      </c>
      <c r="K30" s="118"/>
      <c r="L30" s="221">
        <f t="shared" si="5"/>
        <v>0</v>
      </c>
      <c r="M30" s="15"/>
      <c r="N30" s="68"/>
      <c r="O30" s="191"/>
      <c r="P30" s="68">
        <f t="shared" si="9"/>
        <v>0</v>
      </c>
      <c r="Q30" s="69"/>
      <c r="R30" s="70"/>
      <c r="S30" s="59">
        <f t="shared" si="6"/>
        <v>0</v>
      </c>
    </row>
    <row r="31" spans="1:19" x14ac:dyDescent="0.25">
      <c r="A31" s="118"/>
      <c r="B31" s="221">
        <f t="shared" si="3"/>
        <v>0</v>
      </c>
      <c r="C31" s="15">
        <v>11</v>
      </c>
      <c r="D31" s="1012">
        <v>277.98</v>
      </c>
      <c r="E31" s="1013">
        <v>45185</v>
      </c>
      <c r="F31" s="1365">
        <f t="shared" si="8"/>
        <v>277.98</v>
      </c>
      <c r="G31" s="1283" t="s">
        <v>662</v>
      </c>
      <c r="H31" s="1284">
        <v>61</v>
      </c>
      <c r="I31" s="59">
        <f t="shared" si="7"/>
        <v>-0.33999999999934971</v>
      </c>
      <c r="K31" s="118"/>
      <c r="L31" s="221">
        <f t="shared" si="5"/>
        <v>0</v>
      </c>
      <c r="M31" s="15"/>
      <c r="N31" s="68"/>
      <c r="O31" s="191"/>
      <c r="P31" s="68">
        <f t="shared" si="9"/>
        <v>0</v>
      </c>
      <c r="Q31" s="69"/>
      <c r="R31" s="70"/>
      <c r="S31" s="59">
        <f t="shared" si="6"/>
        <v>0</v>
      </c>
    </row>
    <row r="32" spans="1:19" x14ac:dyDescent="0.25">
      <c r="A32" s="118"/>
      <c r="B32" s="221">
        <f t="shared" si="3"/>
        <v>0</v>
      </c>
      <c r="C32" s="15"/>
      <c r="D32" s="1012"/>
      <c r="E32" s="1013"/>
      <c r="F32" s="1257">
        <f t="shared" si="8"/>
        <v>0</v>
      </c>
      <c r="G32" s="1258"/>
      <c r="H32" s="1259"/>
      <c r="I32" s="1275">
        <f t="shared" si="7"/>
        <v>-0.33999999999934971</v>
      </c>
      <c r="K32" s="118"/>
      <c r="L32" s="221">
        <f t="shared" si="5"/>
        <v>0</v>
      </c>
      <c r="M32" s="15"/>
      <c r="N32" s="68"/>
      <c r="O32" s="191"/>
      <c r="P32" s="68">
        <f t="shared" si="9"/>
        <v>0</v>
      </c>
      <c r="Q32" s="69"/>
      <c r="R32" s="70"/>
      <c r="S32" s="59">
        <f t="shared" si="6"/>
        <v>0</v>
      </c>
    </row>
    <row r="33" spans="1:19" x14ac:dyDescent="0.25">
      <c r="A33" s="118"/>
      <c r="B33" s="221">
        <f t="shared" si="3"/>
        <v>0</v>
      </c>
      <c r="C33" s="15"/>
      <c r="D33" s="1012"/>
      <c r="E33" s="1013"/>
      <c r="F33" s="1257">
        <f t="shared" si="8"/>
        <v>0</v>
      </c>
      <c r="G33" s="1258"/>
      <c r="H33" s="1259"/>
      <c r="I33" s="1275">
        <f t="shared" si="7"/>
        <v>-0.33999999999934971</v>
      </c>
      <c r="K33" s="118"/>
      <c r="L33" s="221">
        <f t="shared" si="5"/>
        <v>0</v>
      </c>
      <c r="M33" s="15"/>
      <c r="N33" s="68"/>
      <c r="O33" s="191"/>
      <c r="P33" s="68">
        <f t="shared" si="9"/>
        <v>0</v>
      </c>
      <c r="Q33" s="69"/>
      <c r="R33" s="70"/>
      <c r="S33" s="59">
        <f t="shared" si="6"/>
        <v>0</v>
      </c>
    </row>
    <row r="34" spans="1:19" ht="15.75" thickBot="1" x14ac:dyDescent="0.3">
      <c r="A34" s="118"/>
      <c r="B34" s="16"/>
      <c r="C34" s="52"/>
      <c r="D34" s="104"/>
      <c r="E34" s="187"/>
      <c r="F34" s="1366"/>
      <c r="G34" s="1367"/>
      <c r="H34" s="1275"/>
      <c r="I34" s="1275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150</v>
      </c>
      <c r="D35" s="6">
        <f>SUM(D10:D34)</f>
        <v>4047.639999999999</v>
      </c>
      <c r="F35" s="6">
        <f>SUM(F10:F34)</f>
        <v>4047.639999999999</v>
      </c>
      <c r="M35" s="6">
        <f>SUM(M10:M34)</f>
        <v>13</v>
      </c>
      <c r="N35" s="6">
        <f>SUM(N10:N34)</f>
        <v>321.57</v>
      </c>
      <c r="P35" s="6">
        <f>SUM(P10:P34)</f>
        <v>321.57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595" t="s">
        <v>11</v>
      </c>
      <c r="D40" s="1596"/>
      <c r="E40" s="56">
        <f>E4+E5+E6+E7-F35</f>
        <v>-0.33999999999878128</v>
      </c>
      <c r="F40" s="72"/>
      <c r="M40" s="1595" t="s">
        <v>11</v>
      </c>
      <c r="N40" s="1596"/>
      <c r="O40" s="56">
        <f>O4+O5+O6+O7-P35</f>
        <v>0</v>
      </c>
      <c r="P40" s="72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719"/>
      <c r="F4" s="61"/>
      <c r="G4" s="151"/>
      <c r="H4" s="151"/>
      <c r="I4" s="151"/>
    </row>
    <row r="5" spans="1:9" ht="15.75" x14ac:dyDescent="0.25">
      <c r="A5" s="1598"/>
      <c r="B5" s="1615" t="s">
        <v>104</v>
      </c>
      <c r="C5" s="722"/>
      <c r="D5" s="215"/>
      <c r="E5" s="720"/>
      <c r="F5" s="61"/>
      <c r="G5" s="5"/>
      <c r="H5" t="s">
        <v>41</v>
      </c>
    </row>
    <row r="6" spans="1:9" ht="15.75" x14ac:dyDescent="0.25">
      <c r="A6" s="1598"/>
      <c r="B6" s="1615"/>
      <c r="C6" s="721"/>
      <c r="D6" s="130"/>
      <c r="E6" s="720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721"/>
      <c r="D7" s="130"/>
      <c r="E7" s="720"/>
      <c r="F7" s="61"/>
    </row>
    <row r="8" spans="1:9" ht="16.5" thickBot="1" x14ac:dyDescent="0.3">
      <c r="B8" s="144"/>
      <c r="C8" s="721"/>
      <c r="D8" s="130"/>
      <c r="E8" s="72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63"/>
      <c r="E34" s="764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95" t="s">
        <v>11</v>
      </c>
      <c r="D40" s="159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07" t="s">
        <v>306</v>
      </c>
      <c r="B1" s="1607"/>
      <c r="C1" s="1607"/>
      <c r="D1" s="1607"/>
      <c r="E1" s="1607"/>
      <c r="F1" s="1607"/>
      <c r="G1" s="160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97" t="s">
        <v>101</v>
      </c>
      <c r="B5" s="1615" t="s">
        <v>71</v>
      </c>
      <c r="C5" s="445">
        <v>62</v>
      </c>
      <c r="D5" s="498">
        <v>45163</v>
      </c>
      <c r="E5" s="446">
        <v>300</v>
      </c>
      <c r="F5" s="832">
        <v>30</v>
      </c>
      <c r="G5" s="87">
        <f>F36</f>
        <v>310</v>
      </c>
      <c r="H5" s="7">
        <f>E5-G5+E4+E6</f>
        <v>-10</v>
      </c>
    </row>
    <row r="6" spans="1:10" ht="15.75" customHeight="1" thickBot="1" x14ac:dyDescent="0.3">
      <c r="A6" s="1597"/>
      <c r="B6" s="1616"/>
      <c r="C6" s="152"/>
      <c r="D6" s="145"/>
      <c r="E6" s="128"/>
      <c r="F6" s="72"/>
    </row>
    <row r="7" spans="1:10" ht="16.5" customHeight="1" thickTop="1" thickBot="1" x14ac:dyDescent="0.3">
      <c r="A7" s="72"/>
      <c r="B7" s="4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3"/>
      <c r="B8" s="475">
        <f>F4+F5+F6-C8</f>
        <v>29</v>
      </c>
      <c r="C8" s="15">
        <v>1</v>
      </c>
      <c r="D8" s="68">
        <v>10</v>
      </c>
      <c r="E8" s="231">
        <v>45166</v>
      </c>
      <c r="F8" s="102">
        <f t="shared" ref="F8" si="0">D8</f>
        <v>10</v>
      </c>
      <c r="G8" s="69" t="s">
        <v>272</v>
      </c>
      <c r="H8" s="70">
        <v>64</v>
      </c>
      <c r="I8" s="203">
        <f>E5-F8+E4+E6</f>
        <v>290</v>
      </c>
    </row>
    <row r="9" spans="1:10" ht="15" customHeight="1" x14ac:dyDescent="0.25">
      <c r="B9" s="475">
        <f>B8-C9</f>
        <v>19</v>
      </c>
      <c r="C9" s="15">
        <v>10</v>
      </c>
      <c r="D9" s="68">
        <v>100</v>
      </c>
      <c r="E9" s="231">
        <v>45166</v>
      </c>
      <c r="F9" s="102">
        <f t="shared" ref="F9:F35" si="1">D9</f>
        <v>100</v>
      </c>
      <c r="G9" s="69" t="s">
        <v>273</v>
      </c>
      <c r="H9" s="70">
        <v>61</v>
      </c>
      <c r="I9" s="203">
        <f>I8-F9</f>
        <v>190</v>
      </c>
    </row>
    <row r="10" spans="1:10" ht="15" customHeight="1" x14ac:dyDescent="0.25">
      <c r="B10" s="475">
        <f t="shared" ref="B10:B35" si="2">B9-C10</f>
        <v>13</v>
      </c>
      <c r="C10" s="53">
        <v>6</v>
      </c>
      <c r="D10" s="68">
        <v>60</v>
      </c>
      <c r="E10" s="231">
        <v>45167</v>
      </c>
      <c r="F10" s="102">
        <f t="shared" si="1"/>
        <v>60</v>
      </c>
      <c r="G10" s="69" t="s">
        <v>276</v>
      </c>
      <c r="H10" s="70">
        <v>64</v>
      </c>
      <c r="I10" s="203">
        <f>I9-F10</f>
        <v>130</v>
      </c>
    </row>
    <row r="11" spans="1:10" ht="15" customHeight="1" x14ac:dyDescent="0.25">
      <c r="A11" s="54" t="s">
        <v>33</v>
      </c>
      <c r="B11" s="475">
        <f t="shared" si="2"/>
        <v>12</v>
      </c>
      <c r="C11" s="15">
        <v>1</v>
      </c>
      <c r="D11" s="68">
        <v>10</v>
      </c>
      <c r="E11" s="862">
        <v>45169</v>
      </c>
      <c r="F11" s="863">
        <f t="shared" si="1"/>
        <v>10</v>
      </c>
      <c r="G11" s="860" t="s">
        <v>286</v>
      </c>
      <c r="H11" s="861">
        <v>64</v>
      </c>
      <c r="I11" s="203">
        <f t="shared" ref="I11:I34" si="3">I10-F11</f>
        <v>120</v>
      </c>
    </row>
    <row r="12" spans="1:10" ht="15" customHeight="1" x14ac:dyDescent="0.25">
      <c r="A12" s="19"/>
      <c r="B12" s="1018">
        <f t="shared" si="2"/>
        <v>12</v>
      </c>
      <c r="C12" s="53"/>
      <c r="D12" s="68">
        <v>0</v>
      </c>
      <c r="E12" s="231"/>
      <c r="F12" s="102">
        <f t="shared" si="1"/>
        <v>0</v>
      </c>
      <c r="G12" s="69"/>
      <c r="H12" s="70"/>
      <c r="I12" s="1019">
        <f t="shared" si="3"/>
        <v>120</v>
      </c>
    </row>
    <row r="13" spans="1:10" ht="15" customHeight="1" x14ac:dyDescent="0.25">
      <c r="B13" s="475">
        <f t="shared" si="2"/>
        <v>10</v>
      </c>
      <c r="C13" s="15">
        <v>2</v>
      </c>
      <c r="D13" s="1012">
        <v>20</v>
      </c>
      <c r="E13" s="1020">
        <v>45175</v>
      </c>
      <c r="F13" s="1014">
        <f t="shared" si="1"/>
        <v>20</v>
      </c>
      <c r="G13" s="844" t="s">
        <v>537</v>
      </c>
      <c r="H13" s="845">
        <v>64</v>
      </c>
      <c r="I13" s="203">
        <f t="shared" si="3"/>
        <v>100</v>
      </c>
    </row>
    <row r="14" spans="1:10" ht="15" customHeight="1" x14ac:dyDescent="0.25">
      <c r="B14" s="475">
        <f t="shared" si="2"/>
        <v>0</v>
      </c>
      <c r="C14" s="15">
        <v>10</v>
      </c>
      <c r="D14" s="1012">
        <v>100</v>
      </c>
      <c r="E14" s="1020">
        <v>45175</v>
      </c>
      <c r="F14" s="1014">
        <f t="shared" si="1"/>
        <v>100</v>
      </c>
      <c r="G14" s="844" t="s">
        <v>551</v>
      </c>
      <c r="H14" s="845">
        <v>64</v>
      </c>
      <c r="I14" s="203">
        <f t="shared" si="3"/>
        <v>0</v>
      </c>
    </row>
    <row r="15" spans="1:10" ht="15" customHeight="1" x14ac:dyDescent="0.25">
      <c r="B15" s="475">
        <f t="shared" si="2"/>
        <v>-1</v>
      </c>
      <c r="C15" s="53">
        <v>1</v>
      </c>
      <c r="D15" s="1012">
        <v>10</v>
      </c>
      <c r="E15" s="1020">
        <v>45176</v>
      </c>
      <c r="F15" s="1014">
        <f t="shared" si="1"/>
        <v>10</v>
      </c>
      <c r="G15" s="844" t="s">
        <v>554</v>
      </c>
      <c r="H15" s="845">
        <v>64</v>
      </c>
      <c r="I15" s="203">
        <f t="shared" si="3"/>
        <v>-10</v>
      </c>
    </row>
    <row r="16" spans="1:10" ht="15" customHeight="1" x14ac:dyDescent="0.25">
      <c r="B16" s="475">
        <f t="shared" si="2"/>
        <v>-1</v>
      </c>
      <c r="C16" s="15"/>
      <c r="D16" s="1012">
        <v>0</v>
      </c>
      <c r="E16" s="1020"/>
      <c r="F16" s="1282">
        <f t="shared" si="1"/>
        <v>0</v>
      </c>
      <c r="G16" s="1283"/>
      <c r="H16" s="1284"/>
      <c r="I16" s="1285">
        <f t="shared" si="3"/>
        <v>-10</v>
      </c>
      <c r="J16" s="1286"/>
    </row>
    <row r="17" spans="1:10" ht="15" customHeight="1" x14ac:dyDescent="0.25">
      <c r="B17" s="475">
        <f t="shared" si="2"/>
        <v>-1</v>
      </c>
      <c r="C17" s="15"/>
      <c r="D17" s="1012">
        <v>0</v>
      </c>
      <c r="E17" s="1020"/>
      <c r="F17" s="1282">
        <f t="shared" si="1"/>
        <v>0</v>
      </c>
      <c r="G17" s="1283"/>
      <c r="H17" s="1284"/>
      <c r="I17" s="1285">
        <f t="shared" si="3"/>
        <v>-10</v>
      </c>
      <c r="J17" s="1286"/>
    </row>
    <row r="18" spans="1:10" ht="15" customHeight="1" x14ac:dyDescent="0.25">
      <c r="B18" s="475">
        <f t="shared" si="2"/>
        <v>-1</v>
      </c>
      <c r="C18" s="15"/>
      <c r="D18" s="1012">
        <v>0</v>
      </c>
      <c r="E18" s="1020"/>
      <c r="F18" s="1282">
        <f t="shared" si="1"/>
        <v>0</v>
      </c>
      <c r="G18" s="1283"/>
      <c r="H18" s="1284"/>
      <c r="I18" s="1285">
        <f t="shared" si="3"/>
        <v>-10</v>
      </c>
      <c r="J18" s="1286"/>
    </row>
    <row r="19" spans="1:10" ht="15" customHeight="1" x14ac:dyDescent="0.25">
      <c r="B19" s="475">
        <f t="shared" si="2"/>
        <v>-1</v>
      </c>
      <c r="C19" s="15"/>
      <c r="D19" s="1012">
        <v>0</v>
      </c>
      <c r="E19" s="1020"/>
      <c r="F19" s="1282">
        <f t="shared" si="1"/>
        <v>0</v>
      </c>
      <c r="G19" s="1283"/>
      <c r="H19" s="1284"/>
      <c r="I19" s="1285">
        <f t="shared" si="3"/>
        <v>-10</v>
      </c>
      <c r="J19" s="1286"/>
    </row>
    <row r="20" spans="1:10" ht="15" customHeight="1" x14ac:dyDescent="0.25">
      <c r="B20" s="475">
        <f t="shared" si="2"/>
        <v>-1</v>
      </c>
      <c r="C20" s="15"/>
      <c r="D20" s="1012">
        <v>0</v>
      </c>
      <c r="E20" s="1020"/>
      <c r="F20" s="1282">
        <f t="shared" si="1"/>
        <v>0</v>
      </c>
      <c r="G20" s="1283"/>
      <c r="H20" s="1284"/>
      <c r="I20" s="1285">
        <f t="shared" si="3"/>
        <v>-10</v>
      </c>
      <c r="J20" s="1286"/>
    </row>
    <row r="21" spans="1:10" ht="15" customHeight="1" x14ac:dyDescent="0.25">
      <c r="B21" s="475">
        <f t="shared" si="2"/>
        <v>-1</v>
      </c>
      <c r="C21" s="15"/>
      <c r="D21" s="1012">
        <v>0</v>
      </c>
      <c r="E21" s="1020"/>
      <c r="F21" s="1282">
        <f t="shared" si="1"/>
        <v>0</v>
      </c>
      <c r="G21" s="1283"/>
      <c r="H21" s="1284"/>
      <c r="I21" s="1285">
        <f t="shared" si="3"/>
        <v>-10</v>
      </c>
      <c r="J21" s="1286"/>
    </row>
    <row r="22" spans="1:10" ht="15" customHeight="1" x14ac:dyDescent="0.25">
      <c r="B22" s="475">
        <f t="shared" si="2"/>
        <v>-1</v>
      </c>
      <c r="C22" s="15"/>
      <c r="D22" s="1012">
        <v>0</v>
      </c>
      <c r="E22" s="1020"/>
      <c r="F22" s="1014">
        <f t="shared" si="1"/>
        <v>0</v>
      </c>
      <c r="G22" s="844"/>
      <c r="H22" s="845"/>
      <c r="I22" s="203">
        <f t="shared" si="3"/>
        <v>-10</v>
      </c>
    </row>
    <row r="23" spans="1:10" ht="15" customHeight="1" x14ac:dyDescent="0.25">
      <c r="B23" s="475">
        <f t="shared" si="2"/>
        <v>-1</v>
      </c>
      <c r="C23" s="15"/>
      <c r="D23" s="1012">
        <v>0</v>
      </c>
      <c r="E23" s="1020"/>
      <c r="F23" s="1014">
        <f t="shared" si="1"/>
        <v>0</v>
      </c>
      <c r="G23" s="844"/>
      <c r="H23" s="845"/>
      <c r="I23" s="203">
        <f t="shared" si="3"/>
        <v>-10</v>
      </c>
    </row>
    <row r="24" spans="1:10" ht="15" customHeight="1" x14ac:dyDescent="0.25">
      <c r="B24" s="475">
        <f t="shared" si="2"/>
        <v>-1</v>
      </c>
      <c r="C24" s="15"/>
      <c r="D24" s="1012">
        <v>0</v>
      </c>
      <c r="E24" s="1020"/>
      <c r="F24" s="1014">
        <f t="shared" si="1"/>
        <v>0</v>
      </c>
      <c r="G24" s="844"/>
      <c r="H24" s="845"/>
      <c r="I24" s="203">
        <f t="shared" si="3"/>
        <v>-10</v>
      </c>
    </row>
    <row r="25" spans="1:10" ht="15" customHeight="1" x14ac:dyDescent="0.25">
      <c r="B25" s="475">
        <f t="shared" si="2"/>
        <v>-1</v>
      </c>
      <c r="C25" s="15"/>
      <c r="D25" s="1012">
        <v>0</v>
      </c>
      <c r="E25" s="1020"/>
      <c r="F25" s="1014">
        <f t="shared" si="1"/>
        <v>0</v>
      </c>
      <c r="G25" s="844"/>
      <c r="H25" s="845"/>
      <c r="I25" s="203">
        <f t="shared" si="3"/>
        <v>-10</v>
      </c>
    </row>
    <row r="26" spans="1:10" ht="15" customHeight="1" x14ac:dyDescent="0.25">
      <c r="B26" s="475">
        <f t="shared" si="2"/>
        <v>-1</v>
      </c>
      <c r="C26" s="15"/>
      <c r="D26" s="1012">
        <v>0</v>
      </c>
      <c r="E26" s="1020"/>
      <c r="F26" s="1014">
        <f t="shared" si="1"/>
        <v>0</v>
      </c>
      <c r="G26" s="844"/>
      <c r="H26" s="845"/>
      <c r="I26" s="203">
        <f t="shared" si="3"/>
        <v>-10</v>
      </c>
    </row>
    <row r="27" spans="1:10" ht="15" customHeight="1" x14ac:dyDescent="0.25">
      <c r="B27" s="475">
        <f t="shared" si="2"/>
        <v>-1</v>
      </c>
      <c r="C27" s="15"/>
      <c r="D27" s="1012">
        <v>0</v>
      </c>
      <c r="E27" s="1020"/>
      <c r="F27" s="1014">
        <f t="shared" si="1"/>
        <v>0</v>
      </c>
      <c r="G27" s="844"/>
      <c r="H27" s="845"/>
      <c r="I27" s="203">
        <f t="shared" si="3"/>
        <v>-10</v>
      </c>
    </row>
    <row r="28" spans="1:10" ht="15" customHeight="1" x14ac:dyDescent="0.25">
      <c r="A28" s="47"/>
      <c r="B28" s="475">
        <f t="shared" si="2"/>
        <v>-1</v>
      </c>
      <c r="C28" s="15"/>
      <c r="D28" s="1012">
        <v>0</v>
      </c>
      <c r="E28" s="1020"/>
      <c r="F28" s="1014">
        <f t="shared" si="1"/>
        <v>0</v>
      </c>
      <c r="G28" s="844"/>
      <c r="H28" s="845"/>
      <c r="I28" s="203">
        <f t="shared" si="3"/>
        <v>-10</v>
      </c>
    </row>
    <row r="29" spans="1:10" ht="15" customHeight="1" x14ac:dyDescent="0.25">
      <c r="A29" s="47"/>
      <c r="B29" s="475">
        <f t="shared" si="2"/>
        <v>-1</v>
      </c>
      <c r="C29" s="15"/>
      <c r="D29" s="68">
        <v>0</v>
      </c>
      <c r="E29" s="805"/>
      <c r="F29" s="102">
        <f t="shared" si="1"/>
        <v>0</v>
      </c>
      <c r="G29" s="517"/>
      <c r="H29" s="353"/>
      <c r="I29" s="203">
        <f t="shared" si="3"/>
        <v>-10</v>
      </c>
    </row>
    <row r="30" spans="1:10" ht="15" customHeight="1" x14ac:dyDescent="0.25">
      <c r="A30" s="47"/>
      <c r="B30" s="475">
        <f t="shared" si="2"/>
        <v>-1</v>
      </c>
      <c r="C30" s="15"/>
      <c r="D30" s="68">
        <v>0</v>
      </c>
      <c r="E30" s="805"/>
      <c r="F30" s="102">
        <f t="shared" si="1"/>
        <v>0</v>
      </c>
      <c r="G30" s="517"/>
      <c r="H30" s="353"/>
      <c r="I30" s="203">
        <f t="shared" si="3"/>
        <v>-10</v>
      </c>
    </row>
    <row r="31" spans="1:10" ht="15" customHeight="1" x14ac:dyDescent="0.25">
      <c r="A31" s="47"/>
      <c r="B31" s="475">
        <f t="shared" si="2"/>
        <v>-1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-10</v>
      </c>
    </row>
    <row r="32" spans="1:10" ht="15" customHeight="1" x14ac:dyDescent="0.25">
      <c r="A32" s="47"/>
      <c r="B32" s="475">
        <f t="shared" si="2"/>
        <v>-1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-10</v>
      </c>
    </row>
    <row r="33" spans="1:9" ht="15" customHeight="1" x14ac:dyDescent="0.25">
      <c r="A33" s="47"/>
      <c r="B33" s="475">
        <f t="shared" si="2"/>
        <v>-1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-10</v>
      </c>
    </row>
    <row r="34" spans="1:9" ht="15" customHeight="1" x14ac:dyDescent="0.25">
      <c r="A34" s="47"/>
      <c r="B34" s="475">
        <f t="shared" si="2"/>
        <v>-1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-10</v>
      </c>
    </row>
    <row r="35" spans="1:9" ht="15.75" thickBot="1" x14ac:dyDescent="0.3">
      <c r="A35" s="117"/>
      <c r="B35" s="475">
        <f t="shared" si="2"/>
        <v>-1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31</v>
      </c>
      <c r="D36" s="102">
        <f>SUM(D8:D35)</f>
        <v>310</v>
      </c>
      <c r="E36" s="74"/>
      <c r="F36" s="102">
        <f>SUM(F8:F35)</f>
        <v>310</v>
      </c>
    </row>
    <row r="37" spans="1:9" ht="15.75" thickBot="1" x14ac:dyDescent="0.3">
      <c r="A37" s="47"/>
    </row>
    <row r="38" spans="1:9" x14ac:dyDescent="0.25">
      <c r="B38" s="474"/>
      <c r="D38" s="1589" t="s">
        <v>21</v>
      </c>
      <c r="E38" s="1590"/>
      <c r="F38" s="137">
        <f>E4+E5-F36+E6</f>
        <v>-10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-1</v>
      </c>
    </row>
    <row r="40" spans="1:9" x14ac:dyDescent="0.25">
      <c r="B40" s="47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H1" zoomScaleNormal="100" workbookViewId="0">
      <pane ySplit="7" topLeftCell="A14" activePane="bottomLeft" state="frozen"/>
      <selection activeCell="AO1" sqref="AO1"/>
      <selection pane="bottomLeft" activeCell="LM27" sqref="LM2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8" bestFit="1" customWidth="1"/>
    <col min="80" max="80" width="13.85546875" style="35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8" bestFit="1" customWidth="1"/>
    <col min="90" max="90" width="11.42578125" style="35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8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85" t="s">
        <v>304</v>
      </c>
      <c r="L1" s="1585"/>
      <c r="M1" s="1585"/>
      <c r="N1" s="1585"/>
      <c r="O1" s="1585"/>
      <c r="P1" s="1585"/>
      <c r="Q1" s="1585"/>
      <c r="R1" s="254">
        <f>I1+1</f>
        <v>1</v>
      </c>
      <c r="S1" s="254"/>
      <c r="U1" s="1586" t="str">
        <f>K1</f>
        <v>INVENTARIO    DEL MES DE    AGOSTO     2023</v>
      </c>
      <c r="V1" s="1586"/>
      <c r="W1" s="1586"/>
      <c r="X1" s="1586"/>
      <c r="Y1" s="1586"/>
      <c r="Z1" s="1586"/>
      <c r="AA1" s="1586"/>
      <c r="AB1" s="254">
        <f>R1+1</f>
        <v>2</v>
      </c>
      <c r="AC1" s="359"/>
      <c r="AE1" s="1586" t="str">
        <f>U1</f>
        <v>INVENTARIO    DEL MES DE    AGOSTO     2023</v>
      </c>
      <c r="AF1" s="1586"/>
      <c r="AG1" s="1586"/>
      <c r="AH1" s="1586"/>
      <c r="AI1" s="1586"/>
      <c r="AJ1" s="1586"/>
      <c r="AK1" s="1586"/>
      <c r="AL1" s="254">
        <f>AB1+1</f>
        <v>3</v>
      </c>
      <c r="AM1" s="254"/>
      <c r="AO1" s="1586" t="str">
        <f>AE1</f>
        <v>INVENTARIO    DEL MES DE    AGOSTO     2023</v>
      </c>
      <c r="AP1" s="1586"/>
      <c r="AQ1" s="1586"/>
      <c r="AR1" s="1586"/>
      <c r="AS1" s="1586"/>
      <c r="AT1" s="1586"/>
      <c r="AU1" s="1586"/>
      <c r="AV1" s="254">
        <f>AL1+1</f>
        <v>4</v>
      </c>
      <c r="AW1" s="359"/>
      <c r="AY1" s="1584" t="s">
        <v>305</v>
      </c>
      <c r="AZ1" s="1584"/>
      <c r="BA1" s="1584"/>
      <c r="BB1" s="1584"/>
      <c r="BC1" s="1584"/>
      <c r="BD1" s="1584"/>
      <c r="BE1" s="1584"/>
      <c r="BF1" s="254">
        <f>AV1+1</f>
        <v>5</v>
      </c>
      <c r="BG1" s="371"/>
      <c r="BI1" s="1584" t="str">
        <f>AY1</f>
        <v>ENTRADAS DEL MES DE SEPTIEMBRE 2023</v>
      </c>
      <c r="BJ1" s="1584"/>
      <c r="BK1" s="1584"/>
      <c r="BL1" s="1584"/>
      <c r="BM1" s="1584"/>
      <c r="BN1" s="1584"/>
      <c r="BO1" s="1584"/>
      <c r="BP1" s="254">
        <f>BF1+1</f>
        <v>6</v>
      </c>
      <c r="BQ1" s="359"/>
      <c r="BS1" s="1584" t="str">
        <f>BI1</f>
        <v>ENTRADAS DEL MES DE SEPTIEMBRE 2023</v>
      </c>
      <c r="BT1" s="1584"/>
      <c r="BU1" s="1584"/>
      <c r="BV1" s="1584"/>
      <c r="BW1" s="1584"/>
      <c r="BX1" s="1584"/>
      <c r="BY1" s="1584"/>
      <c r="BZ1" s="254">
        <f>BP1+1</f>
        <v>7</v>
      </c>
      <c r="CC1" s="1584" t="str">
        <f>BS1</f>
        <v>ENTRADAS DEL MES DE SEPTIEMBRE 2023</v>
      </c>
      <c r="CD1" s="1584"/>
      <c r="CE1" s="1584"/>
      <c r="CF1" s="1584"/>
      <c r="CG1" s="1584"/>
      <c r="CH1" s="1584"/>
      <c r="CI1" s="1584"/>
      <c r="CJ1" s="254">
        <f>BZ1+1</f>
        <v>8</v>
      </c>
      <c r="CM1" s="1584" t="str">
        <f>CC1</f>
        <v>ENTRADAS DEL MES DE SEPTIEMBRE 2023</v>
      </c>
      <c r="CN1" s="1584"/>
      <c r="CO1" s="1584"/>
      <c r="CP1" s="1584"/>
      <c r="CQ1" s="1584"/>
      <c r="CR1" s="1584"/>
      <c r="CS1" s="1584"/>
      <c r="CT1" s="254">
        <f>CJ1+1</f>
        <v>9</v>
      </c>
      <c r="CU1" s="359"/>
      <c r="CW1" s="1584" t="str">
        <f>CM1</f>
        <v>ENTRADAS DEL MES DE SEPTIEMBRE 2023</v>
      </c>
      <c r="CX1" s="1584"/>
      <c r="CY1" s="1584"/>
      <c r="CZ1" s="1584"/>
      <c r="DA1" s="1584"/>
      <c r="DB1" s="1584"/>
      <c r="DC1" s="1584"/>
      <c r="DD1" s="254">
        <f>CT1+1</f>
        <v>10</v>
      </c>
      <c r="DE1" s="359"/>
      <c r="DG1" s="1584" t="str">
        <f>CW1</f>
        <v>ENTRADAS DEL MES DE SEPTIEMBRE 2023</v>
      </c>
      <c r="DH1" s="1584"/>
      <c r="DI1" s="1584"/>
      <c r="DJ1" s="1584"/>
      <c r="DK1" s="1584"/>
      <c r="DL1" s="1584"/>
      <c r="DM1" s="1584"/>
      <c r="DN1" s="254">
        <f>DD1+1</f>
        <v>11</v>
      </c>
      <c r="DO1" s="359"/>
      <c r="DQ1" s="1584" t="str">
        <f>DG1</f>
        <v>ENTRADAS DEL MES DE SEPTIEMBRE 2023</v>
      </c>
      <c r="DR1" s="1584"/>
      <c r="DS1" s="1584"/>
      <c r="DT1" s="1584"/>
      <c r="DU1" s="1584"/>
      <c r="DV1" s="1584"/>
      <c r="DW1" s="1584"/>
      <c r="DX1" s="254">
        <f>DN1+1</f>
        <v>12</v>
      </c>
      <c r="EA1" s="1584" t="str">
        <f>DQ1</f>
        <v>ENTRADAS DEL MES DE SEPTIEMBRE 2023</v>
      </c>
      <c r="EB1" s="1584"/>
      <c r="EC1" s="1584"/>
      <c r="ED1" s="1584"/>
      <c r="EE1" s="1584"/>
      <c r="EF1" s="1584"/>
      <c r="EG1" s="1584"/>
      <c r="EH1" s="254">
        <f>DX1+1</f>
        <v>13</v>
      </c>
      <c r="EI1" s="359"/>
      <c r="EK1" s="1584" t="str">
        <f>EA1</f>
        <v>ENTRADAS DEL MES DE SEPTIEMBRE 2023</v>
      </c>
      <c r="EL1" s="1584"/>
      <c r="EM1" s="1584"/>
      <c r="EN1" s="1584"/>
      <c r="EO1" s="1584"/>
      <c r="EP1" s="1584"/>
      <c r="EQ1" s="1584"/>
      <c r="ER1" s="254">
        <f>EH1+1</f>
        <v>14</v>
      </c>
      <c r="ES1" s="359"/>
      <c r="EU1" s="1584" t="str">
        <f>EK1</f>
        <v>ENTRADAS DEL MES DE SEPTIEMBRE 2023</v>
      </c>
      <c r="EV1" s="1584"/>
      <c r="EW1" s="1584"/>
      <c r="EX1" s="1584"/>
      <c r="EY1" s="1584"/>
      <c r="EZ1" s="1584"/>
      <c r="FA1" s="1584"/>
      <c r="FB1" s="254">
        <f>ER1+1</f>
        <v>15</v>
      </c>
      <c r="FC1" s="359"/>
      <c r="FE1" s="1584" t="str">
        <f>EU1</f>
        <v>ENTRADAS DEL MES DE SEPTIEMBRE 2023</v>
      </c>
      <c r="FF1" s="1584"/>
      <c r="FG1" s="1584"/>
      <c r="FH1" s="1584"/>
      <c r="FI1" s="1584"/>
      <c r="FJ1" s="1584"/>
      <c r="FK1" s="1584"/>
      <c r="FL1" s="254">
        <f>FB1+1</f>
        <v>16</v>
      </c>
      <c r="FM1" s="359"/>
      <c r="FO1" s="1584" t="str">
        <f>FE1</f>
        <v>ENTRADAS DEL MES DE SEPTIEMBRE 2023</v>
      </c>
      <c r="FP1" s="1584"/>
      <c r="FQ1" s="1584"/>
      <c r="FR1" s="1584"/>
      <c r="FS1" s="1584"/>
      <c r="FT1" s="1584"/>
      <c r="FU1" s="1584"/>
      <c r="FV1" s="254">
        <f>FL1+1</f>
        <v>17</v>
      </c>
      <c r="FW1" s="359"/>
      <c r="FY1" s="1584" t="str">
        <f>FO1</f>
        <v>ENTRADAS DEL MES DE SEPTIEMBRE 2023</v>
      </c>
      <c r="FZ1" s="1584"/>
      <c r="GA1" s="1584"/>
      <c r="GB1" s="1584"/>
      <c r="GC1" s="1584"/>
      <c r="GD1" s="1584"/>
      <c r="GE1" s="1584"/>
      <c r="GF1" s="254">
        <f>FV1+1</f>
        <v>18</v>
      </c>
      <c r="GG1" s="359"/>
      <c r="GH1" s="74" t="s">
        <v>37</v>
      </c>
      <c r="GI1" s="1584" t="str">
        <f>FY1</f>
        <v>ENTRADAS DEL MES DE SEPTIEMBRE 2023</v>
      </c>
      <c r="GJ1" s="1584"/>
      <c r="GK1" s="1584"/>
      <c r="GL1" s="1584"/>
      <c r="GM1" s="1584"/>
      <c r="GN1" s="1584"/>
      <c r="GO1" s="1584"/>
      <c r="GP1" s="254">
        <f>GF1+1</f>
        <v>19</v>
      </c>
      <c r="GQ1" s="359"/>
      <c r="GS1" s="1584" t="str">
        <f>GI1</f>
        <v>ENTRADAS DEL MES DE SEPTIEMBRE 2023</v>
      </c>
      <c r="GT1" s="1584"/>
      <c r="GU1" s="1584"/>
      <c r="GV1" s="1584"/>
      <c r="GW1" s="1584"/>
      <c r="GX1" s="1584"/>
      <c r="GY1" s="1584"/>
      <c r="GZ1" s="254">
        <f>GP1+1</f>
        <v>20</v>
      </c>
      <c r="HA1" s="359"/>
      <c r="HC1" s="1584" t="str">
        <f>GS1</f>
        <v>ENTRADAS DEL MES DE SEPTIEMBRE 2023</v>
      </c>
      <c r="HD1" s="1584"/>
      <c r="HE1" s="1584"/>
      <c r="HF1" s="1584"/>
      <c r="HG1" s="1584"/>
      <c r="HH1" s="1584"/>
      <c r="HI1" s="1584"/>
      <c r="HJ1" s="254">
        <f>GZ1+1</f>
        <v>21</v>
      </c>
      <c r="HK1" s="359"/>
      <c r="HM1" s="1584" t="str">
        <f>HC1</f>
        <v>ENTRADAS DEL MES DE SEPTIEMBRE 2023</v>
      </c>
      <c r="HN1" s="1584"/>
      <c r="HO1" s="1584"/>
      <c r="HP1" s="1584"/>
      <c r="HQ1" s="1584"/>
      <c r="HR1" s="1584"/>
      <c r="HS1" s="1584"/>
      <c r="HT1" s="254">
        <f>HJ1+1</f>
        <v>22</v>
      </c>
      <c r="HU1" s="359"/>
      <c r="HW1" s="1584" t="str">
        <f>HM1</f>
        <v>ENTRADAS DEL MES DE SEPTIEMBRE 2023</v>
      </c>
      <c r="HX1" s="1584"/>
      <c r="HY1" s="1584"/>
      <c r="HZ1" s="1584"/>
      <c r="IA1" s="1584"/>
      <c r="IB1" s="1584"/>
      <c r="IC1" s="1584"/>
      <c r="ID1" s="254">
        <f>HT1+1</f>
        <v>23</v>
      </c>
      <c r="IE1" s="359"/>
      <c r="IG1" s="1584" t="str">
        <f>HW1</f>
        <v>ENTRADAS DEL MES DE SEPTIEMBRE 2023</v>
      </c>
      <c r="IH1" s="1584"/>
      <c r="II1" s="1584"/>
      <c r="IJ1" s="1584"/>
      <c r="IK1" s="1584"/>
      <c r="IL1" s="1584"/>
      <c r="IM1" s="1584"/>
      <c r="IN1" s="254">
        <f>ID1+1</f>
        <v>24</v>
      </c>
      <c r="IO1" s="359"/>
      <c r="IQ1" s="1584" t="str">
        <f>IG1</f>
        <v>ENTRADAS DEL MES DE SEPTIEMBRE 2023</v>
      </c>
      <c r="IR1" s="1584"/>
      <c r="IS1" s="1584"/>
      <c r="IT1" s="1584"/>
      <c r="IU1" s="1584"/>
      <c r="IV1" s="1584"/>
      <c r="IW1" s="1584"/>
      <c r="IX1" s="254">
        <f>IN1+1</f>
        <v>25</v>
      </c>
      <c r="IY1" s="359"/>
      <c r="JA1" s="1584" t="str">
        <f>IQ1</f>
        <v>ENTRADAS DEL MES DE SEPTIEMBRE 2023</v>
      </c>
      <c r="JB1" s="1584"/>
      <c r="JC1" s="1584"/>
      <c r="JD1" s="1584"/>
      <c r="JE1" s="1584"/>
      <c r="JF1" s="1584"/>
      <c r="JG1" s="1584"/>
      <c r="JH1" s="254">
        <f>IX1+1</f>
        <v>26</v>
      </c>
      <c r="JI1" s="359"/>
      <c r="JK1" s="1592" t="str">
        <f>JA1</f>
        <v>ENTRADAS DEL MES DE SEPTIEMBRE 2023</v>
      </c>
      <c r="JL1" s="1592"/>
      <c r="JM1" s="1592"/>
      <c r="JN1" s="1592"/>
      <c r="JO1" s="1592"/>
      <c r="JP1" s="1592"/>
      <c r="JQ1" s="1592"/>
      <c r="JR1" s="254">
        <f>JH1+1</f>
        <v>27</v>
      </c>
      <c r="JS1" s="359"/>
      <c r="JU1" s="1584" t="str">
        <f>JK1</f>
        <v>ENTRADAS DEL MES DE SEPTIEMBRE 2023</v>
      </c>
      <c r="JV1" s="1584"/>
      <c r="JW1" s="1584"/>
      <c r="JX1" s="1584"/>
      <c r="JY1" s="1584"/>
      <c r="JZ1" s="1584"/>
      <c r="KA1" s="1584"/>
      <c r="KB1" s="254">
        <f>JR1+1</f>
        <v>28</v>
      </c>
      <c r="KC1" s="359"/>
      <c r="KE1" s="1584" t="str">
        <f>JU1</f>
        <v>ENTRADAS DEL MES DE SEPTIEMBRE 2023</v>
      </c>
      <c r="KF1" s="1584"/>
      <c r="KG1" s="1584"/>
      <c r="KH1" s="1584"/>
      <c r="KI1" s="1584"/>
      <c r="KJ1" s="1584"/>
      <c r="KK1" s="1584"/>
      <c r="KL1" s="254">
        <f>KB1+1</f>
        <v>29</v>
      </c>
      <c r="KM1" s="359"/>
      <c r="KO1" s="1584" t="str">
        <f>KE1</f>
        <v>ENTRADAS DEL MES DE SEPTIEMBRE 2023</v>
      </c>
      <c r="KP1" s="1584"/>
      <c r="KQ1" s="1584"/>
      <c r="KR1" s="1584"/>
      <c r="KS1" s="1584"/>
      <c r="KT1" s="1584"/>
      <c r="KU1" s="1584"/>
      <c r="KV1" s="254">
        <f>KL1+1</f>
        <v>30</v>
      </c>
      <c r="KW1" s="359"/>
      <c r="KY1" s="1584" t="str">
        <f>KO1</f>
        <v>ENTRADAS DEL MES DE SEPTIEMBRE 2023</v>
      </c>
      <c r="KZ1" s="1584"/>
      <c r="LA1" s="1584"/>
      <c r="LB1" s="1584"/>
      <c r="LC1" s="1584"/>
      <c r="LD1" s="1584"/>
      <c r="LE1" s="1584"/>
      <c r="LF1" s="254">
        <f>KV1+1</f>
        <v>31</v>
      </c>
      <c r="LG1" s="359"/>
      <c r="LH1" s="74" t="s">
        <v>41</v>
      </c>
      <c r="LI1" s="1584" t="str">
        <f>KY1</f>
        <v>ENTRADAS DEL MES DE SEPTIEMBRE 2023</v>
      </c>
      <c r="LJ1" s="1584"/>
      <c r="LK1" s="1584"/>
      <c r="LL1" s="1584"/>
      <c r="LM1" s="1584"/>
      <c r="LN1" s="1584"/>
      <c r="LO1" s="1584"/>
      <c r="LP1" s="254">
        <f>LF1+1</f>
        <v>32</v>
      </c>
      <c r="LQ1" s="359"/>
      <c r="LS1" s="1584" t="str">
        <f>LI1</f>
        <v>ENTRADAS DEL MES DE SEPTIEMBRE 2023</v>
      </c>
      <c r="LT1" s="1584"/>
      <c r="LU1" s="1584"/>
      <c r="LV1" s="1584"/>
      <c r="LW1" s="1584"/>
      <c r="LX1" s="1584"/>
      <c r="LY1" s="1584"/>
      <c r="LZ1" s="254">
        <f>LP1+1</f>
        <v>33</v>
      </c>
      <c r="MC1" s="1584" t="str">
        <f>LS1</f>
        <v>ENTRADAS DEL MES DE SEPTIEMBRE 2023</v>
      </c>
      <c r="MD1" s="1584"/>
      <c r="ME1" s="1584"/>
      <c r="MF1" s="1584"/>
      <c r="MG1" s="1584"/>
      <c r="MH1" s="1584"/>
      <c r="MI1" s="1584"/>
      <c r="MJ1" s="254">
        <f>LZ1+1</f>
        <v>34</v>
      </c>
      <c r="MK1" s="254"/>
      <c r="MM1" s="1584" t="str">
        <f>MC1</f>
        <v>ENTRADAS DEL MES DE SEPTIEMBRE 2023</v>
      </c>
      <c r="MN1" s="1584"/>
      <c r="MO1" s="1584"/>
      <c r="MP1" s="1584"/>
      <c r="MQ1" s="1584"/>
      <c r="MR1" s="1584"/>
      <c r="MS1" s="1584"/>
      <c r="MT1" s="254">
        <f>MJ1+1</f>
        <v>35</v>
      </c>
      <c r="MU1" s="254"/>
      <c r="MW1" s="1584" t="str">
        <f>MM1</f>
        <v>ENTRADAS DEL MES DE SEPTIEMBRE 2023</v>
      </c>
      <c r="MX1" s="1584"/>
      <c r="MY1" s="1584"/>
      <c r="MZ1" s="1584"/>
      <c r="NA1" s="1584"/>
      <c r="NB1" s="1584"/>
      <c r="NC1" s="1584"/>
      <c r="ND1" s="254">
        <f>MT1+1</f>
        <v>36</v>
      </c>
      <c r="NE1" s="254"/>
      <c r="NG1" s="1584" t="str">
        <f>MW1</f>
        <v>ENTRADAS DEL MES DE SEPTIEMBRE 2023</v>
      </c>
      <c r="NH1" s="1584"/>
      <c r="NI1" s="1584"/>
      <c r="NJ1" s="1584"/>
      <c r="NK1" s="1584"/>
      <c r="NL1" s="1584"/>
      <c r="NM1" s="1584"/>
      <c r="NN1" s="254">
        <f>ND1+1</f>
        <v>37</v>
      </c>
      <c r="NO1" s="254"/>
      <c r="NQ1" s="1584" t="str">
        <f>NG1</f>
        <v>ENTRADAS DEL MES DE SEPTIEMBRE 2023</v>
      </c>
      <c r="NR1" s="1584"/>
      <c r="NS1" s="1584"/>
      <c r="NT1" s="1584"/>
      <c r="NU1" s="1584"/>
      <c r="NV1" s="1584"/>
      <c r="NW1" s="1584"/>
      <c r="NX1" s="254">
        <f>NN1+1</f>
        <v>38</v>
      </c>
      <c r="NY1" s="254"/>
      <c r="OA1" s="1584" t="str">
        <f>NQ1</f>
        <v>ENTRADAS DEL MES DE SEPTIEMBRE 2023</v>
      </c>
      <c r="OB1" s="1584"/>
      <c r="OC1" s="1584"/>
      <c r="OD1" s="1584"/>
      <c r="OE1" s="1584"/>
      <c r="OF1" s="1584"/>
      <c r="OG1" s="1584"/>
      <c r="OH1" s="254">
        <f>NX1+1</f>
        <v>39</v>
      </c>
      <c r="OI1" s="254"/>
      <c r="OK1" s="1584" t="str">
        <f>OA1</f>
        <v>ENTRADAS DEL MES DE SEPTIEMBRE 2023</v>
      </c>
      <c r="OL1" s="1584"/>
      <c r="OM1" s="1584"/>
      <c r="ON1" s="1584"/>
      <c r="OO1" s="1584"/>
      <c r="OP1" s="1584"/>
      <c r="OQ1" s="1584"/>
      <c r="OR1" s="254">
        <f>OH1+1</f>
        <v>40</v>
      </c>
      <c r="OS1" s="254"/>
      <c r="OU1" s="1584" t="str">
        <f>OK1</f>
        <v>ENTRADAS DEL MES DE SEPTIEMBRE 2023</v>
      </c>
      <c r="OV1" s="1584"/>
      <c r="OW1" s="1584"/>
      <c r="OX1" s="1584"/>
      <c r="OY1" s="1584"/>
      <c r="OZ1" s="1584"/>
      <c r="PA1" s="1584"/>
      <c r="PB1" s="254">
        <f>OR1+1</f>
        <v>41</v>
      </c>
      <c r="PC1" s="254"/>
      <c r="PE1" s="1584" t="str">
        <f>OU1</f>
        <v>ENTRADAS DEL MES DE SEPTIEMBRE 2023</v>
      </c>
      <c r="PF1" s="1584"/>
      <c r="PG1" s="1584"/>
      <c r="PH1" s="1584"/>
      <c r="PI1" s="1584"/>
      <c r="PJ1" s="1584"/>
      <c r="PK1" s="1584"/>
      <c r="PL1" s="254">
        <f>PB1+1</f>
        <v>42</v>
      </c>
      <c r="PM1" s="254"/>
      <c r="PN1" s="254"/>
      <c r="PP1" s="1584" t="str">
        <f>PE1</f>
        <v>ENTRADAS DEL MES DE SEPTIEMBRE 2023</v>
      </c>
      <c r="PQ1" s="1584"/>
      <c r="PR1" s="1584"/>
      <c r="PS1" s="1584"/>
      <c r="PT1" s="1584"/>
      <c r="PU1" s="1584"/>
      <c r="PV1" s="1584"/>
      <c r="PW1" s="254">
        <f>PL1+1</f>
        <v>43</v>
      </c>
      <c r="PX1" s="254"/>
      <c r="PZ1" s="1584" t="str">
        <f>PP1</f>
        <v>ENTRADAS DEL MES DE SEPTIEMBRE 2023</v>
      </c>
      <c r="QA1" s="1584"/>
      <c r="QB1" s="1584"/>
      <c r="QC1" s="1584"/>
      <c r="QD1" s="1584"/>
      <c r="QE1" s="1584"/>
      <c r="QF1" s="1584"/>
      <c r="QG1" s="254">
        <f>PW1+1</f>
        <v>44</v>
      </c>
      <c r="QH1" s="254"/>
      <c r="QJ1" s="1584" t="str">
        <f>PZ1</f>
        <v>ENTRADAS DEL MES DE SEPTIEMBRE 2023</v>
      </c>
      <c r="QK1" s="1584"/>
      <c r="QL1" s="1584"/>
      <c r="QM1" s="1584"/>
      <c r="QN1" s="1584"/>
      <c r="QO1" s="1584"/>
      <c r="QP1" s="1584"/>
      <c r="QQ1" s="254">
        <f>QG1+1</f>
        <v>45</v>
      </c>
      <c r="QR1" s="254"/>
      <c r="QT1" s="1584" t="str">
        <f>QJ1</f>
        <v>ENTRADAS DEL MES DE SEPTIEMBRE 2023</v>
      </c>
      <c r="QU1" s="1584"/>
      <c r="QV1" s="1584"/>
      <c r="QW1" s="1584"/>
      <c r="QX1" s="1584"/>
      <c r="QY1" s="1584"/>
      <c r="QZ1" s="1584"/>
      <c r="RA1" s="254">
        <f>QQ1+1</f>
        <v>46</v>
      </c>
      <c r="RB1" s="254"/>
      <c r="RD1" s="1584" t="str">
        <f>QT1</f>
        <v>ENTRADAS DEL MES DE SEPTIEMBRE 2023</v>
      </c>
      <c r="RE1" s="1584"/>
      <c r="RF1" s="1584"/>
      <c r="RG1" s="1584"/>
      <c r="RH1" s="1584"/>
      <c r="RI1" s="1584"/>
      <c r="RJ1" s="1584"/>
      <c r="RK1" s="254">
        <f>RA1+1</f>
        <v>47</v>
      </c>
      <c r="RL1" s="254"/>
      <c r="RN1" s="1584" t="str">
        <f>RD1</f>
        <v>ENTRADAS DEL MES DE SEPTIEMBRE 2023</v>
      </c>
      <c r="RO1" s="1584"/>
      <c r="RP1" s="1584"/>
      <c r="RQ1" s="1584"/>
      <c r="RR1" s="1584"/>
      <c r="RS1" s="1584"/>
      <c r="RT1" s="1584"/>
      <c r="RU1" s="254">
        <f>RK1+1</f>
        <v>48</v>
      </c>
      <c r="RV1" s="254"/>
      <c r="RX1" s="1584" t="str">
        <f>RN1</f>
        <v>ENTRADAS DEL MES DE SEPTIEMBRE 2023</v>
      </c>
      <c r="RY1" s="1584"/>
      <c r="RZ1" s="1584"/>
      <c r="SA1" s="1584"/>
      <c r="SB1" s="1584"/>
      <c r="SC1" s="1584"/>
      <c r="SD1" s="1584"/>
      <c r="SE1" s="254">
        <f>RU1+1</f>
        <v>49</v>
      </c>
      <c r="SF1" s="254"/>
      <c r="SH1" s="1584" t="str">
        <f>RX1</f>
        <v>ENTRADAS DEL MES DE SEPTIEMBRE 2023</v>
      </c>
      <c r="SI1" s="1584"/>
      <c r="SJ1" s="1584"/>
      <c r="SK1" s="1584"/>
      <c r="SL1" s="1584"/>
      <c r="SM1" s="1584"/>
      <c r="SN1" s="1584"/>
      <c r="SO1" s="254">
        <f>SE1+1</f>
        <v>50</v>
      </c>
      <c r="SP1" s="254"/>
      <c r="SR1" s="1584" t="str">
        <f>SH1</f>
        <v>ENTRADAS DEL MES DE SEPTIEMBRE 2023</v>
      </c>
      <c r="SS1" s="1584"/>
      <c r="ST1" s="1584"/>
      <c r="SU1" s="1584"/>
      <c r="SV1" s="1584"/>
      <c r="SW1" s="1584"/>
      <c r="SX1" s="1584"/>
      <c r="SY1" s="254">
        <f>SO1+1</f>
        <v>51</v>
      </c>
      <c r="SZ1" s="254"/>
      <c r="TB1" s="1584" t="str">
        <f>SR1</f>
        <v>ENTRADAS DEL MES DE SEPTIEMBRE 2023</v>
      </c>
      <c r="TC1" s="1584"/>
      <c r="TD1" s="1584"/>
      <c r="TE1" s="1584"/>
      <c r="TF1" s="1584"/>
      <c r="TG1" s="1584"/>
      <c r="TH1" s="1584"/>
      <c r="TI1" s="254">
        <f>SY1+1</f>
        <v>52</v>
      </c>
      <c r="TJ1" s="254"/>
      <c r="TL1" s="1584" t="str">
        <f>TB1</f>
        <v>ENTRADAS DEL MES DE SEPTIEMBRE 2023</v>
      </c>
      <c r="TM1" s="1584"/>
      <c r="TN1" s="1584"/>
      <c r="TO1" s="1584"/>
      <c r="TP1" s="1584"/>
      <c r="TQ1" s="1584"/>
      <c r="TR1" s="1584"/>
      <c r="TS1" s="254">
        <f>TI1+1</f>
        <v>53</v>
      </c>
      <c r="TT1" s="254"/>
      <c r="TV1" s="1584" t="str">
        <f>TL1</f>
        <v>ENTRADAS DEL MES DE SEPTIEMBRE 2023</v>
      </c>
      <c r="TW1" s="1584"/>
      <c r="TX1" s="1584"/>
      <c r="TY1" s="1584"/>
      <c r="TZ1" s="1584"/>
      <c r="UA1" s="1584"/>
      <c r="UB1" s="1584"/>
      <c r="UC1" s="254">
        <f>TS1+1</f>
        <v>54</v>
      </c>
      <c r="UE1" s="1584" t="str">
        <f>TV1</f>
        <v>ENTRADAS DEL MES DE SEPTIEMBRE 2023</v>
      </c>
      <c r="UF1" s="1584"/>
      <c r="UG1" s="1584"/>
      <c r="UH1" s="1584"/>
      <c r="UI1" s="1584"/>
      <c r="UJ1" s="1584"/>
      <c r="UK1" s="1584"/>
      <c r="UL1" s="254">
        <f>UC1+1</f>
        <v>55</v>
      </c>
      <c r="UN1" s="1584" t="str">
        <f>UE1</f>
        <v>ENTRADAS DEL MES DE SEPTIEMBRE 2023</v>
      </c>
      <c r="UO1" s="1584"/>
      <c r="UP1" s="1584"/>
      <c r="UQ1" s="1584"/>
      <c r="UR1" s="1584"/>
      <c r="US1" s="1584"/>
      <c r="UT1" s="1584"/>
      <c r="UU1" s="254">
        <f>UL1+1</f>
        <v>56</v>
      </c>
      <c r="UW1" s="1584" t="str">
        <f>UN1</f>
        <v>ENTRADAS DEL MES DE SEPTIEMBRE 2023</v>
      </c>
      <c r="UX1" s="1584"/>
      <c r="UY1" s="1584"/>
      <c r="UZ1" s="1584"/>
      <c r="VA1" s="1584"/>
      <c r="VB1" s="1584"/>
      <c r="VC1" s="1584"/>
      <c r="VD1" s="254">
        <f>UU1+1</f>
        <v>57</v>
      </c>
      <c r="VF1" s="1584" t="str">
        <f>UW1</f>
        <v>ENTRADAS DEL MES DE SEPTIEMBRE 2023</v>
      </c>
      <c r="VG1" s="1584"/>
      <c r="VH1" s="1584"/>
      <c r="VI1" s="1584"/>
      <c r="VJ1" s="1584"/>
      <c r="VK1" s="1584"/>
      <c r="VL1" s="1584"/>
      <c r="VM1" s="254">
        <f>VD1+1</f>
        <v>58</v>
      </c>
      <c r="VO1" s="1584" t="str">
        <f>VF1</f>
        <v>ENTRADAS DEL MES DE SEPTIEMBRE 2023</v>
      </c>
      <c r="VP1" s="1584"/>
      <c r="VQ1" s="1584"/>
      <c r="VR1" s="1584"/>
      <c r="VS1" s="1584"/>
      <c r="VT1" s="1584"/>
      <c r="VU1" s="1584"/>
      <c r="VV1" s="254">
        <f>VM1+1</f>
        <v>59</v>
      </c>
      <c r="VX1" s="1584" t="str">
        <f>VO1</f>
        <v>ENTRADAS DEL MES DE SEPTIEMBRE 2023</v>
      </c>
      <c r="VY1" s="1584"/>
      <c r="VZ1" s="1584"/>
      <c r="WA1" s="1584"/>
      <c r="WB1" s="1584"/>
      <c r="WC1" s="1584"/>
      <c r="WD1" s="1584"/>
      <c r="WE1" s="254">
        <f>VV1+1</f>
        <v>60</v>
      </c>
      <c r="WG1" s="1584" t="str">
        <f>VX1</f>
        <v>ENTRADAS DEL MES DE SEPTIEMBRE 2023</v>
      </c>
      <c r="WH1" s="1584"/>
      <c r="WI1" s="1584"/>
      <c r="WJ1" s="1584"/>
      <c r="WK1" s="1584"/>
      <c r="WL1" s="1584"/>
      <c r="WM1" s="1584"/>
      <c r="WN1" s="254">
        <f>WE1+1</f>
        <v>61</v>
      </c>
      <c r="WP1" s="1584" t="str">
        <f>WG1</f>
        <v>ENTRADAS DEL MES DE SEPTIEMBRE 2023</v>
      </c>
      <c r="WQ1" s="1584"/>
      <c r="WR1" s="1584"/>
      <c r="WS1" s="1584"/>
      <c r="WT1" s="1584"/>
      <c r="WU1" s="1584"/>
      <c r="WV1" s="1584"/>
      <c r="WW1" s="254">
        <f>WN1+1</f>
        <v>62</v>
      </c>
      <c r="WY1" s="1584" t="str">
        <f>WP1</f>
        <v>ENTRADAS DEL MES DE SEPTIEMBRE 2023</v>
      </c>
      <c r="WZ1" s="1584"/>
      <c r="XA1" s="1584"/>
      <c r="XB1" s="1584"/>
      <c r="XC1" s="1584"/>
      <c r="XD1" s="1584"/>
      <c r="XE1" s="1584"/>
      <c r="XF1" s="254">
        <f>WW1+1</f>
        <v>63</v>
      </c>
      <c r="XH1" s="1584" t="str">
        <f>WY1</f>
        <v>ENTRADAS DEL MES DE SEPTIEMBRE 2023</v>
      </c>
      <c r="XI1" s="1584"/>
      <c r="XJ1" s="1584"/>
      <c r="XK1" s="1584"/>
      <c r="XL1" s="1584"/>
      <c r="XM1" s="1584"/>
      <c r="XN1" s="1584"/>
      <c r="XO1" s="254">
        <f>XF1+1</f>
        <v>64</v>
      </c>
      <c r="XQ1" s="1584" t="str">
        <f>XH1</f>
        <v>ENTRADAS DEL MES DE SEPTIEMBRE 2023</v>
      </c>
      <c r="XR1" s="1584"/>
      <c r="XS1" s="1584"/>
      <c r="XT1" s="1584"/>
      <c r="XU1" s="1584"/>
      <c r="XV1" s="1584"/>
      <c r="XW1" s="1584"/>
      <c r="XX1" s="254">
        <f>XO1+1</f>
        <v>65</v>
      </c>
      <c r="XZ1" s="1584" t="str">
        <f>XQ1</f>
        <v>ENTRADAS DEL MES DE SEPTIEMBRE 2023</v>
      </c>
      <c r="YA1" s="1584"/>
      <c r="YB1" s="1584"/>
      <c r="YC1" s="1584"/>
      <c r="YD1" s="1584"/>
      <c r="YE1" s="1584"/>
      <c r="YF1" s="1584"/>
      <c r="YG1" s="254">
        <f>XX1+1</f>
        <v>66</v>
      </c>
      <c r="YI1" s="1584" t="str">
        <f>XZ1</f>
        <v>ENTRADAS DEL MES DE SEPTIEMBRE 2023</v>
      </c>
      <c r="YJ1" s="1584"/>
      <c r="YK1" s="1584"/>
      <c r="YL1" s="1584"/>
      <c r="YM1" s="1584"/>
      <c r="YN1" s="1584"/>
      <c r="YO1" s="1584"/>
      <c r="YP1" s="254">
        <f>YG1+1</f>
        <v>67</v>
      </c>
      <c r="YR1" s="1584" t="str">
        <f>YI1</f>
        <v>ENTRADAS DEL MES DE SEPTIEMBRE 2023</v>
      </c>
      <c r="YS1" s="1584"/>
      <c r="YT1" s="1584"/>
      <c r="YU1" s="1584"/>
      <c r="YV1" s="1584"/>
      <c r="YW1" s="1584"/>
      <c r="YX1" s="1584"/>
      <c r="YY1" s="254">
        <f>YP1+1</f>
        <v>68</v>
      </c>
      <c r="ZA1" s="1584" t="str">
        <f>YR1</f>
        <v>ENTRADAS DEL MES DE SEPTIEMBRE 2023</v>
      </c>
      <c r="ZB1" s="1584"/>
      <c r="ZC1" s="1584"/>
      <c r="ZD1" s="1584"/>
      <c r="ZE1" s="1584"/>
      <c r="ZF1" s="1584"/>
      <c r="ZG1" s="1584"/>
      <c r="ZH1" s="254">
        <f>YY1+1</f>
        <v>69</v>
      </c>
      <c r="ZJ1" s="1584" t="str">
        <f>ZA1</f>
        <v>ENTRADAS DEL MES DE SEPTIEMBRE 2023</v>
      </c>
      <c r="ZK1" s="1584"/>
      <c r="ZL1" s="1584"/>
      <c r="ZM1" s="1584"/>
      <c r="ZN1" s="1584"/>
      <c r="ZO1" s="1584"/>
      <c r="ZP1" s="1584"/>
      <c r="ZQ1" s="254">
        <f>ZH1+1</f>
        <v>70</v>
      </c>
      <c r="ZS1" s="1584" t="str">
        <f>ZJ1</f>
        <v>ENTRADAS DEL MES DE SEPTIEMBRE 2023</v>
      </c>
      <c r="ZT1" s="1584"/>
      <c r="ZU1" s="1584"/>
      <c r="ZV1" s="1584"/>
      <c r="ZW1" s="1584"/>
      <c r="ZX1" s="1584"/>
      <c r="ZY1" s="1584"/>
      <c r="ZZ1" s="254">
        <f>ZQ1+1</f>
        <v>71</v>
      </c>
      <c r="AAB1" s="1584" t="str">
        <f>ZS1</f>
        <v>ENTRADAS DEL MES DE SEPTIEMBRE 2023</v>
      </c>
      <c r="AAC1" s="1584"/>
      <c r="AAD1" s="1584"/>
      <c r="AAE1" s="1584"/>
      <c r="AAF1" s="1584"/>
      <c r="AAG1" s="1584"/>
      <c r="AAH1" s="1584"/>
      <c r="AAI1" s="254">
        <f>ZZ1+1</f>
        <v>72</v>
      </c>
      <c r="AAK1" s="1584" t="str">
        <f>AAB1</f>
        <v>ENTRADAS DEL MES DE SEPTIEMBRE 2023</v>
      </c>
      <c r="AAL1" s="1584"/>
      <c r="AAM1" s="1584"/>
      <c r="AAN1" s="1584"/>
      <c r="AAO1" s="1584"/>
      <c r="AAP1" s="1584"/>
      <c r="AAQ1" s="1584"/>
      <c r="AAR1" s="254">
        <f>AAI1+1</f>
        <v>73</v>
      </c>
      <c r="AAT1" s="1584" t="str">
        <f>AAK1</f>
        <v>ENTRADAS DEL MES DE SEPTIEMBRE 2023</v>
      </c>
      <c r="AAU1" s="1584"/>
      <c r="AAV1" s="1584"/>
      <c r="AAW1" s="1584"/>
      <c r="AAX1" s="1584"/>
      <c r="AAY1" s="1584"/>
      <c r="AAZ1" s="1584"/>
      <c r="ABA1" s="254">
        <f>AAR1+1</f>
        <v>74</v>
      </c>
      <c r="ABC1" s="1584" t="str">
        <f>AAT1</f>
        <v>ENTRADAS DEL MES DE SEPTIEMBRE 2023</v>
      </c>
      <c r="ABD1" s="1584"/>
      <c r="ABE1" s="1584"/>
      <c r="ABF1" s="1584"/>
      <c r="ABG1" s="1584"/>
      <c r="ABH1" s="1584"/>
      <c r="ABI1" s="1584"/>
      <c r="ABJ1" s="254">
        <f>ABA1+1</f>
        <v>75</v>
      </c>
      <c r="ABL1" s="1584" t="str">
        <f>ABC1</f>
        <v>ENTRADAS DEL MES DE SEPTIEMBRE 2023</v>
      </c>
      <c r="ABM1" s="1584"/>
      <c r="ABN1" s="1584"/>
      <c r="ABO1" s="1584"/>
      <c r="ABP1" s="1584"/>
      <c r="ABQ1" s="1584"/>
      <c r="ABR1" s="1584"/>
      <c r="ABS1" s="254">
        <f>ABJ1+1</f>
        <v>76</v>
      </c>
      <c r="ABU1" s="1584" t="str">
        <f>ABL1</f>
        <v>ENTRADAS DEL MES DE SEPTIEMBRE 2023</v>
      </c>
      <c r="ABV1" s="1584"/>
      <c r="ABW1" s="1584"/>
      <c r="ABX1" s="1584"/>
      <c r="ABY1" s="1584"/>
      <c r="ABZ1" s="1584"/>
      <c r="ACA1" s="1584"/>
      <c r="ACB1" s="254">
        <f>ABS1+1</f>
        <v>77</v>
      </c>
      <c r="ACD1" s="1584" t="str">
        <f>ABU1</f>
        <v>ENTRADAS DEL MES DE SEPTIEMBRE 2023</v>
      </c>
      <c r="ACE1" s="1584"/>
      <c r="ACF1" s="1584"/>
      <c r="ACG1" s="1584"/>
      <c r="ACH1" s="1584"/>
      <c r="ACI1" s="1584"/>
      <c r="ACJ1" s="1584"/>
      <c r="ACK1" s="254">
        <f>ACB1+1</f>
        <v>78</v>
      </c>
      <c r="ACM1" s="1584" t="str">
        <f>ACD1</f>
        <v>ENTRADAS DEL MES DE SEPTIEMBRE 2023</v>
      </c>
      <c r="ACN1" s="1584"/>
      <c r="ACO1" s="1584"/>
      <c r="ACP1" s="1584"/>
      <c r="ACQ1" s="1584"/>
      <c r="ACR1" s="1584"/>
      <c r="ACS1" s="1584"/>
      <c r="ACT1" s="254">
        <f>ACK1+1</f>
        <v>79</v>
      </c>
      <c r="ACV1" s="1584" t="str">
        <f>ACM1</f>
        <v>ENTRADAS DEL MES DE SEPTIEMBRE 2023</v>
      </c>
      <c r="ACW1" s="1584"/>
      <c r="ACX1" s="1584"/>
      <c r="ACY1" s="1584"/>
      <c r="ACZ1" s="1584"/>
      <c r="ADA1" s="1584"/>
      <c r="ADB1" s="1584"/>
      <c r="ADC1" s="254">
        <f>ACT1+1</f>
        <v>80</v>
      </c>
      <c r="ADE1" s="1584" t="str">
        <f>ACV1</f>
        <v>ENTRADAS DEL MES DE SEPTIEMBRE 2023</v>
      </c>
      <c r="ADF1" s="1584"/>
      <c r="ADG1" s="1584"/>
      <c r="ADH1" s="1584"/>
      <c r="ADI1" s="1584"/>
      <c r="ADJ1" s="1584"/>
      <c r="ADK1" s="1584"/>
      <c r="ADL1" s="254">
        <f>ADC1+1</f>
        <v>81</v>
      </c>
      <c r="ADN1" s="1584" t="str">
        <f>ADE1</f>
        <v>ENTRADAS DEL MES DE SEPTIEMBRE 2023</v>
      </c>
      <c r="ADO1" s="1584"/>
      <c r="ADP1" s="1584"/>
      <c r="ADQ1" s="1584"/>
      <c r="ADR1" s="1584"/>
      <c r="ADS1" s="1584"/>
      <c r="ADT1" s="1584"/>
      <c r="ADU1" s="254">
        <f>ADL1+1</f>
        <v>82</v>
      </c>
      <c r="ADW1" s="1584" t="str">
        <f>ADN1</f>
        <v>ENTRADAS DEL MES DE SEPTIEMBRE 2023</v>
      </c>
      <c r="ADX1" s="1584"/>
      <c r="ADY1" s="1584"/>
      <c r="ADZ1" s="1584"/>
      <c r="AEA1" s="1584"/>
      <c r="AEB1" s="1584"/>
      <c r="AEC1" s="1584"/>
      <c r="AED1" s="254">
        <f>ADU1+1</f>
        <v>83</v>
      </c>
      <c r="AEF1" s="1584" t="str">
        <f>ADW1</f>
        <v>ENTRADAS DEL MES DE SEPTIEMBRE 2023</v>
      </c>
      <c r="AEG1" s="1584"/>
      <c r="AEH1" s="1584"/>
      <c r="AEI1" s="1584"/>
      <c r="AEJ1" s="1584"/>
      <c r="AEK1" s="1584"/>
      <c r="AEL1" s="1584"/>
      <c r="AEM1" s="254">
        <f>AED1+1</f>
        <v>84</v>
      </c>
      <c r="AEO1" s="1584" t="str">
        <f>AEF1</f>
        <v>ENTRADAS DEL MES DE SEPTIEMBRE 2023</v>
      </c>
      <c r="AEP1" s="1584"/>
      <c r="AEQ1" s="1584"/>
      <c r="AER1" s="1584"/>
      <c r="AES1" s="1584"/>
      <c r="AET1" s="1584"/>
      <c r="AEU1" s="1584"/>
      <c r="AEV1" s="254">
        <f>AEM1+1</f>
        <v>85</v>
      </c>
      <c r="AEX1" s="1584" t="str">
        <f>AEO1</f>
        <v>ENTRADAS DEL MES DE SEPTIEMBRE 2023</v>
      </c>
      <c r="AEY1" s="1584"/>
      <c r="AEZ1" s="1584"/>
      <c r="AFA1" s="1584"/>
      <c r="AFB1" s="1584"/>
      <c r="AFC1" s="1584"/>
      <c r="AFD1" s="158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833" t="str">
        <f t="shared" si="0"/>
        <v xml:space="preserve">PED. </v>
      </c>
      <c r="E4" s="834">
        <f t="shared" si="0"/>
        <v>45168</v>
      </c>
      <c r="F4" s="835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4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6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4"/>
      <c r="KF4" s="74" t="s">
        <v>23</v>
      </c>
      <c r="KK4" s="224"/>
      <c r="KO4" s="72"/>
      <c r="KP4" s="72" t="s">
        <v>23</v>
      </c>
      <c r="KU4" s="72"/>
      <c r="KV4" s="126"/>
      <c r="KW4" s="367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213" t="s">
        <v>145</v>
      </c>
      <c r="L5" s="858" t="s">
        <v>146</v>
      </c>
      <c r="M5" s="124" t="s">
        <v>188</v>
      </c>
      <c r="N5" s="130">
        <v>45168</v>
      </c>
      <c r="O5" s="85">
        <v>19104.28</v>
      </c>
      <c r="P5" s="72">
        <v>21</v>
      </c>
      <c r="Q5" s="1256">
        <v>19097</v>
      </c>
      <c r="R5" s="134">
        <f>O5-Q5</f>
        <v>7.2799999999988358</v>
      </c>
      <c r="S5" s="361"/>
      <c r="U5" s="74" t="s">
        <v>191</v>
      </c>
      <c r="V5" s="858" t="s">
        <v>146</v>
      </c>
      <c r="W5" s="212" t="s">
        <v>192</v>
      </c>
      <c r="X5" s="130">
        <v>45169</v>
      </c>
      <c r="Y5" s="85">
        <v>18678.36</v>
      </c>
      <c r="Z5" s="72">
        <v>21</v>
      </c>
      <c r="AA5" s="1256">
        <v>18733.3</v>
      </c>
      <c r="AB5" s="134">
        <f>Y5-AA5</f>
        <v>-54.93999999999869</v>
      </c>
      <c r="AC5" s="361"/>
      <c r="AE5" s="74" t="s">
        <v>145</v>
      </c>
      <c r="AF5" s="858" t="s">
        <v>146</v>
      </c>
      <c r="AG5" s="212" t="s">
        <v>297</v>
      </c>
      <c r="AH5" s="131">
        <v>45170</v>
      </c>
      <c r="AI5" s="85">
        <v>18993.75</v>
      </c>
      <c r="AJ5" s="72">
        <v>21</v>
      </c>
      <c r="AK5" s="1256">
        <v>18991</v>
      </c>
      <c r="AL5" s="134">
        <f>AI5-AK5</f>
        <v>2.75</v>
      </c>
      <c r="AM5" s="134"/>
      <c r="AO5" s="74" t="s">
        <v>145</v>
      </c>
      <c r="AP5" s="858" t="s">
        <v>146</v>
      </c>
      <c r="AQ5" s="212" t="s">
        <v>298</v>
      </c>
      <c r="AR5" s="131">
        <v>45171</v>
      </c>
      <c r="AS5" s="85">
        <v>19115.54</v>
      </c>
      <c r="AT5" s="72">
        <v>21</v>
      </c>
      <c r="AU5" s="1256">
        <v>19090.8</v>
      </c>
      <c r="AV5" s="134">
        <f>AS5-AU5</f>
        <v>24.740000000001601</v>
      </c>
      <c r="AW5" s="134"/>
      <c r="AY5" s="74" t="s">
        <v>145</v>
      </c>
      <c r="AZ5" s="858" t="s">
        <v>146</v>
      </c>
      <c r="BA5" s="212" t="s">
        <v>320</v>
      </c>
      <c r="BB5" s="130">
        <v>45175</v>
      </c>
      <c r="BC5" s="85">
        <v>18961.7</v>
      </c>
      <c r="BD5" s="72">
        <v>21</v>
      </c>
      <c r="BE5" s="1256">
        <v>18951</v>
      </c>
      <c r="BF5" s="134">
        <f>BC5-BE5</f>
        <v>10.700000000000728</v>
      </c>
      <c r="BG5" s="361"/>
      <c r="BI5" s="74" t="s">
        <v>322</v>
      </c>
      <c r="BJ5" s="1057" t="s">
        <v>323</v>
      </c>
      <c r="BK5" s="212" t="s">
        <v>324</v>
      </c>
      <c r="BL5" s="130">
        <v>45175</v>
      </c>
      <c r="BM5" s="85">
        <v>18508.88</v>
      </c>
      <c r="BN5" s="72">
        <v>20</v>
      </c>
      <c r="BO5" s="1256">
        <v>18555.46</v>
      </c>
      <c r="BP5" s="134">
        <f>BM5-BO5</f>
        <v>-46.579999999998108</v>
      </c>
      <c r="BQ5" s="361"/>
      <c r="BS5" s="650" t="s">
        <v>145</v>
      </c>
      <c r="BT5" s="858" t="s">
        <v>146</v>
      </c>
      <c r="BU5" s="212" t="s">
        <v>325</v>
      </c>
      <c r="BV5" s="130">
        <v>45175</v>
      </c>
      <c r="BW5" s="85">
        <v>18782.91</v>
      </c>
      <c r="BX5" s="72">
        <v>21</v>
      </c>
      <c r="BY5" s="1256">
        <v>18787.7</v>
      </c>
      <c r="BZ5" s="134">
        <f>BW5-BY5</f>
        <v>-4.7900000000008731</v>
      </c>
      <c r="CA5" s="361"/>
      <c r="CB5" s="230"/>
      <c r="CC5" s="213" t="s">
        <v>145</v>
      </c>
      <c r="CD5" s="1058" t="s">
        <v>146</v>
      </c>
      <c r="CE5" s="212" t="s">
        <v>327</v>
      </c>
      <c r="CF5" s="130">
        <v>45175</v>
      </c>
      <c r="CG5" s="85">
        <v>19255.8</v>
      </c>
      <c r="CH5" s="72">
        <v>21</v>
      </c>
      <c r="CI5" s="1256">
        <v>19297.3</v>
      </c>
      <c r="CJ5" s="134">
        <f>CG5-CI5</f>
        <v>-41.5</v>
      </c>
      <c r="CK5" s="230"/>
      <c r="CL5" s="230"/>
      <c r="CM5" s="651" t="s">
        <v>145</v>
      </c>
      <c r="CN5" s="1058" t="s">
        <v>146</v>
      </c>
      <c r="CO5" s="124" t="s">
        <v>332</v>
      </c>
      <c r="CP5" s="130">
        <v>45176</v>
      </c>
      <c r="CQ5" s="85">
        <v>19008.36</v>
      </c>
      <c r="CR5" s="72">
        <v>21</v>
      </c>
      <c r="CS5" s="1256">
        <v>19036.099999999999</v>
      </c>
      <c r="CT5" s="134">
        <f>CQ5-CS5</f>
        <v>-27.739999999997963</v>
      </c>
      <c r="CU5" s="361"/>
      <c r="CW5" s="213" t="s">
        <v>354</v>
      </c>
      <c r="CX5" s="1084" t="s">
        <v>355</v>
      </c>
      <c r="CY5" s="124" t="s">
        <v>356</v>
      </c>
      <c r="CZ5" s="130">
        <v>45177</v>
      </c>
      <c r="DA5" s="85">
        <v>18355</v>
      </c>
      <c r="DB5" s="72">
        <v>20</v>
      </c>
      <c r="DC5" s="1256">
        <v>18484</v>
      </c>
      <c r="DD5" s="134">
        <f>DA5-DC5</f>
        <v>-129</v>
      </c>
      <c r="DE5" s="361"/>
      <c r="DG5" s="213" t="s">
        <v>322</v>
      </c>
      <c r="DH5" s="1057" t="s">
        <v>323</v>
      </c>
      <c r="DI5" s="124" t="s">
        <v>335</v>
      </c>
      <c r="DJ5" s="130">
        <v>45178</v>
      </c>
      <c r="DK5" s="85">
        <v>18678.18</v>
      </c>
      <c r="DL5" s="72">
        <v>20</v>
      </c>
      <c r="DM5" s="1256">
        <v>18770.47</v>
      </c>
      <c r="DN5" s="134">
        <f>DK5-DM5</f>
        <v>-92.290000000000873</v>
      </c>
      <c r="DO5" s="361"/>
      <c r="DQ5" s="554" t="s">
        <v>363</v>
      </c>
      <c r="DR5" s="1058" t="s">
        <v>146</v>
      </c>
      <c r="DS5" s="212" t="s">
        <v>188</v>
      </c>
      <c r="DT5" s="130">
        <v>45180</v>
      </c>
      <c r="DU5" s="85">
        <v>18953.54</v>
      </c>
      <c r="DV5" s="72">
        <v>21</v>
      </c>
      <c r="DW5" s="1256">
        <v>18996.2</v>
      </c>
      <c r="DX5" s="134">
        <f>DU5-DW5</f>
        <v>-42.659999999999854</v>
      </c>
      <c r="DY5" s="230"/>
      <c r="EA5" s="213" t="s">
        <v>322</v>
      </c>
      <c r="EB5" s="1098" t="s">
        <v>146</v>
      </c>
      <c r="EC5" s="212" t="s">
        <v>365</v>
      </c>
      <c r="ED5" s="1305">
        <v>45150</v>
      </c>
      <c r="EE5" s="85">
        <v>18883.599999999999</v>
      </c>
      <c r="EF5" s="72">
        <v>21</v>
      </c>
      <c r="EG5" s="48">
        <v>19065.099999999999</v>
      </c>
      <c r="EH5" s="134">
        <f>EE5-EG5</f>
        <v>-181.5</v>
      </c>
      <c r="EI5" s="361"/>
      <c r="EJ5" s="74" t="s">
        <v>49</v>
      </c>
      <c r="EK5" s="398" t="s">
        <v>322</v>
      </c>
      <c r="EL5" s="1099" t="s">
        <v>366</v>
      </c>
      <c r="EM5" s="212" t="s">
        <v>367</v>
      </c>
      <c r="EN5" s="130">
        <v>45181</v>
      </c>
      <c r="EO5" s="85">
        <v>18341.87</v>
      </c>
      <c r="EP5" s="72">
        <v>22</v>
      </c>
      <c r="EQ5" s="1256">
        <v>18391</v>
      </c>
      <c r="ER5" s="134">
        <f>EO5-EQ5</f>
        <v>-49.130000000001019</v>
      </c>
      <c r="ES5" s="361"/>
      <c r="ET5" s="74" t="s">
        <v>49</v>
      </c>
      <c r="EU5" s="213" t="s">
        <v>145</v>
      </c>
      <c r="EV5" s="1098" t="s">
        <v>146</v>
      </c>
      <c r="EW5" s="124" t="s">
        <v>368</v>
      </c>
      <c r="EX5" s="130">
        <v>45181</v>
      </c>
      <c r="EY5" s="85">
        <v>18363.439999999999</v>
      </c>
      <c r="EZ5" s="72">
        <v>20</v>
      </c>
      <c r="FA5" s="1265">
        <v>18500.900000000001</v>
      </c>
      <c r="FB5" s="134">
        <f>EY5-FA5</f>
        <v>-137.46000000000276</v>
      </c>
      <c r="FC5" s="361"/>
      <c r="FE5" s="74" t="s">
        <v>145</v>
      </c>
      <c r="FF5" s="133" t="s">
        <v>146</v>
      </c>
      <c r="FG5" s="212" t="s">
        <v>371</v>
      </c>
      <c r="FH5" s="130">
        <v>45184</v>
      </c>
      <c r="FI5" s="85">
        <v>19163.939999999999</v>
      </c>
      <c r="FJ5" s="72">
        <v>21</v>
      </c>
      <c r="FK5" s="1265">
        <v>19200.400000000001</v>
      </c>
      <c r="FL5" s="134">
        <f>FI5-FK5</f>
        <v>-36.460000000002765</v>
      </c>
      <c r="FM5" s="361"/>
      <c r="FO5" s="74" t="s">
        <v>145</v>
      </c>
      <c r="FP5" s="858" t="s">
        <v>146</v>
      </c>
      <c r="FQ5" s="212" t="s">
        <v>373</v>
      </c>
      <c r="FR5" s="130">
        <v>45184</v>
      </c>
      <c r="FS5" s="85">
        <v>19215.400000000001</v>
      </c>
      <c r="FT5" s="72">
        <v>21</v>
      </c>
      <c r="FU5" s="1265">
        <v>19240.400000000001</v>
      </c>
      <c r="FV5" s="134">
        <f>FS5-FU5</f>
        <v>-25</v>
      </c>
      <c r="FW5" s="361"/>
      <c r="FY5" s="554" t="s">
        <v>375</v>
      </c>
      <c r="FZ5" s="1057" t="s">
        <v>323</v>
      </c>
      <c r="GA5" s="212" t="s">
        <v>188</v>
      </c>
      <c r="GB5" s="130">
        <v>45184</v>
      </c>
      <c r="GC5" s="85">
        <v>18742.990000000002</v>
      </c>
      <c r="GD5" s="72">
        <v>20</v>
      </c>
      <c r="GE5" s="1256">
        <v>18775.45</v>
      </c>
      <c r="GF5" s="134">
        <f>GC5-GE5</f>
        <v>-32.459999999999127</v>
      </c>
      <c r="GG5" s="361"/>
      <c r="GI5" s="571" t="s">
        <v>145</v>
      </c>
      <c r="GJ5" s="1098" t="s">
        <v>146</v>
      </c>
      <c r="GK5" s="212" t="s">
        <v>378</v>
      </c>
      <c r="GL5" s="131">
        <v>45189</v>
      </c>
      <c r="GM5" s="85">
        <v>19004.12</v>
      </c>
      <c r="GN5" s="72">
        <v>21</v>
      </c>
      <c r="GO5" s="1256">
        <v>19004.099999999999</v>
      </c>
      <c r="GP5" s="134">
        <f>GM5-GO5</f>
        <v>2.0000000000436557E-2</v>
      </c>
      <c r="GQ5" s="361"/>
      <c r="GS5" s="926" t="s">
        <v>145</v>
      </c>
      <c r="GT5" s="858" t="s">
        <v>146</v>
      </c>
      <c r="GU5" s="72" t="s">
        <v>380</v>
      </c>
      <c r="GV5" s="131">
        <v>45189</v>
      </c>
      <c r="GW5" s="85">
        <v>19090.22</v>
      </c>
      <c r="GX5" s="72">
        <v>21</v>
      </c>
      <c r="GY5" s="1256">
        <v>19103.8</v>
      </c>
      <c r="GZ5" s="134">
        <f>GW5-GY5</f>
        <v>-13.579999999998108</v>
      </c>
      <c r="HA5" s="361"/>
      <c r="HC5" s="997" t="s">
        <v>145</v>
      </c>
      <c r="HD5" s="858" t="s">
        <v>146</v>
      </c>
      <c r="HE5" s="212" t="s">
        <v>382</v>
      </c>
      <c r="HF5" s="131">
        <v>45189</v>
      </c>
      <c r="HG5" s="85">
        <v>19037.62</v>
      </c>
      <c r="HH5" s="72">
        <v>21</v>
      </c>
      <c r="HI5" s="1256">
        <v>19053.599999999999</v>
      </c>
      <c r="HJ5" s="134">
        <f>HG5-HI5</f>
        <v>-15.979999999999563</v>
      </c>
      <c r="HK5" s="361"/>
      <c r="HM5" s="74" t="s">
        <v>322</v>
      </c>
      <c r="HN5" s="858" t="s">
        <v>146</v>
      </c>
      <c r="HO5" s="212" t="s">
        <v>384</v>
      </c>
      <c r="HP5" s="130">
        <v>45189</v>
      </c>
      <c r="HQ5" s="85">
        <v>18779.189999999999</v>
      </c>
      <c r="HR5" s="72">
        <v>21</v>
      </c>
      <c r="HS5" s="128">
        <v>18974.5</v>
      </c>
      <c r="HT5" s="134">
        <f>HQ5-HS5</f>
        <v>-195.31000000000131</v>
      </c>
      <c r="HU5" s="361"/>
      <c r="HW5" s="926" t="s">
        <v>145</v>
      </c>
      <c r="HX5" s="858" t="s">
        <v>146</v>
      </c>
      <c r="HY5" s="212" t="s">
        <v>422</v>
      </c>
      <c r="HZ5" s="130">
        <v>45190</v>
      </c>
      <c r="IA5" s="85">
        <v>19212.73</v>
      </c>
      <c r="IB5" s="72">
        <v>21</v>
      </c>
      <c r="IC5" s="1256">
        <v>19230.400000000001</v>
      </c>
      <c r="ID5" s="134">
        <f>IA5-IC5</f>
        <v>-17.670000000001892</v>
      </c>
      <c r="IE5" s="361"/>
      <c r="IG5" s="213" t="s">
        <v>145</v>
      </c>
      <c r="IH5" s="1152" t="s">
        <v>146</v>
      </c>
      <c r="II5" s="124" t="s">
        <v>423</v>
      </c>
      <c r="IJ5" s="130">
        <v>45191</v>
      </c>
      <c r="IK5" s="85">
        <v>19025.73</v>
      </c>
      <c r="IL5" s="72">
        <v>21</v>
      </c>
      <c r="IM5" s="1256">
        <v>19054.099999999999</v>
      </c>
      <c r="IN5" s="134">
        <f>IK5-IM5</f>
        <v>-28.369999999998981</v>
      </c>
      <c r="IO5" s="361"/>
      <c r="IQ5" s="213" t="s">
        <v>145</v>
      </c>
      <c r="IR5" s="1153" t="s">
        <v>146</v>
      </c>
      <c r="IS5" s="124" t="s">
        <v>426</v>
      </c>
      <c r="IT5" s="130">
        <v>45191</v>
      </c>
      <c r="IU5" s="85">
        <v>19037.599999999999</v>
      </c>
      <c r="IV5" s="72">
        <v>21</v>
      </c>
      <c r="IW5" s="1256">
        <v>19064.400000000001</v>
      </c>
      <c r="IX5" s="134">
        <f>IU5-IW5</f>
        <v>-26.80000000000291</v>
      </c>
      <c r="IY5" s="361"/>
      <c r="JA5" s="74" t="s">
        <v>145</v>
      </c>
      <c r="JB5" s="858" t="s">
        <v>146</v>
      </c>
      <c r="JC5" s="124" t="s">
        <v>427</v>
      </c>
      <c r="JD5" s="130">
        <v>45192</v>
      </c>
      <c r="JE5" s="85">
        <v>19216.099999999999</v>
      </c>
      <c r="JF5" s="72">
        <v>21</v>
      </c>
      <c r="JG5" s="1256">
        <v>19212.599999999999</v>
      </c>
      <c r="JH5" s="134">
        <f>JE5-JG5</f>
        <v>3.5</v>
      </c>
      <c r="JI5" s="361"/>
      <c r="JK5" s="650" t="s">
        <v>322</v>
      </c>
      <c r="JL5" s="1163" t="s">
        <v>146</v>
      </c>
      <c r="JM5" s="124" t="s">
        <v>432</v>
      </c>
      <c r="JN5" s="130">
        <v>45195</v>
      </c>
      <c r="JO5" s="85">
        <v>17233.849999999999</v>
      </c>
      <c r="JP5" s="72">
        <v>19</v>
      </c>
      <c r="JQ5" s="128">
        <v>17192</v>
      </c>
      <c r="JR5" s="134">
        <f>JO5-JQ5</f>
        <v>41.849999999998545</v>
      </c>
      <c r="JS5" s="361"/>
      <c r="JU5" s="213" t="s">
        <v>145</v>
      </c>
      <c r="JV5" s="858" t="s">
        <v>146</v>
      </c>
      <c r="JW5" s="124" t="s">
        <v>433</v>
      </c>
      <c r="JX5" s="130">
        <v>45195</v>
      </c>
      <c r="JY5" s="85">
        <v>18882.46</v>
      </c>
      <c r="JZ5" s="72">
        <v>21</v>
      </c>
      <c r="KA5" s="1256">
        <v>18903.400000000001</v>
      </c>
      <c r="KB5" s="134">
        <f>JY5-KA5</f>
        <v>-20.940000000002328</v>
      </c>
      <c r="KC5" s="361"/>
      <c r="KE5" s="213" t="s">
        <v>145</v>
      </c>
      <c r="KF5" s="1098" t="s">
        <v>146</v>
      </c>
      <c r="KG5" s="212" t="s">
        <v>435</v>
      </c>
      <c r="KH5" s="130">
        <v>45196</v>
      </c>
      <c r="KI5" s="85">
        <v>16998.18</v>
      </c>
      <c r="KJ5" s="72">
        <v>19</v>
      </c>
      <c r="KK5" s="1256">
        <v>17032.7</v>
      </c>
      <c r="KL5" s="134">
        <f>KI5-KK5</f>
        <v>-34.520000000000437</v>
      </c>
      <c r="KM5" s="361"/>
      <c r="KO5" s="213" t="s">
        <v>145</v>
      </c>
      <c r="KP5" s="858" t="s">
        <v>146</v>
      </c>
      <c r="KQ5" s="124" t="s">
        <v>437</v>
      </c>
      <c r="KR5" s="130">
        <v>45197</v>
      </c>
      <c r="KS5" s="85">
        <v>18761.900000000001</v>
      </c>
      <c r="KT5" s="72">
        <v>21</v>
      </c>
      <c r="KU5" s="1256">
        <v>18774.5</v>
      </c>
      <c r="KV5" s="134">
        <f>KS5-KU5</f>
        <v>-12.599999999998545</v>
      </c>
      <c r="KW5" s="361"/>
      <c r="KY5" s="213" t="s">
        <v>145</v>
      </c>
      <c r="KZ5" s="858" t="s">
        <v>146</v>
      </c>
      <c r="LA5" s="124" t="s">
        <v>188</v>
      </c>
      <c r="LB5" s="131">
        <v>45198</v>
      </c>
      <c r="LC5" s="85">
        <v>18756.36</v>
      </c>
      <c r="LD5" s="72">
        <v>21</v>
      </c>
      <c r="LE5" s="1256">
        <v>18777.5</v>
      </c>
      <c r="LF5" s="134">
        <f>LC5-LE5</f>
        <v>-21.139999999999418</v>
      </c>
      <c r="LG5" s="361"/>
      <c r="LH5" s="74" t="s">
        <v>41</v>
      </c>
      <c r="LI5" s="74" t="s">
        <v>145</v>
      </c>
      <c r="LJ5" s="858" t="s">
        <v>146</v>
      </c>
      <c r="LK5" s="212" t="s">
        <v>440</v>
      </c>
      <c r="LL5" s="130">
        <v>45198</v>
      </c>
      <c r="LM5" s="85">
        <v>18796.29</v>
      </c>
      <c r="LN5" s="72">
        <v>21</v>
      </c>
      <c r="LO5" s="48">
        <v>18816.400000000001</v>
      </c>
      <c r="LP5" s="134">
        <f>LM5-LO5</f>
        <v>-20.110000000000582</v>
      </c>
      <c r="LQ5" s="361"/>
      <c r="LS5" s="74" t="s">
        <v>322</v>
      </c>
      <c r="LT5" s="1057" t="s">
        <v>448</v>
      </c>
      <c r="LU5" s="124" t="s">
        <v>449</v>
      </c>
      <c r="LV5" s="130">
        <v>45199</v>
      </c>
      <c r="LW5" s="85">
        <v>18548.68</v>
      </c>
      <c r="LX5" s="72">
        <v>20</v>
      </c>
      <c r="LY5" s="1256">
        <v>18579.490000000002</v>
      </c>
      <c r="LZ5" s="134">
        <f>LW5-LY5</f>
        <v>-30.81000000000131</v>
      </c>
      <c r="MA5" s="361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659" t="s">
        <v>189</v>
      </c>
      <c r="L6" s="214"/>
      <c r="Q6" s="72"/>
      <c r="S6" s="230"/>
      <c r="U6" s="613" t="s">
        <v>193</v>
      </c>
      <c r="V6" s="214"/>
      <c r="AA6" s="72"/>
      <c r="AE6" s="929" t="s">
        <v>299</v>
      </c>
      <c r="AF6" s="214"/>
      <c r="AK6" s="72"/>
      <c r="AO6" s="979" t="s">
        <v>300</v>
      </c>
      <c r="AP6" s="555"/>
      <c r="AU6" s="72"/>
      <c r="AW6" s="74"/>
      <c r="AY6" s="1267" t="s">
        <v>321</v>
      </c>
      <c r="AZ6" s="214"/>
      <c r="BE6" s="72"/>
      <c r="BI6" s="929">
        <v>11703</v>
      </c>
      <c r="BJ6" s="214"/>
      <c r="BO6" s="72"/>
      <c r="BQ6" s="230"/>
      <c r="BS6" s="937" t="s">
        <v>326</v>
      </c>
      <c r="BT6" s="214"/>
      <c r="BY6" s="72"/>
      <c r="CA6" s="230"/>
      <c r="CB6" s="230"/>
      <c r="CC6" s="928" t="s">
        <v>328</v>
      </c>
      <c r="CD6" s="214"/>
      <c r="CI6" s="72"/>
      <c r="CK6" s="230"/>
      <c r="CL6" s="230"/>
      <c r="CM6" s="937" t="s">
        <v>348</v>
      </c>
      <c r="CN6" s="553"/>
      <c r="CS6" s="72"/>
      <c r="CU6" s="230"/>
      <c r="CW6" s="928" t="s">
        <v>357</v>
      </c>
      <c r="CX6" s="214"/>
      <c r="DC6" s="72"/>
      <c r="DE6" s="230"/>
      <c r="DG6" s="928">
        <v>11704</v>
      </c>
      <c r="DH6" s="214"/>
      <c r="DM6" s="72"/>
      <c r="DO6" s="230"/>
      <c r="DQ6" s="928" t="s">
        <v>364</v>
      </c>
      <c r="DR6" s="214"/>
      <c r="DW6" s="72"/>
      <c r="DY6" s="230"/>
      <c r="EA6" s="1300" t="s">
        <v>692</v>
      </c>
      <c r="EB6" s="214"/>
      <c r="EG6" s="72"/>
      <c r="EI6" s="230"/>
      <c r="EK6" s="936">
        <v>11755</v>
      </c>
      <c r="EL6" s="214"/>
      <c r="EQ6" s="72"/>
      <c r="ES6" s="230"/>
      <c r="EU6" s="1276" t="s">
        <v>369</v>
      </c>
      <c r="EV6" s="214"/>
      <c r="FA6" s="72"/>
      <c r="FC6" s="230"/>
      <c r="FE6" s="936" t="s">
        <v>372</v>
      </c>
      <c r="FF6" s="214"/>
      <c r="FK6" s="72"/>
      <c r="FM6" s="230"/>
      <c r="FO6" s="936" t="s">
        <v>374</v>
      </c>
      <c r="FP6" s="214"/>
      <c r="FU6" s="72"/>
      <c r="FW6" s="230"/>
      <c r="FY6" s="887">
        <v>38130</v>
      </c>
      <c r="FZ6" s="214"/>
      <c r="GE6" s="72"/>
      <c r="GG6" s="230"/>
      <c r="GI6" s="937" t="s">
        <v>379</v>
      </c>
      <c r="GJ6" s="572"/>
      <c r="GO6" s="72"/>
      <c r="GQ6" s="230"/>
      <c r="GS6" s="937" t="s">
        <v>381</v>
      </c>
      <c r="GT6" s="555"/>
      <c r="GY6" s="72"/>
      <c r="HA6" s="230"/>
      <c r="HC6" s="1298" t="s">
        <v>383</v>
      </c>
      <c r="HD6" s="214"/>
      <c r="HI6" s="72"/>
      <c r="HK6" s="230"/>
      <c r="HM6" s="1306" t="s">
        <v>723</v>
      </c>
      <c r="HN6" s="214"/>
      <c r="HS6" s="72"/>
      <c r="HU6" s="230"/>
      <c r="HW6" s="939" t="s">
        <v>424</v>
      </c>
      <c r="IC6" s="72"/>
      <c r="IE6" s="230"/>
      <c r="IG6" s="928" t="s">
        <v>425</v>
      </c>
      <c r="IH6" s="214"/>
      <c r="IM6" s="72"/>
      <c r="IO6" s="230"/>
      <c r="IQ6" s="1154" t="s">
        <v>429</v>
      </c>
      <c r="IR6" s="214"/>
      <c r="IW6" s="72"/>
      <c r="IY6" s="230"/>
      <c r="JA6" s="929" t="s">
        <v>428</v>
      </c>
      <c r="JG6" s="72"/>
      <c r="JI6" s="230"/>
      <c r="JK6" s="1311" t="s">
        <v>740</v>
      </c>
      <c r="JL6" s="214"/>
      <c r="JQ6" s="72"/>
      <c r="JS6" s="230"/>
      <c r="JU6" s="1164" t="s">
        <v>434</v>
      </c>
      <c r="JV6" s="214"/>
      <c r="KA6" s="72"/>
      <c r="KC6" s="230"/>
      <c r="KE6" s="324" t="s">
        <v>436</v>
      </c>
      <c r="KF6" s="214"/>
      <c r="KK6" s="72"/>
      <c r="KM6" s="230"/>
      <c r="KO6" s="481" t="s">
        <v>438</v>
      </c>
      <c r="KP6" s="214"/>
      <c r="KU6" s="72"/>
      <c r="KW6" s="230"/>
      <c r="KY6" s="324" t="s">
        <v>439</v>
      </c>
      <c r="KZ6" s="265"/>
      <c r="LE6" s="72"/>
      <c r="LG6" s="230"/>
      <c r="LI6" s="613" t="s">
        <v>441</v>
      </c>
      <c r="LJ6" s="214"/>
      <c r="LO6" s="72"/>
      <c r="LS6" s="260">
        <v>11712</v>
      </c>
      <c r="LT6" s="214"/>
      <c r="LY6" s="72"/>
      <c r="MA6" s="358"/>
      <c r="MB6" s="358"/>
      <c r="MC6" s="929"/>
      <c r="MD6" s="214"/>
      <c r="MI6" s="72"/>
      <c r="MM6" s="936"/>
      <c r="MN6" s="555"/>
      <c r="MS6" s="72"/>
      <c r="MW6" s="979"/>
      <c r="MX6" s="555"/>
      <c r="NC6" s="72"/>
      <c r="NH6" s="214"/>
      <c r="NM6" s="72"/>
      <c r="NR6" s="214"/>
      <c r="NW6" s="72"/>
      <c r="OB6" s="214"/>
      <c r="OG6" s="72"/>
      <c r="OK6" s="627"/>
      <c r="OL6" s="214"/>
      <c r="OQ6" s="72"/>
      <c r="OU6" s="627"/>
      <c r="OV6" s="214"/>
      <c r="PA6" s="72"/>
      <c r="PK6" s="72"/>
      <c r="PZ6" s="627"/>
      <c r="QF6" s="72"/>
      <c r="QK6" s="601"/>
      <c r="QP6" s="72"/>
      <c r="QU6" s="601"/>
      <c r="QZ6" s="72"/>
      <c r="RD6" s="60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2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2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2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2"/>
      <c r="BR7" s="358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2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2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2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2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2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2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2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2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2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2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2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2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2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2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2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2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2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2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2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2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2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2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2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2"/>
      <c r="MB7" s="362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973" t="s">
        <v>190</v>
      </c>
      <c r="M8" s="15">
        <v>1</v>
      </c>
      <c r="N8" s="91">
        <v>881.8</v>
      </c>
      <c r="O8" s="983">
        <v>45177</v>
      </c>
      <c r="P8" s="889">
        <v>881.8</v>
      </c>
      <c r="Q8" s="984" t="s">
        <v>575</v>
      </c>
      <c r="R8" s="891">
        <v>0</v>
      </c>
      <c r="S8" s="358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293</v>
      </c>
      <c r="AB8" s="70">
        <v>43</v>
      </c>
      <c r="AC8" s="358">
        <f>AB8*Z8</f>
        <v>39439.599999999999</v>
      </c>
      <c r="AE8" s="60"/>
      <c r="AF8" s="103"/>
      <c r="AG8" s="15">
        <v>1</v>
      </c>
      <c r="AH8" s="273">
        <v>880</v>
      </c>
      <c r="AI8" s="231">
        <v>45173</v>
      </c>
      <c r="AJ8" s="273">
        <v>880</v>
      </c>
      <c r="AK8" s="94" t="s">
        <v>517</v>
      </c>
      <c r="AL8" s="70">
        <v>43</v>
      </c>
      <c r="AM8" s="70">
        <f>AL8*AJ8</f>
        <v>37840</v>
      </c>
      <c r="AN8" s="74" t="s">
        <v>514</v>
      </c>
      <c r="AO8" s="60"/>
      <c r="AP8" s="103"/>
      <c r="AQ8" s="15">
        <v>1</v>
      </c>
      <c r="AR8" s="91">
        <v>925.3</v>
      </c>
      <c r="AS8" s="231">
        <v>45174</v>
      </c>
      <c r="AT8" s="91">
        <v>925.3</v>
      </c>
      <c r="AU8" s="94" t="s">
        <v>534</v>
      </c>
      <c r="AV8" s="70">
        <v>41</v>
      </c>
      <c r="AW8" s="70">
        <f>AV8*AT8</f>
        <v>37937.299999999996</v>
      </c>
      <c r="AY8" s="60"/>
      <c r="AZ8" s="973" t="s">
        <v>190</v>
      </c>
      <c r="BA8" s="15">
        <v>1</v>
      </c>
      <c r="BB8" s="91">
        <v>889.9</v>
      </c>
      <c r="BC8" s="231">
        <v>45178</v>
      </c>
      <c r="BD8" s="91">
        <v>889.9</v>
      </c>
      <c r="BE8" s="94" t="s">
        <v>586</v>
      </c>
      <c r="BF8" s="70">
        <v>0</v>
      </c>
      <c r="BG8" s="358">
        <f>BF8*BD8</f>
        <v>0</v>
      </c>
      <c r="BI8" s="60"/>
      <c r="BJ8" s="103"/>
      <c r="BK8" s="15">
        <v>1</v>
      </c>
      <c r="BL8" s="91">
        <v>930.77</v>
      </c>
      <c r="BM8" s="231">
        <v>45178</v>
      </c>
      <c r="BN8" s="91">
        <v>930.77</v>
      </c>
      <c r="BO8" s="94" t="s">
        <v>592</v>
      </c>
      <c r="BP8" s="70">
        <v>42.5</v>
      </c>
      <c r="BQ8" s="434">
        <f>BP8*BN8</f>
        <v>39557.724999999999</v>
      </c>
      <c r="BR8" s="358"/>
      <c r="BS8" s="60"/>
      <c r="BT8" s="103"/>
      <c r="BU8" s="15">
        <v>1</v>
      </c>
      <c r="BV8" s="91">
        <v>921.7</v>
      </c>
      <c r="BW8" s="275">
        <v>45175</v>
      </c>
      <c r="BX8" s="91">
        <v>921.7</v>
      </c>
      <c r="BY8" s="499" t="s">
        <v>540</v>
      </c>
      <c r="BZ8" s="276">
        <v>43</v>
      </c>
      <c r="CA8" s="230">
        <f t="shared" ref="CA8:CA28" si="5">BZ8*BX8</f>
        <v>39633.1</v>
      </c>
      <c r="CC8" s="60"/>
      <c r="CD8" s="202"/>
      <c r="CE8" s="15">
        <v>1</v>
      </c>
      <c r="CF8" s="91">
        <v>940.7</v>
      </c>
      <c r="CG8" s="275">
        <v>45175</v>
      </c>
      <c r="CH8" s="91">
        <v>940.7</v>
      </c>
      <c r="CI8" s="277" t="s">
        <v>544</v>
      </c>
      <c r="CJ8" s="276">
        <v>43</v>
      </c>
      <c r="CK8" s="358">
        <f>CJ8*CH8</f>
        <v>40450.1</v>
      </c>
      <c r="CM8" s="60"/>
      <c r="CN8" s="998"/>
      <c r="CO8" s="15">
        <v>1</v>
      </c>
      <c r="CP8" s="91">
        <v>881.8</v>
      </c>
      <c r="CQ8" s="275">
        <v>45178</v>
      </c>
      <c r="CR8" s="91">
        <v>881.8</v>
      </c>
      <c r="CS8" s="277" t="s">
        <v>597</v>
      </c>
      <c r="CT8" s="276">
        <v>45</v>
      </c>
      <c r="CU8" s="363">
        <f>CT8*CR8</f>
        <v>39681</v>
      </c>
      <c r="CW8" s="60"/>
      <c r="CX8" s="174"/>
      <c r="CY8" s="15">
        <v>1</v>
      </c>
      <c r="CZ8" s="91">
        <v>952</v>
      </c>
      <c r="DA8" s="231">
        <v>45177</v>
      </c>
      <c r="DB8" s="91">
        <v>952</v>
      </c>
      <c r="DC8" s="94" t="s">
        <v>580</v>
      </c>
      <c r="DD8" s="70">
        <v>45</v>
      </c>
      <c r="DE8" s="358">
        <f>DD8*DB8</f>
        <v>42840</v>
      </c>
      <c r="DG8" s="60"/>
      <c r="DH8" s="174"/>
      <c r="DI8" s="15">
        <v>1</v>
      </c>
      <c r="DJ8" s="91">
        <v>948</v>
      </c>
      <c r="DK8" s="231">
        <v>45181</v>
      </c>
      <c r="DL8" s="91">
        <v>948</v>
      </c>
      <c r="DM8" s="94" t="s">
        <v>614</v>
      </c>
      <c r="DN8" s="70">
        <v>46</v>
      </c>
      <c r="DO8" s="358">
        <f>DN8*DL8</f>
        <v>43608</v>
      </c>
      <c r="DQ8" s="60"/>
      <c r="DR8" s="103"/>
      <c r="DS8" s="15">
        <v>1</v>
      </c>
      <c r="DT8" s="91">
        <v>894.9</v>
      </c>
      <c r="DU8" s="275">
        <v>45180</v>
      </c>
      <c r="DV8" s="91">
        <v>894.9</v>
      </c>
      <c r="DW8" s="277" t="s">
        <v>607</v>
      </c>
      <c r="DX8" s="276">
        <v>46</v>
      </c>
      <c r="DY8" s="358">
        <f>DX8*DV8</f>
        <v>41165.4</v>
      </c>
      <c r="EA8" s="60"/>
      <c r="EB8" s="103"/>
      <c r="EC8" s="15">
        <v>1</v>
      </c>
      <c r="ED8" s="91">
        <v>932.6</v>
      </c>
      <c r="EE8" s="238"/>
      <c r="EF8" s="91"/>
      <c r="EG8" s="1341"/>
      <c r="EH8" s="70"/>
      <c r="EI8" s="358">
        <f>EH8*EF8</f>
        <v>0</v>
      </c>
      <c r="EK8" s="60"/>
      <c r="EL8" s="103"/>
      <c r="EM8" s="15">
        <v>1</v>
      </c>
      <c r="EN8" s="91">
        <v>837</v>
      </c>
      <c r="EO8" s="238" t="s">
        <v>643</v>
      </c>
      <c r="EP8" s="91">
        <v>837</v>
      </c>
      <c r="EQ8" s="69" t="s">
        <v>642</v>
      </c>
      <c r="ER8" s="70">
        <v>46</v>
      </c>
      <c r="ES8" s="358">
        <f>ER8*EP8</f>
        <v>38502</v>
      </c>
      <c r="EU8" s="60"/>
      <c r="EV8" s="93" t="s">
        <v>190</v>
      </c>
      <c r="EW8" s="15">
        <v>1</v>
      </c>
      <c r="EX8" s="91">
        <v>934.4</v>
      </c>
      <c r="EY8" s="231">
        <v>45188</v>
      </c>
      <c r="EZ8" s="91">
        <v>934.4</v>
      </c>
      <c r="FA8" s="69" t="s">
        <v>672</v>
      </c>
      <c r="FB8" s="70">
        <v>0</v>
      </c>
      <c r="FC8" s="358">
        <f>FB8*EZ8</f>
        <v>0</v>
      </c>
      <c r="FE8" s="60"/>
      <c r="FF8" s="93"/>
      <c r="FG8" s="15">
        <v>1</v>
      </c>
      <c r="FH8" s="91">
        <v>920.8</v>
      </c>
      <c r="FI8" s="231">
        <v>45185</v>
      </c>
      <c r="FJ8" s="91">
        <v>920.8</v>
      </c>
      <c r="FK8" s="69" t="s">
        <v>663</v>
      </c>
      <c r="FL8" s="70">
        <v>45</v>
      </c>
      <c r="FM8" s="230">
        <f>FL8*FJ8</f>
        <v>41436</v>
      </c>
      <c r="FO8" s="60"/>
      <c r="FP8" s="316"/>
      <c r="FQ8" s="15">
        <v>1</v>
      </c>
      <c r="FR8" s="91">
        <v>920.3</v>
      </c>
      <c r="FS8" s="231">
        <v>45189</v>
      </c>
      <c r="FT8" s="91">
        <v>920.3</v>
      </c>
      <c r="FU8" s="69" t="s">
        <v>691</v>
      </c>
      <c r="FV8" s="70">
        <v>43</v>
      </c>
      <c r="FW8" s="230">
        <f>FV8*FT8</f>
        <v>39572.9</v>
      </c>
      <c r="FY8" s="60"/>
      <c r="FZ8" s="103"/>
      <c r="GA8" s="15">
        <v>1</v>
      </c>
      <c r="GB8" s="91">
        <v>945.28</v>
      </c>
      <c r="GC8" s="231">
        <v>45184</v>
      </c>
      <c r="GD8" s="91">
        <v>945.28</v>
      </c>
      <c r="GE8" s="69" t="s">
        <v>651</v>
      </c>
      <c r="GF8" s="70">
        <v>47</v>
      </c>
      <c r="GG8" s="358">
        <f>GF8*GD8</f>
        <v>44428.159999999996</v>
      </c>
      <c r="GI8" s="60"/>
      <c r="GJ8" s="103"/>
      <c r="GK8" s="15">
        <v>1</v>
      </c>
      <c r="GL8" s="330">
        <v>933.5</v>
      </c>
      <c r="GM8" s="231">
        <v>45190</v>
      </c>
      <c r="GN8" s="330">
        <v>933.5</v>
      </c>
      <c r="GO8" s="94" t="s">
        <v>694</v>
      </c>
      <c r="GP8" s="70">
        <v>43</v>
      </c>
      <c r="GQ8" s="358">
        <f>GP8*GN8</f>
        <v>40140.5</v>
      </c>
      <c r="GS8" s="60"/>
      <c r="GT8" s="103"/>
      <c r="GU8" s="15">
        <v>1</v>
      </c>
      <c r="GV8" s="974">
        <v>910.4</v>
      </c>
      <c r="GW8" s="231">
        <v>45192</v>
      </c>
      <c r="GX8" s="974">
        <v>910.4</v>
      </c>
      <c r="GY8" s="94" t="s">
        <v>715</v>
      </c>
      <c r="GZ8" s="70">
        <v>43</v>
      </c>
      <c r="HA8" s="358">
        <f>GZ8*GX8</f>
        <v>39147.199999999997</v>
      </c>
      <c r="HC8" s="60"/>
      <c r="HD8" s="998" t="s">
        <v>190</v>
      </c>
      <c r="HE8" s="15">
        <v>1</v>
      </c>
      <c r="HF8" s="91">
        <v>890.9</v>
      </c>
      <c r="HG8" s="231">
        <v>45195</v>
      </c>
      <c r="HH8" s="91">
        <v>890.9</v>
      </c>
      <c r="HI8" s="94" t="s">
        <v>725</v>
      </c>
      <c r="HJ8" s="70">
        <v>0</v>
      </c>
      <c r="HK8" s="358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8">
        <f>HT8*HR8</f>
        <v>0</v>
      </c>
      <c r="HW8" s="60"/>
      <c r="HX8" s="103"/>
      <c r="HY8" s="15">
        <v>1</v>
      </c>
      <c r="HZ8" s="91">
        <v>918.1</v>
      </c>
      <c r="IA8" s="238">
        <v>45194</v>
      </c>
      <c r="IB8" s="91">
        <v>918.1</v>
      </c>
      <c r="IC8" s="69" t="s">
        <v>719</v>
      </c>
      <c r="ID8" s="70">
        <v>43</v>
      </c>
      <c r="IE8" s="358">
        <f t="shared" ref="IE8:IE28" si="6">ID8*IB8</f>
        <v>39478.300000000003</v>
      </c>
      <c r="IG8" s="60"/>
      <c r="IH8" s="103"/>
      <c r="II8" s="15">
        <v>1</v>
      </c>
      <c r="IJ8" s="91">
        <v>923.1</v>
      </c>
      <c r="IK8" s="238">
        <v>45191</v>
      </c>
      <c r="IL8" s="91">
        <v>923.1</v>
      </c>
      <c r="IM8" s="69" t="s">
        <v>704</v>
      </c>
      <c r="IN8" s="70">
        <v>43</v>
      </c>
      <c r="IO8" s="230">
        <f>IN8*IL8</f>
        <v>39693.300000000003</v>
      </c>
      <c r="IQ8" s="60"/>
      <c r="IR8" s="93"/>
      <c r="IS8" s="15">
        <v>1</v>
      </c>
      <c r="IT8" s="91">
        <v>934.4</v>
      </c>
      <c r="IU8" s="238">
        <v>45191</v>
      </c>
      <c r="IV8" s="91">
        <v>934.4</v>
      </c>
      <c r="IW8" s="69" t="s">
        <v>701</v>
      </c>
      <c r="IX8" s="70">
        <v>43</v>
      </c>
      <c r="IY8" s="230">
        <f>IX8*IV8</f>
        <v>40179.199999999997</v>
      </c>
      <c r="IZ8" s="91"/>
      <c r="JA8" s="60"/>
      <c r="JB8" s="103"/>
      <c r="JC8" s="15">
        <v>1</v>
      </c>
      <c r="JD8" s="91">
        <v>917.2</v>
      </c>
      <c r="JE8" s="238">
        <v>45197</v>
      </c>
      <c r="JF8" s="91">
        <v>917.2</v>
      </c>
      <c r="JG8" s="69" t="s">
        <v>745</v>
      </c>
      <c r="JH8" s="70">
        <v>41</v>
      </c>
      <c r="JI8" s="358">
        <f>JH8*JF8</f>
        <v>37605.200000000004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58">
        <f>JR8*JP8</f>
        <v>0</v>
      </c>
      <c r="JU8" s="60"/>
      <c r="JV8" s="1317" t="s">
        <v>190</v>
      </c>
      <c r="JW8" s="15">
        <v>1</v>
      </c>
      <c r="JX8" s="91">
        <v>867.7</v>
      </c>
      <c r="JY8" s="238">
        <v>45197</v>
      </c>
      <c r="JZ8" s="91">
        <v>867.7</v>
      </c>
      <c r="KA8" s="69" t="s">
        <v>757</v>
      </c>
      <c r="KB8" s="70">
        <v>0</v>
      </c>
      <c r="KC8" s="358">
        <f>KB8*JZ8</f>
        <v>0</v>
      </c>
      <c r="KE8" s="60"/>
      <c r="KF8" s="103"/>
      <c r="KG8" s="15">
        <v>1</v>
      </c>
      <c r="KH8" s="91">
        <v>939.4</v>
      </c>
      <c r="KI8" s="238">
        <v>45196</v>
      </c>
      <c r="KJ8" s="91">
        <v>939.4</v>
      </c>
      <c r="KK8" s="69" t="s">
        <v>742</v>
      </c>
      <c r="KL8" s="70">
        <v>41</v>
      </c>
      <c r="KM8" s="358">
        <f>KL8*KJ8</f>
        <v>38515.4</v>
      </c>
      <c r="KO8" s="60"/>
      <c r="KP8" s="103"/>
      <c r="KQ8" s="15">
        <v>1</v>
      </c>
      <c r="KR8" s="91">
        <v>866.4</v>
      </c>
      <c r="KS8" s="238">
        <v>45197</v>
      </c>
      <c r="KT8" s="91">
        <v>866.4</v>
      </c>
      <c r="KU8" s="69" t="s">
        <v>752</v>
      </c>
      <c r="KV8" s="70">
        <v>41</v>
      </c>
      <c r="KW8" s="358">
        <f>KV8*KT8</f>
        <v>35522.400000000001</v>
      </c>
      <c r="KY8" s="60"/>
      <c r="KZ8" s="103"/>
      <c r="LA8" s="15">
        <v>1</v>
      </c>
      <c r="LB8" s="91">
        <v>888.6</v>
      </c>
      <c r="LC8" s="231">
        <v>45198</v>
      </c>
      <c r="LD8" s="91">
        <v>888.6</v>
      </c>
      <c r="LE8" s="94" t="s">
        <v>765</v>
      </c>
      <c r="LF8" s="70">
        <v>41</v>
      </c>
      <c r="LG8" s="358">
        <f>LF8*LD8</f>
        <v>36432.6</v>
      </c>
      <c r="LI8" s="60"/>
      <c r="LJ8" s="103"/>
      <c r="LK8" s="15">
        <v>1</v>
      </c>
      <c r="LL8" s="91">
        <v>895.8</v>
      </c>
      <c r="LM8" s="231"/>
      <c r="LN8" s="91"/>
      <c r="LO8" s="94"/>
      <c r="LP8" s="70"/>
      <c r="LQ8" s="358">
        <f>LP8*LN8</f>
        <v>0</v>
      </c>
      <c r="LS8" s="60"/>
      <c r="LT8" s="103"/>
      <c r="LU8" s="15">
        <v>1</v>
      </c>
      <c r="LV8" s="91">
        <v>948.91</v>
      </c>
      <c r="LW8" s="231">
        <v>45199</v>
      </c>
      <c r="LX8" s="91">
        <v>948.91</v>
      </c>
      <c r="LY8" s="94" t="s">
        <v>774</v>
      </c>
      <c r="LZ8" s="70">
        <v>41</v>
      </c>
      <c r="MA8" s="358">
        <f>LZ8*LX8</f>
        <v>38905.31</v>
      </c>
      <c r="MB8" s="358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973" t="s">
        <v>190</v>
      </c>
      <c r="M9" s="15">
        <v>2</v>
      </c>
      <c r="N9" s="68">
        <v>894.5</v>
      </c>
      <c r="O9" s="983">
        <v>45176</v>
      </c>
      <c r="P9" s="985">
        <v>894.5</v>
      </c>
      <c r="Q9" s="984" t="s">
        <v>557</v>
      </c>
      <c r="R9" s="891">
        <v>0</v>
      </c>
      <c r="S9" s="358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293</v>
      </c>
      <c r="AB9" s="70">
        <v>43</v>
      </c>
      <c r="AC9" s="358">
        <f t="shared" ref="AC9:AC29" si="9">AB9*Z9</f>
        <v>38424.800000000003</v>
      </c>
      <c r="AF9" s="93"/>
      <c r="AG9" s="15">
        <v>2</v>
      </c>
      <c r="AH9" s="282">
        <v>938.9</v>
      </c>
      <c r="AI9" s="231">
        <v>45173</v>
      </c>
      <c r="AJ9" s="282">
        <v>938.9</v>
      </c>
      <c r="AK9" s="94" t="s">
        <v>517</v>
      </c>
      <c r="AL9" s="70">
        <v>43</v>
      </c>
      <c r="AM9" s="70">
        <f t="shared" ref="AM9:AM28" si="10">AL9*AJ9</f>
        <v>40372.699999999997</v>
      </c>
      <c r="AN9" s="74" t="s">
        <v>514</v>
      </c>
      <c r="AP9" s="93"/>
      <c r="AQ9" s="15">
        <v>2</v>
      </c>
      <c r="AR9" s="91">
        <v>898.1</v>
      </c>
      <c r="AS9" s="231">
        <v>45175</v>
      </c>
      <c r="AT9" s="91">
        <v>898.1</v>
      </c>
      <c r="AU9" s="94" t="s">
        <v>537</v>
      </c>
      <c r="AV9" s="70">
        <v>41</v>
      </c>
      <c r="AW9" s="70">
        <f t="shared" ref="AW9:AW28" si="11">AV9*AT9</f>
        <v>36822.1</v>
      </c>
      <c r="AX9" s="74" t="s">
        <v>514</v>
      </c>
      <c r="AZ9" s="973" t="s">
        <v>190</v>
      </c>
      <c r="BA9" s="15">
        <v>2</v>
      </c>
      <c r="BB9" s="91">
        <v>898.1</v>
      </c>
      <c r="BC9" s="231">
        <v>45178</v>
      </c>
      <c r="BD9" s="91">
        <v>898.1</v>
      </c>
      <c r="BE9" s="94" t="s">
        <v>585</v>
      </c>
      <c r="BF9" s="70">
        <v>0</v>
      </c>
      <c r="BG9" s="358">
        <f t="shared" ref="BG9:BG29" si="12">BF9*BD9</f>
        <v>0</v>
      </c>
      <c r="BJ9" s="93"/>
      <c r="BK9" s="15">
        <v>2</v>
      </c>
      <c r="BL9" s="91">
        <v>923.51</v>
      </c>
      <c r="BM9" s="231">
        <v>45178</v>
      </c>
      <c r="BN9" s="91">
        <v>923.51</v>
      </c>
      <c r="BO9" s="94" t="s">
        <v>590</v>
      </c>
      <c r="BP9" s="70">
        <v>45</v>
      </c>
      <c r="BQ9" s="434">
        <f t="shared" ref="BQ9:BQ29" si="13">BP9*BN9</f>
        <v>41557.949999999997</v>
      </c>
      <c r="BR9" s="358"/>
      <c r="BT9" s="103"/>
      <c r="BU9" s="15">
        <v>2</v>
      </c>
      <c r="BV9" s="91">
        <v>911.7</v>
      </c>
      <c r="BW9" s="275">
        <v>45175</v>
      </c>
      <c r="BX9" s="91">
        <v>911.7</v>
      </c>
      <c r="BY9" s="499" t="s">
        <v>540</v>
      </c>
      <c r="BZ9" s="276">
        <v>43</v>
      </c>
      <c r="CA9" s="230">
        <f t="shared" si="5"/>
        <v>39203.1</v>
      </c>
      <c r="CD9" s="202"/>
      <c r="CE9" s="15">
        <v>2</v>
      </c>
      <c r="CF9" s="91">
        <v>938.9</v>
      </c>
      <c r="CG9" s="275">
        <v>45175</v>
      </c>
      <c r="CH9" s="91">
        <v>938.9</v>
      </c>
      <c r="CI9" s="277" t="s">
        <v>544</v>
      </c>
      <c r="CJ9" s="276">
        <v>43</v>
      </c>
      <c r="CK9" s="358">
        <f t="shared" ref="CK9:CK29" si="14">CJ9*CH9</f>
        <v>40372.699999999997</v>
      </c>
      <c r="CN9" s="998"/>
      <c r="CO9" s="15">
        <v>2</v>
      </c>
      <c r="CP9" s="91">
        <v>902.6</v>
      </c>
      <c r="CQ9" s="275">
        <v>45178</v>
      </c>
      <c r="CR9" s="91">
        <v>902.6</v>
      </c>
      <c r="CS9" s="277" t="s">
        <v>597</v>
      </c>
      <c r="CT9" s="276">
        <v>45</v>
      </c>
      <c r="CU9" s="363">
        <f>CT9*CR9</f>
        <v>40617</v>
      </c>
      <c r="CX9" s="174"/>
      <c r="CY9" s="15">
        <v>2</v>
      </c>
      <c r="CZ9" s="91">
        <v>892</v>
      </c>
      <c r="DA9" s="231">
        <v>45177</v>
      </c>
      <c r="DB9" s="91">
        <v>892</v>
      </c>
      <c r="DC9" s="94" t="s">
        <v>580</v>
      </c>
      <c r="DD9" s="70">
        <v>45</v>
      </c>
      <c r="DE9" s="358">
        <f t="shared" ref="DE9:DE31" si="15">DD9*DB9</f>
        <v>40140</v>
      </c>
      <c r="DH9" s="174"/>
      <c r="DI9" s="15">
        <v>2</v>
      </c>
      <c r="DJ9" s="91">
        <v>957.07</v>
      </c>
      <c r="DK9" s="231">
        <v>45181</v>
      </c>
      <c r="DL9" s="91">
        <v>957.07</v>
      </c>
      <c r="DM9" s="94" t="s">
        <v>614</v>
      </c>
      <c r="DN9" s="70">
        <v>46</v>
      </c>
      <c r="DO9" s="358">
        <f t="shared" ref="DO9:DO31" si="16">DN9*DL9</f>
        <v>44025.22</v>
      </c>
      <c r="DR9" s="93"/>
      <c r="DS9" s="15">
        <v>2</v>
      </c>
      <c r="DT9" s="91">
        <v>896.7</v>
      </c>
      <c r="DU9" s="275">
        <v>45180</v>
      </c>
      <c r="DV9" s="91">
        <v>896.7</v>
      </c>
      <c r="DW9" s="277" t="s">
        <v>607</v>
      </c>
      <c r="DX9" s="276">
        <v>46</v>
      </c>
      <c r="DY9" s="358">
        <f t="shared" ref="DY9:DY29" si="17">DX9*DV9</f>
        <v>41248.200000000004</v>
      </c>
      <c r="EB9" s="93"/>
      <c r="EC9" s="15">
        <v>2</v>
      </c>
      <c r="ED9" s="91">
        <v>885.4</v>
      </c>
      <c r="EE9" s="238"/>
      <c r="EF9" s="91"/>
      <c r="EG9" s="1341"/>
      <c r="EH9" s="70"/>
      <c r="EI9" s="358">
        <f t="shared" ref="EI9:EI28" si="18">EH9*EF9</f>
        <v>0</v>
      </c>
      <c r="EL9" s="93"/>
      <c r="EM9" s="15">
        <v>2</v>
      </c>
      <c r="EN9" s="68">
        <v>841</v>
      </c>
      <c r="EO9" s="238">
        <v>45183</v>
      </c>
      <c r="EP9" s="68">
        <v>841</v>
      </c>
      <c r="EQ9" s="69" t="s">
        <v>642</v>
      </c>
      <c r="ER9" s="70">
        <v>46</v>
      </c>
      <c r="ES9" s="358">
        <f t="shared" ref="ES9:ES28" si="19">ER9*EP9</f>
        <v>38686</v>
      </c>
      <c r="EV9" s="93" t="s">
        <v>190</v>
      </c>
      <c r="EW9" s="15">
        <v>2</v>
      </c>
      <c r="EX9" s="91">
        <v>918.1</v>
      </c>
      <c r="EY9" s="231">
        <v>45188</v>
      </c>
      <c r="EZ9" s="91">
        <v>918.1</v>
      </c>
      <c r="FA9" s="69" t="s">
        <v>672</v>
      </c>
      <c r="FB9" s="70">
        <v>0</v>
      </c>
      <c r="FC9" s="358">
        <f t="shared" ref="FC9:FC29" si="20">FB9*EZ9</f>
        <v>0</v>
      </c>
      <c r="FF9" s="93"/>
      <c r="FG9" s="15">
        <v>2</v>
      </c>
      <c r="FH9" s="91">
        <v>902.2</v>
      </c>
      <c r="FI9" s="231">
        <v>45185</v>
      </c>
      <c r="FJ9" s="91">
        <v>902.2</v>
      </c>
      <c r="FK9" s="69" t="s">
        <v>663</v>
      </c>
      <c r="FL9" s="70">
        <v>45</v>
      </c>
      <c r="FM9" s="230">
        <f t="shared" ref="FM9:FM29" si="21">FL9*FJ9</f>
        <v>40599</v>
      </c>
      <c r="FP9" s="316"/>
      <c r="FQ9" s="15">
        <v>2</v>
      </c>
      <c r="FR9" s="91">
        <v>916.7</v>
      </c>
      <c r="FS9" s="231">
        <v>45189</v>
      </c>
      <c r="FT9" s="91">
        <v>916.7</v>
      </c>
      <c r="FU9" s="69" t="s">
        <v>691</v>
      </c>
      <c r="FV9" s="70">
        <v>43</v>
      </c>
      <c r="FW9" s="230">
        <f t="shared" ref="FW9:FW29" si="22">FV9*FT9</f>
        <v>39418.1</v>
      </c>
      <c r="FZ9" s="93" t="s">
        <v>41</v>
      </c>
      <c r="GA9" s="15">
        <v>2</v>
      </c>
      <c r="GB9" s="91">
        <v>946.64</v>
      </c>
      <c r="GC9" s="231">
        <v>45184</v>
      </c>
      <c r="GD9" s="91">
        <v>946.64</v>
      </c>
      <c r="GE9" s="69" t="s">
        <v>651</v>
      </c>
      <c r="GF9" s="70">
        <v>47</v>
      </c>
      <c r="GG9" s="358">
        <f t="shared" ref="GG9:GG29" si="23">GF9*GD9</f>
        <v>44492.08</v>
      </c>
      <c r="GJ9" s="93"/>
      <c r="GK9" s="15">
        <v>2</v>
      </c>
      <c r="GL9" s="331">
        <v>899.9</v>
      </c>
      <c r="GM9" s="231">
        <v>45190</v>
      </c>
      <c r="GN9" s="331">
        <v>899.9</v>
      </c>
      <c r="GO9" s="94" t="s">
        <v>694</v>
      </c>
      <c r="GP9" s="70">
        <v>43</v>
      </c>
      <c r="GQ9" s="358">
        <f t="shared" ref="GQ9:GQ29" si="24">GP9*GN9</f>
        <v>38695.699999999997</v>
      </c>
      <c r="GT9" s="93"/>
      <c r="GU9" s="15">
        <v>2</v>
      </c>
      <c r="GV9" s="283">
        <v>907.6</v>
      </c>
      <c r="GW9" s="231">
        <v>45192</v>
      </c>
      <c r="GX9" s="283">
        <v>907.6</v>
      </c>
      <c r="GY9" s="94" t="s">
        <v>715</v>
      </c>
      <c r="GZ9" s="70">
        <v>43</v>
      </c>
      <c r="HA9" s="358">
        <f t="shared" ref="HA9:HA28" si="25">GZ9*GX9</f>
        <v>39026.800000000003</v>
      </c>
      <c r="HD9" s="998" t="s">
        <v>190</v>
      </c>
      <c r="HE9" s="15">
        <v>2</v>
      </c>
      <c r="HF9" s="91">
        <v>891.3</v>
      </c>
      <c r="HG9" s="231">
        <v>45192</v>
      </c>
      <c r="HH9" s="91">
        <v>891.3</v>
      </c>
      <c r="HI9" s="94" t="s">
        <v>785</v>
      </c>
      <c r="HJ9" s="70">
        <v>0</v>
      </c>
      <c r="HK9" s="358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1342"/>
      <c r="HT9" s="70"/>
      <c r="HU9" s="358">
        <f t="shared" ref="HU9:HU29" si="27">HT9*HR9</f>
        <v>0</v>
      </c>
      <c r="HX9" s="103"/>
      <c r="HY9" s="15">
        <v>2</v>
      </c>
      <c r="HZ9" s="68">
        <v>938.9</v>
      </c>
      <c r="IA9" s="238">
        <v>45194</v>
      </c>
      <c r="IB9" s="68">
        <v>938.9</v>
      </c>
      <c r="IC9" s="69" t="s">
        <v>685</v>
      </c>
      <c r="ID9" s="70">
        <v>43</v>
      </c>
      <c r="IE9" s="358">
        <f t="shared" si="6"/>
        <v>40372.699999999997</v>
      </c>
      <c r="IH9" s="93"/>
      <c r="II9" s="15">
        <v>2</v>
      </c>
      <c r="IJ9" s="68">
        <v>870</v>
      </c>
      <c r="IK9" s="238">
        <v>45191</v>
      </c>
      <c r="IL9" s="68">
        <v>870</v>
      </c>
      <c r="IM9" s="69" t="s">
        <v>704</v>
      </c>
      <c r="IN9" s="70">
        <v>43</v>
      </c>
      <c r="IO9" s="230">
        <f t="shared" ref="IO9:IO29" si="28">IN9*IL9</f>
        <v>37410</v>
      </c>
      <c r="IR9" s="93"/>
      <c r="IS9" s="15">
        <v>2</v>
      </c>
      <c r="IT9" s="68">
        <v>930.3</v>
      </c>
      <c r="IU9" s="238">
        <v>45191</v>
      </c>
      <c r="IV9" s="68">
        <v>930.3</v>
      </c>
      <c r="IW9" s="69" t="s">
        <v>701</v>
      </c>
      <c r="IX9" s="70">
        <v>43</v>
      </c>
      <c r="IY9" s="230">
        <f t="shared" ref="IY9:IY29" si="29">IX9*IV9</f>
        <v>40002.9</v>
      </c>
      <c r="IZ9" s="91"/>
      <c r="JA9" s="91"/>
      <c r="JB9" s="93"/>
      <c r="JC9" s="15">
        <v>2</v>
      </c>
      <c r="JD9" s="91">
        <v>903.6</v>
      </c>
      <c r="JE9" s="238">
        <v>45197</v>
      </c>
      <c r="JF9" s="91">
        <v>903.6</v>
      </c>
      <c r="JG9" s="69" t="s">
        <v>745</v>
      </c>
      <c r="JH9" s="70">
        <v>41</v>
      </c>
      <c r="JI9" s="358">
        <f t="shared" ref="JI9:JI29" si="30">JH9*JF9</f>
        <v>37047.599999999999</v>
      </c>
      <c r="JJ9" s="68"/>
      <c r="JL9" s="93"/>
      <c r="JM9" s="15">
        <v>2</v>
      </c>
      <c r="JN9" s="91">
        <v>876.3</v>
      </c>
      <c r="JO9" s="231"/>
      <c r="JP9" s="91"/>
      <c r="JQ9" s="1591" t="s">
        <v>741</v>
      </c>
      <c r="JR9" s="70"/>
      <c r="JS9" s="358">
        <f t="shared" ref="JS9:JS27" si="31">JR9*JP9</f>
        <v>0</v>
      </c>
      <c r="JV9" s="93" t="s">
        <v>190</v>
      </c>
      <c r="JW9" s="15">
        <v>2</v>
      </c>
      <c r="JX9" s="68">
        <v>900.8</v>
      </c>
      <c r="JY9" s="238">
        <v>45201</v>
      </c>
      <c r="JZ9" s="68">
        <v>900.8</v>
      </c>
      <c r="KA9" s="69" t="s">
        <v>779</v>
      </c>
      <c r="KB9" s="70">
        <v>0</v>
      </c>
      <c r="KC9" s="358">
        <f t="shared" ref="KC9:KC28" si="32">KB9*JZ9</f>
        <v>0</v>
      </c>
      <c r="KF9" s="103"/>
      <c r="KG9" s="15">
        <v>2</v>
      </c>
      <c r="KH9" s="68">
        <v>880</v>
      </c>
      <c r="KI9" s="238">
        <v>45196</v>
      </c>
      <c r="KJ9" s="68">
        <v>880</v>
      </c>
      <c r="KK9" s="69" t="s">
        <v>742</v>
      </c>
      <c r="KL9" s="70">
        <v>41</v>
      </c>
      <c r="KM9" s="358">
        <f t="shared" ref="KM9:KM28" si="33">KL9*KJ9</f>
        <v>36080</v>
      </c>
      <c r="KP9" s="103"/>
      <c r="KQ9" s="15">
        <v>2</v>
      </c>
      <c r="KR9" s="68">
        <v>872.7</v>
      </c>
      <c r="KS9" s="238">
        <v>45197</v>
      </c>
      <c r="KT9" s="68">
        <v>872.7</v>
      </c>
      <c r="KU9" s="69" t="s">
        <v>752</v>
      </c>
      <c r="KV9" s="70">
        <v>41</v>
      </c>
      <c r="KW9" s="358">
        <f t="shared" ref="KW9:KW28" si="34">KV9*KT9</f>
        <v>35780.700000000004</v>
      </c>
      <c r="KZ9" s="93"/>
      <c r="LA9" s="15">
        <v>2</v>
      </c>
      <c r="LB9" s="91">
        <v>899</v>
      </c>
      <c r="LC9" s="231">
        <v>45198</v>
      </c>
      <c r="LD9" s="91">
        <v>899</v>
      </c>
      <c r="LE9" s="94" t="s">
        <v>765</v>
      </c>
      <c r="LF9" s="70">
        <v>41</v>
      </c>
      <c r="LG9" s="358">
        <f t="shared" ref="LG9:LG28" si="35">LF9*LD9</f>
        <v>36859</v>
      </c>
      <c r="LJ9" s="93"/>
      <c r="LK9" s="15">
        <v>2</v>
      </c>
      <c r="LL9" s="91">
        <v>866.8</v>
      </c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>
        <v>901.74</v>
      </c>
      <c r="LW9" s="231">
        <v>45199</v>
      </c>
      <c r="LX9" s="91">
        <v>901.74</v>
      </c>
      <c r="LY9" s="94" t="s">
        <v>774</v>
      </c>
      <c r="LZ9" s="70">
        <v>41</v>
      </c>
      <c r="MA9" s="358">
        <f t="shared" ref="MA9:MA29" si="37">LZ9*LX9</f>
        <v>36971.340000000004</v>
      </c>
      <c r="MB9" s="358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972" t="s">
        <v>262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283</v>
      </c>
      <c r="R10" s="70">
        <v>0</v>
      </c>
      <c r="S10" s="358">
        <f t="shared" si="8"/>
        <v>0</v>
      </c>
      <c r="V10" s="93"/>
      <c r="W10" s="15">
        <v>3</v>
      </c>
      <c r="X10" s="91">
        <v>868.2</v>
      </c>
      <c r="Y10" s="888">
        <v>45173</v>
      </c>
      <c r="Z10" s="889">
        <v>868.2</v>
      </c>
      <c r="AA10" s="890" t="s">
        <v>513</v>
      </c>
      <c r="AB10" s="891">
        <v>43</v>
      </c>
      <c r="AC10" s="892">
        <f t="shared" si="9"/>
        <v>37332.6</v>
      </c>
      <c r="AD10" s="74" t="s">
        <v>514</v>
      </c>
      <c r="AF10" s="93"/>
      <c r="AG10" s="15">
        <v>3</v>
      </c>
      <c r="AH10" s="282">
        <v>881.8</v>
      </c>
      <c r="AI10" s="231">
        <v>45173</v>
      </c>
      <c r="AJ10" s="282">
        <v>881.8</v>
      </c>
      <c r="AK10" s="94" t="s">
        <v>517</v>
      </c>
      <c r="AL10" s="70">
        <v>43</v>
      </c>
      <c r="AM10" s="70">
        <f t="shared" si="10"/>
        <v>37917.4</v>
      </c>
      <c r="AN10" s="74" t="s">
        <v>514</v>
      </c>
      <c r="AP10" s="93"/>
      <c r="AQ10" s="15">
        <v>3</v>
      </c>
      <c r="AR10" s="91">
        <v>920.8</v>
      </c>
      <c r="AS10" s="231">
        <v>45175</v>
      </c>
      <c r="AT10" s="91">
        <v>920.8</v>
      </c>
      <c r="AU10" s="94" t="s">
        <v>537</v>
      </c>
      <c r="AV10" s="70">
        <v>41</v>
      </c>
      <c r="AW10" s="70">
        <f t="shared" si="11"/>
        <v>37752.799999999996</v>
      </c>
      <c r="AX10" s="74" t="s">
        <v>514</v>
      </c>
      <c r="AZ10" s="973" t="s">
        <v>190</v>
      </c>
      <c r="BA10" s="15">
        <v>3</v>
      </c>
      <c r="BB10" s="91">
        <v>913.5</v>
      </c>
      <c r="BC10" s="231">
        <v>45178</v>
      </c>
      <c r="BD10" s="91">
        <v>913.5</v>
      </c>
      <c r="BE10" s="94" t="s">
        <v>591</v>
      </c>
      <c r="BF10" s="70">
        <v>0</v>
      </c>
      <c r="BG10" s="358">
        <f t="shared" si="12"/>
        <v>0</v>
      </c>
      <c r="BJ10" s="93"/>
      <c r="BK10" s="15">
        <v>3</v>
      </c>
      <c r="BL10" s="91">
        <v>965.24</v>
      </c>
      <c r="BM10" s="231">
        <v>45178</v>
      </c>
      <c r="BN10" s="91">
        <v>965.24699999999996</v>
      </c>
      <c r="BO10" s="94" t="s">
        <v>589</v>
      </c>
      <c r="BP10" s="70">
        <v>42.5</v>
      </c>
      <c r="BQ10" s="434">
        <f t="shared" si="13"/>
        <v>41022.997499999998</v>
      </c>
      <c r="BR10" s="358"/>
      <c r="BT10" s="103"/>
      <c r="BU10" s="15">
        <v>3</v>
      </c>
      <c r="BV10" s="91">
        <v>914.4</v>
      </c>
      <c r="BW10" s="275">
        <v>45175</v>
      </c>
      <c r="BX10" s="91">
        <v>914.4</v>
      </c>
      <c r="BY10" s="499" t="s">
        <v>540</v>
      </c>
      <c r="BZ10" s="276">
        <v>43</v>
      </c>
      <c r="CA10" s="230">
        <f t="shared" si="5"/>
        <v>39319.199999999997</v>
      </c>
      <c r="CD10" s="202"/>
      <c r="CE10" s="15">
        <v>3</v>
      </c>
      <c r="CF10" s="91">
        <v>889.9</v>
      </c>
      <c r="CG10" s="275">
        <v>45175</v>
      </c>
      <c r="CH10" s="91">
        <v>889.9</v>
      </c>
      <c r="CI10" s="277" t="s">
        <v>544</v>
      </c>
      <c r="CJ10" s="276">
        <v>43</v>
      </c>
      <c r="CK10" s="358">
        <f t="shared" si="14"/>
        <v>38265.699999999997</v>
      </c>
      <c r="CN10" s="998"/>
      <c r="CO10" s="15">
        <v>3</v>
      </c>
      <c r="CP10" s="91">
        <v>881.8</v>
      </c>
      <c r="CQ10" s="275">
        <v>45178</v>
      </c>
      <c r="CR10" s="91">
        <v>881.8</v>
      </c>
      <c r="CS10" s="277" t="s">
        <v>596</v>
      </c>
      <c r="CT10" s="276">
        <v>45</v>
      </c>
      <c r="CU10" s="363">
        <f t="shared" ref="CU10:CU30" si="58">CT10*CR10</f>
        <v>39681</v>
      </c>
      <c r="CX10" s="174"/>
      <c r="CY10" s="15">
        <v>3</v>
      </c>
      <c r="CZ10" s="91">
        <v>927</v>
      </c>
      <c r="DA10" s="231">
        <v>45177</v>
      </c>
      <c r="DB10" s="91">
        <v>927</v>
      </c>
      <c r="DC10" s="94" t="s">
        <v>580</v>
      </c>
      <c r="DD10" s="70">
        <v>45</v>
      </c>
      <c r="DE10" s="358">
        <f t="shared" si="15"/>
        <v>41715</v>
      </c>
      <c r="DH10" s="174"/>
      <c r="DI10" s="15">
        <v>3</v>
      </c>
      <c r="DJ10" s="91">
        <v>943.47</v>
      </c>
      <c r="DK10" s="231">
        <v>45181</v>
      </c>
      <c r="DL10" s="91">
        <v>943.47</v>
      </c>
      <c r="DM10" s="94" t="s">
        <v>612</v>
      </c>
      <c r="DN10" s="70">
        <v>46</v>
      </c>
      <c r="DO10" s="358">
        <f t="shared" si="16"/>
        <v>43399.62</v>
      </c>
      <c r="DR10" s="93"/>
      <c r="DS10" s="15">
        <v>3</v>
      </c>
      <c r="DT10" s="91">
        <v>890.4</v>
      </c>
      <c r="DU10" s="275">
        <v>45180</v>
      </c>
      <c r="DV10" s="91">
        <v>890.4</v>
      </c>
      <c r="DW10" s="277" t="s">
        <v>607</v>
      </c>
      <c r="DX10" s="276">
        <v>46</v>
      </c>
      <c r="DY10" s="358">
        <f t="shared" si="17"/>
        <v>40958.400000000001</v>
      </c>
      <c r="EB10" s="93"/>
      <c r="EC10" s="15">
        <v>3</v>
      </c>
      <c r="ED10" s="68">
        <v>934.4</v>
      </c>
      <c r="EE10" s="238"/>
      <c r="EF10" s="68"/>
      <c r="EG10" s="1341"/>
      <c r="EH10" s="70"/>
      <c r="EI10" s="358">
        <f t="shared" si="18"/>
        <v>0</v>
      </c>
      <c r="EL10" s="93"/>
      <c r="EM10" s="15">
        <v>3</v>
      </c>
      <c r="EN10" s="68">
        <v>782</v>
      </c>
      <c r="EO10" s="238">
        <v>45183</v>
      </c>
      <c r="EP10" s="68">
        <v>782</v>
      </c>
      <c r="EQ10" s="69" t="s">
        <v>636</v>
      </c>
      <c r="ER10" s="70">
        <v>46</v>
      </c>
      <c r="ES10" s="358">
        <f t="shared" si="19"/>
        <v>35972</v>
      </c>
      <c r="EV10" s="93" t="s">
        <v>190</v>
      </c>
      <c r="EW10" s="15">
        <v>3</v>
      </c>
      <c r="EX10" s="91">
        <v>888.1</v>
      </c>
      <c r="EY10" s="231">
        <v>45184</v>
      </c>
      <c r="EZ10" s="91">
        <v>888.1</v>
      </c>
      <c r="FA10" s="69" t="s">
        <v>656</v>
      </c>
      <c r="FB10" s="70">
        <v>0</v>
      </c>
      <c r="FC10" s="358">
        <f t="shared" si="20"/>
        <v>0</v>
      </c>
      <c r="FF10" s="93"/>
      <c r="FG10" s="15">
        <v>3</v>
      </c>
      <c r="FH10" s="91">
        <v>908.1</v>
      </c>
      <c r="FI10" s="231">
        <v>45185</v>
      </c>
      <c r="FJ10" s="91">
        <v>908.1</v>
      </c>
      <c r="FK10" s="69" t="s">
        <v>665</v>
      </c>
      <c r="FL10" s="70">
        <v>45</v>
      </c>
      <c r="FM10" s="230">
        <f t="shared" si="21"/>
        <v>40864.5</v>
      </c>
      <c r="FP10" s="316"/>
      <c r="FQ10" s="15">
        <v>3</v>
      </c>
      <c r="FR10" s="91">
        <v>903.1</v>
      </c>
      <c r="FS10" s="231">
        <v>45189</v>
      </c>
      <c r="FT10" s="91">
        <v>903.1</v>
      </c>
      <c r="FU10" s="69" t="s">
        <v>691</v>
      </c>
      <c r="FV10" s="70">
        <v>43</v>
      </c>
      <c r="FW10" s="230">
        <f t="shared" si="22"/>
        <v>38833.300000000003</v>
      </c>
      <c r="FZ10" s="93"/>
      <c r="GA10" s="15">
        <v>3</v>
      </c>
      <c r="GB10" s="91">
        <v>953.45</v>
      </c>
      <c r="GC10" s="231">
        <v>45184</v>
      </c>
      <c r="GD10" s="91">
        <v>953.45</v>
      </c>
      <c r="GE10" s="69" t="s">
        <v>651</v>
      </c>
      <c r="GF10" s="70">
        <v>47</v>
      </c>
      <c r="GG10" s="358">
        <f t="shared" si="23"/>
        <v>44812.15</v>
      </c>
      <c r="GJ10" s="93"/>
      <c r="GK10" s="15">
        <v>3</v>
      </c>
      <c r="GL10" s="331">
        <v>912.6</v>
      </c>
      <c r="GM10" s="231">
        <v>45190</v>
      </c>
      <c r="GN10" s="331">
        <v>912.6</v>
      </c>
      <c r="GO10" s="94" t="s">
        <v>694</v>
      </c>
      <c r="GP10" s="70">
        <v>43</v>
      </c>
      <c r="GQ10" s="358">
        <f t="shared" si="24"/>
        <v>39241.800000000003</v>
      </c>
      <c r="GT10" s="93"/>
      <c r="GU10" s="15">
        <v>3</v>
      </c>
      <c r="GV10" s="91">
        <v>893.6</v>
      </c>
      <c r="GW10" s="231">
        <v>45192</v>
      </c>
      <c r="GX10" s="91">
        <v>893.6</v>
      </c>
      <c r="GY10" s="94" t="s">
        <v>715</v>
      </c>
      <c r="GZ10" s="70">
        <v>43</v>
      </c>
      <c r="HA10" s="358">
        <f t="shared" si="25"/>
        <v>38424.800000000003</v>
      </c>
      <c r="HD10" s="998" t="s">
        <v>190</v>
      </c>
      <c r="HE10" s="15">
        <v>3</v>
      </c>
      <c r="HF10" s="91">
        <v>929</v>
      </c>
      <c r="HG10" s="231">
        <v>45190</v>
      </c>
      <c r="HH10" s="91">
        <v>929</v>
      </c>
      <c r="HI10" s="94" t="s">
        <v>695</v>
      </c>
      <c r="HJ10" s="70">
        <v>0</v>
      </c>
      <c r="HK10" s="358">
        <f t="shared" si="26"/>
        <v>0</v>
      </c>
      <c r="HN10" s="93"/>
      <c r="HO10" s="15">
        <v>3</v>
      </c>
      <c r="HP10" s="91">
        <v>878.2</v>
      </c>
      <c r="HQ10" s="231"/>
      <c r="HR10" s="91"/>
      <c r="HS10" s="1342"/>
      <c r="HT10" s="70"/>
      <c r="HU10" s="358">
        <f t="shared" si="27"/>
        <v>0</v>
      </c>
      <c r="HX10" s="103"/>
      <c r="HY10" s="15">
        <v>3</v>
      </c>
      <c r="HZ10" s="68">
        <v>913.1</v>
      </c>
      <c r="IA10" s="238">
        <v>45194</v>
      </c>
      <c r="IB10" s="68">
        <v>913.1</v>
      </c>
      <c r="IC10" s="69" t="s">
        <v>719</v>
      </c>
      <c r="ID10" s="70">
        <v>43</v>
      </c>
      <c r="IE10" s="358">
        <f t="shared" si="6"/>
        <v>39263.300000000003</v>
      </c>
      <c r="IH10" s="93"/>
      <c r="II10" s="15">
        <v>3</v>
      </c>
      <c r="IJ10" s="68">
        <v>908.5</v>
      </c>
      <c r="IK10" s="238">
        <v>45191</v>
      </c>
      <c r="IL10" s="68">
        <v>908.5</v>
      </c>
      <c r="IM10" s="69" t="s">
        <v>704</v>
      </c>
      <c r="IN10" s="70">
        <v>43</v>
      </c>
      <c r="IO10" s="230">
        <f t="shared" si="28"/>
        <v>39065.5</v>
      </c>
      <c r="IR10" s="93"/>
      <c r="IS10" s="15">
        <v>3</v>
      </c>
      <c r="IT10" s="68">
        <v>888.6</v>
      </c>
      <c r="IU10" s="238">
        <v>45191</v>
      </c>
      <c r="IV10" s="68">
        <v>888.6</v>
      </c>
      <c r="IW10" s="69" t="s">
        <v>701</v>
      </c>
      <c r="IX10" s="70">
        <v>43</v>
      </c>
      <c r="IY10" s="230">
        <f t="shared" si="29"/>
        <v>38209.800000000003</v>
      </c>
      <c r="IZ10" s="91"/>
      <c r="JA10" s="68"/>
      <c r="JB10" s="93"/>
      <c r="JC10" s="15">
        <v>3</v>
      </c>
      <c r="JD10" s="91">
        <v>937.6</v>
      </c>
      <c r="JE10" s="238">
        <v>45196</v>
      </c>
      <c r="JF10" s="91">
        <v>937.6</v>
      </c>
      <c r="JG10" s="69" t="s">
        <v>744</v>
      </c>
      <c r="JH10" s="70">
        <v>41</v>
      </c>
      <c r="JI10" s="358">
        <f t="shared" si="30"/>
        <v>38441.599999999999</v>
      </c>
      <c r="JJ10" s="68"/>
      <c r="JL10" s="93"/>
      <c r="JM10" s="15">
        <v>3</v>
      </c>
      <c r="JN10" s="91">
        <v>907.2</v>
      </c>
      <c r="JO10" s="231"/>
      <c r="JP10" s="91"/>
      <c r="JQ10" s="1591"/>
      <c r="JR10" s="70"/>
      <c r="JS10" s="358">
        <f t="shared" si="31"/>
        <v>0</v>
      </c>
      <c r="JV10" s="1317" t="s">
        <v>190</v>
      </c>
      <c r="JW10" s="15">
        <v>3</v>
      </c>
      <c r="JX10" s="68">
        <v>901.7</v>
      </c>
      <c r="JY10" s="238">
        <v>45197</v>
      </c>
      <c r="JZ10" s="68">
        <v>901.7</v>
      </c>
      <c r="KA10" s="69" t="s">
        <v>757</v>
      </c>
      <c r="KB10" s="70">
        <v>0</v>
      </c>
      <c r="KC10" s="358">
        <f t="shared" si="32"/>
        <v>0</v>
      </c>
      <c r="KF10" s="103"/>
      <c r="KG10" s="15">
        <v>3</v>
      </c>
      <c r="KH10" s="68">
        <v>866.8</v>
      </c>
      <c r="KI10" s="238">
        <v>45196</v>
      </c>
      <c r="KJ10" s="68">
        <v>866.8</v>
      </c>
      <c r="KK10" s="69" t="s">
        <v>742</v>
      </c>
      <c r="KL10" s="70">
        <v>41</v>
      </c>
      <c r="KM10" s="358">
        <f t="shared" si="33"/>
        <v>35538.799999999996</v>
      </c>
      <c r="KP10" s="103"/>
      <c r="KQ10" s="15">
        <v>3</v>
      </c>
      <c r="KR10" s="68">
        <v>909.4</v>
      </c>
      <c r="KS10" s="238">
        <v>45197</v>
      </c>
      <c r="KT10" s="68">
        <v>909.4</v>
      </c>
      <c r="KU10" s="69" t="s">
        <v>752</v>
      </c>
      <c r="KV10" s="70">
        <v>41</v>
      </c>
      <c r="KW10" s="358">
        <f t="shared" si="34"/>
        <v>37285.4</v>
      </c>
      <c r="KZ10" s="93"/>
      <c r="LA10" s="15">
        <v>3</v>
      </c>
      <c r="LB10" s="91">
        <v>896.7</v>
      </c>
      <c r="LC10" s="231">
        <v>45198</v>
      </c>
      <c r="LD10" s="91">
        <v>896.7</v>
      </c>
      <c r="LE10" s="94" t="s">
        <v>765</v>
      </c>
      <c r="LF10" s="70">
        <v>41</v>
      </c>
      <c r="LG10" s="358">
        <f t="shared" si="35"/>
        <v>36764.700000000004</v>
      </c>
      <c r="LJ10" s="93"/>
      <c r="LK10" s="15">
        <v>3</v>
      </c>
      <c r="LL10" s="91">
        <v>919</v>
      </c>
      <c r="LM10" s="231">
        <v>45199</v>
      </c>
      <c r="LN10" s="91">
        <v>919</v>
      </c>
      <c r="LO10" s="94" t="s">
        <v>759</v>
      </c>
      <c r="LP10" s="70">
        <v>41</v>
      </c>
      <c r="LQ10" s="230">
        <f t="shared" si="36"/>
        <v>37679</v>
      </c>
      <c r="LT10" s="93"/>
      <c r="LU10" s="15">
        <v>3</v>
      </c>
      <c r="LV10" s="91">
        <v>927.14</v>
      </c>
      <c r="LW10" s="231">
        <v>45199</v>
      </c>
      <c r="LX10" s="91">
        <v>927.14</v>
      </c>
      <c r="LY10" s="94" t="s">
        <v>774</v>
      </c>
      <c r="LZ10" s="70">
        <v>41</v>
      </c>
      <c r="MA10" s="358">
        <f t="shared" si="37"/>
        <v>38012.74</v>
      </c>
      <c r="MB10" s="358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973" t="s">
        <v>190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289</v>
      </c>
      <c r="R11" s="70">
        <v>0</v>
      </c>
      <c r="S11" s="358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293</v>
      </c>
      <c r="AB11" s="70">
        <v>43</v>
      </c>
      <c r="AC11" s="358">
        <f t="shared" si="9"/>
        <v>38579.599999999999</v>
      </c>
      <c r="AE11" s="60"/>
      <c r="AF11" s="103"/>
      <c r="AG11" s="15">
        <v>4</v>
      </c>
      <c r="AH11" s="282">
        <v>893.6</v>
      </c>
      <c r="AI11" s="231">
        <v>45174</v>
      </c>
      <c r="AJ11" s="282">
        <v>893.6</v>
      </c>
      <c r="AK11" s="94" t="s">
        <v>531</v>
      </c>
      <c r="AL11" s="70">
        <v>43</v>
      </c>
      <c r="AM11" s="70">
        <f t="shared" si="10"/>
        <v>38424.800000000003</v>
      </c>
      <c r="AO11" s="60"/>
      <c r="AP11" s="103"/>
      <c r="AQ11" s="15">
        <v>4</v>
      </c>
      <c r="AR11" s="91">
        <v>917.2</v>
      </c>
      <c r="AS11" s="231">
        <v>45174</v>
      </c>
      <c r="AT11" s="91">
        <v>917.2</v>
      </c>
      <c r="AU11" s="94" t="s">
        <v>531</v>
      </c>
      <c r="AV11" s="70">
        <v>43</v>
      </c>
      <c r="AW11" s="70">
        <f t="shared" si="11"/>
        <v>39439.599999999999</v>
      </c>
      <c r="AY11" s="60"/>
      <c r="AZ11" s="973" t="s">
        <v>190</v>
      </c>
      <c r="BA11" s="15">
        <v>4</v>
      </c>
      <c r="BB11" s="91">
        <v>893.6</v>
      </c>
      <c r="BC11" s="231">
        <v>45178</v>
      </c>
      <c r="BD11" s="91">
        <v>893.6</v>
      </c>
      <c r="BE11" s="94" t="s">
        <v>585</v>
      </c>
      <c r="BF11" s="70">
        <v>0</v>
      </c>
      <c r="BG11" s="358">
        <f t="shared" si="12"/>
        <v>0</v>
      </c>
      <c r="BI11" s="60"/>
      <c r="BJ11" s="103"/>
      <c r="BK11" s="15">
        <v>4</v>
      </c>
      <c r="BL11" s="91">
        <v>915.34</v>
      </c>
      <c r="BM11" s="231">
        <v>45178</v>
      </c>
      <c r="BN11" s="91">
        <v>915.34</v>
      </c>
      <c r="BO11" s="94" t="s">
        <v>592</v>
      </c>
      <c r="BP11" s="70">
        <v>42.5</v>
      </c>
      <c r="BQ11" s="434">
        <f t="shared" si="13"/>
        <v>38901.950000000004</v>
      </c>
      <c r="BR11" s="358"/>
      <c r="BS11" s="60"/>
      <c r="BT11" s="103"/>
      <c r="BU11" s="15">
        <v>4</v>
      </c>
      <c r="BV11" s="91">
        <v>861.8</v>
      </c>
      <c r="BW11" s="275">
        <v>45175</v>
      </c>
      <c r="BX11" s="91">
        <v>861.8</v>
      </c>
      <c r="BY11" s="499" t="s">
        <v>540</v>
      </c>
      <c r="BZ11" s="276">
        <v>43</v>
      </c>
      <c r="CA11" s="230">
        <f t="shared" si="5"/>
        <v>37057.4</v>
      </c>
      <c r="CC11" s="60"/>
      <c r="CD11" s="202"/>
      <c r="CE11" s="15">
        <v>4</v>
      </c>
      <c r="CF11" s="91">
        <v>866.4</v>
      </c>
      <c r="CG11" s="275">
        <v>45175</v>
      </c>
      <c r="CH11" s="91">
        <v>866.4</v>
      </c>
      <c r="CI11" s="277" t="s">
        <v>544</v>
      </c>
      <c r="CJ11" s="276">
        <v>43</v>
      </c>
      <c r="CK11" s="358">
        <f t="shared" si="14"/>
        <v>37255.199999999997</v>
      </c>
      <c r="CM11" s="60"/>
      <c r="CN11" s="998"/>
      <c r="CO11" s="15">
        <v>4</v>
      </c>
      <c r="CP11" s="91">
        <v>906.3</v>
      </c>
      <c r="CQ11" s="275">
        <v>45178</v>
      </c>
      <c r="CR11" s="91">
        <v>906.3</v>
      </c>
      <c r="CS11" s="277" t="s">
        <v>596</v>
      </c>
      <c r="CT11" s="276">
        <v>45</v>
      </c>
      <c r="CU11" s="363">
        <f t="shared" si="58"/>
        <v>40783.5</v>
      </c>
      <c r="CW11" s="60"/>
      <c r="CX11" s="174"/>
      <c r="CY11" s="15">
        <v>4</v>
      </c>
      <c r="CZ11" s="91">
        <v>900</v>
      </c>
      <c r="DA11" s="231">
        <v>45177</v>
      </c>
      <c r="DB11" s="91">
        <v>900</v>
      </c>
      <c r="DC11" s="94" t="s">
        <v>580</v>
      </c>
      <c r="DD11" s="70">
        <v>45</v>
      </c>
      <c r="DE11" s="358">
        <f t="shared" si="15"/>
        <v>40500</v>
      </c>
      <c r="DG11" s="60"/>
      <c r="DH11" s="174"/>
      <c r="DI11" s="15">
        <v>4</v>
      </c>
      <c r="DJ11" s="91">
        <v>918.07</v>
      </c>
      <c r="DK11" s="231">
        <v>45181</v>
      </c>
      <c r="DL11" s="91">
        <v>918.07</v>
      </c>
      <c r="DM11" s="94" t="s">
        <v>614</v>
      </c>
      <c r="DN11" s="70">
        <v>46</v>
      </c>
      <c r="DO11" s="358">
        <f t="shared" si="16"/>
        <v>42231.22</v>
      </c>
      <c r="DQ11" s="60"/>
      <c r="DR11" s="103"/>
      <c r="DS11" s="15">
        <v>4</v>
      </c>
      <c r="DT11" s="91">
        <v>911.3</v>
      </c>
      <c r="DU11" s="275">
        <v>45180</v>
      </c>
      <c r="DV11" s="91">
        <v>911.3</v>
      </c>
      <c r="DW11" s="277" t="s">
        <v>607</v>
      </c>
      <c r="DX11" s="276">
        <v>46</v>
      </c>
      <c r="DY11" s="358">
        <f t="shared" si="17"/>
        <v>41919.799999999996</v>
      </c>
      <c r="EA11" s="60"/>
      <c r="EB11" s="103"/>
      <c r="EC11" s="15">
        <v>4</v>
      </c>
      <c r="ED11" s="68">
        <v>913.5</v>
      </c>
      <c r="EE11" s="238"/>
      <c r="EF11" s="68"/>
      <c r="EG11" s="1341"/>
      <c r="EH11" s="70"/>
      <c r="EI11" s="358">
        <f t="shared" si="18"/>
        <v>0</v>
      </c>
      <c r="EK11" s="60"/>
      <c r="EL11" s="103"/>
      <c r="EM11" s="15">
        <v>4</v>
      </c>
      <c r="EN11" s="68">
        <v>841</v>
      </c>
      <c r="EO11" s="238">
        <v>45183</v>
      </c>
      <c r="EP11" s="68">
        <v>841</v>
      </c>
      <c r="EQ11" s="69" t="s">
        <v>636</v>
      </c>
      <c r="ER11" s="70">
        <v>46</v>
      </c>
      <c r="ES11" s="358">
        <f t="shared" si="19"/>
        <v>38686</v>
      </c>
      <c r="EU11" s="449"/>
      <c r="EV11" s="93" t="s">
        <v>190</v>
      </c>
      <c r="EW11" s="15">
        <v>4</v>
      </c>
      <c r="EX11" s="91">
        <v>925.3</v>
      </c>
      <c r="EY11" s="231">
        <v>45188</v>
      </c>
      <c r="EZ11" s="91">
        <v>925.3</v>
      </c>
      <c r="FA11" s="69" t="s">
        <v>670</v>
      </c>
      <c r="FB11" s="70">
        <v>0</v>
      </c>
      <c r="FC11" s="358">
        <f t="shared" si="20"/>
        <v>0</v>
      </c>
      <c r="FE11" s="60"/>
      <c r="FF11" s="93"/>
      <c r="FG11" s="15">
        <v>4</v>
      </c>
      <c r="FH11" s="91">
        <v>900.4</v>
      </c>
      <c r="FI11" s="231">
        <v>45185</v>
      </c>
      <c r="FJ11" s="91">
        <v>900.4</v>
      </c>
      <c r="FK11" s="69" t="s">
        <v>664</v>
      </c>
      <c r="FL11" s="70">
        <v>45</v>
      </c>
      <c r="FM11" s="230">
        <f t="shared" si="21"/>
        <v>40518</v>
      </c>
      <c r="FO11" s="60"/>
      <c r="FP11" s="316"/>
      <c r="FQ11" s="15">
        <v>4</v>
      </c>
      <c r="FR11" s="91">
        <v>899.5</v>
      </c>
      <c r="FS11" s="231">
        <v>45189</v>
      </c>
      <c r="FT11" s="91">
        <v>899.5</v>
      </c>
      <c r="FU11" s="69" t="s">
        <v>680</v>
      </c>
      <c r="FV11" s="70">
        <v>44</v>
      </c>
      <c r="FW11" s="230">
        <f t="shared" si="22"/>
        <v>39578</v>
      </c>
      <c r="FY11" s="60"/>
      <c r="FZ11" s="103"/>
      <c r="GA11" s="15">
        <v>4</v>
      </c>
      <c r="GB11" s="91">
        <v>941.65</v>
      </c>
      <c r="GC11" s="231">
        <v>45184</v>
      </c>
      <c r="GD11" s="91">
        <v>941.65</v>
      </c>
      <c r="GE11" s="69" t="s">
        <v>651</v>
      </c>
      <c r="GF11" s="70">
        <v>47</v>
      </c>
      <c r="GG11" s="358">
        <f t="shared" si="23"/>
        <v>44257.549999999996</v>
      </c>
      <c r="GI11" s="60"/>
      <c r="GJ11" s="103"/>
      <c r="GK11" s="15">
        <v>4</v>
      </c>
      <c r="GL11" s="331">
        <v>864.1</v>
      </c>
      <c r="GM11" s="231">
        <v>45190</v>
      </c>
      <c r="GN11" s="331">
        <v>864.1</v>
      </c>
      <c r="GO11" s="94" t="s">
        <v>694</v>
      </c>
      <c r="GP11" s="70">
        <v>43</v>
      </c>
      <c r="GQ11" s="358">
        <f t="shared" si="24"/>
        <v>37156.300000000003</v>
      </c>
      <c r="GS11" s="60"/>
      <c r="GT11" s="103"/>
      <c r="GU11" s="15">
        <v>4</v>
      </c>
      <c r="GV11" s="91">
        <v>874.5</v>
      </c>
      <c r="GW11" s="231">
        <v>45192</v>
      </c>
      <c r="GX11" s="91">
        <v>874.5</v>
      </c>
      <c r="GY11" s="94" t="s">
        <v>716</v>
      </c>
      <c r="GZ11" s="70">
        <v>43</v>
      </c>
      <c r="HA11" s="358">
        <f t="shared" si="25"/>
        <v>37603.5</v>
      </c>
      <c r="HC11" s="60"/>
      <c r="HD11" s="998" t="s">
        <v>190</v>
      </c>
      <c r="HE11" s="15">
        <v>4</v>
      </c>
      <c r="HF11" s="91">
        <v>882.7</v>
      </c>
      <c r="HG11" s="231">
        <v>45195</v>
      </c>
      <c r="HH11" s="91">
        <v>882.7</v>
      </c>
      <c r="HI11" s="94" t="s">
        <v>725</v>
      </c>
      <c r="HJ11" s="70">
        <v>0</v>
      </c>
      <c r="HK11" s="358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1342"/>
      <c r="HT11" s="70"/>
      <c r="HU11" s="358">
        <f t="shared" si="27"/>
        <v>0</v>
      </c>
      <c r="HW11" s="60"/>
      <c r="HX11" s="103"/>
      <c r="HY11" s="15">
        <v>4</v>
      </c>
      <c r="HZ11" s="68">
        <v>932.1</v>
      </c>
      <c r="IA11" s="238">
        <v>45192</v>
      </c>
      <c r="IB11" s="68">
        <v>932.1</v>
      </c>
      <c r="IC11" s="69" t="s">
        <v>716</v>
      </c>
      <c r="ID11" s="70">
        <v>43</v>
      </c>
      <c r="IE11" s="358">
        <f t="shared" si="6"/>
        <v>40080.300000000003</v>
      </c>
      <c r="IG11" s="60"/>
      <c r="IH11" s="103"/>
      <c r="II11" s="15">
        <v>4</v>
      </c>
      <c r="IJ11" s="68">
        <v>940.7</v>
      </c>
      <c r="IK11" s="238">
        <v>45191</v>
      </c>
      <c r="IL11" s="68">
        <v>940.7</v>
      </c>
      <c r="IM11" s="69" t="s">
        <v>704</v>
      </c>
      <c r="IN11" s="70">
        <v>43</v>
      </c>
      <c r="IO11" s="230">
        <f t="shared" si="28"/>
        <v>40450.1</v>
      </c>
      <c r="IQ11" s="60"/>
      <c r="IR11" s="93"/>
      <c r="IS11" s="15">
        <v>4</v>
      </c>
      <c r="IT11" s="68">
        <v>904.9</v>
      </c>
      <c r="IU11" s="238">
        <v>45191</v>
      </c>
      <c r="IV11" s="68">
        <v>904.9</v>
      </c>
      <c r="IW11" s="69" t="s">
        <v>701</v>
      </c>
      <c r="IX11" s="70">
        <v>43</v>
      </c>
      <c r="IY11" s="230">
        <f t="shared" si="29"/>
        <v>38910.699999999997</v>
      </c>
      <c r="IZ11" s="91"/>
      <c r="JA11" s="68"/>
      <c r="JB11" s="103"/>
      <c r="JC11" s="15">
        <v>4</v>
      </c>
      <c r="JD11" s="91">
        <v>887.7</v>
      </c>
      <c r="JE11" s="238">
        <v>45196</v>
      </c>
      <c r="JF11" s="91">
        <v>887.7</v>
      </c>
      <c r="JG11" s="69" t="s">
        <v>744</v>
      </c>
      <c r="JH11" s="70">
        <v>41</v>
      </c>
      <c r="JI11" s="358">
        <f t="shared" si="30"/>
        <v>36395.700000000004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1591"/>
      <c r="JR11" s="70"/>
      <c r="JS11" s="358">
        <f t="shared" si="31"/>
        <v>0</v>
      </c>
      <c r="JU11" s="60"/>
      <c r="JV11" s="93" t="s">
        <v>190</v>
      </c>
      <c r="JW11" s="15">
        <v>4</v>
      </c>
      <c r="JX11" s="68">
        <v>939.8</v>
      </c>
      <c r="JY11" s="238">
        <v>45199</v>
      </c>
      <c r="JZ11" s="68">
        <v>939.8</v>
      </c>
      <c r="KA11" s="69" t="s">
        <v>775</v>
      </c>
      <c r="KB11" s="70">
        <v>0</v>
      </c>
      <c r="KC11" s="358">
        <f t="shared" si="32"/>
        <v>0</v>
      </c>
      <c r="KE11" s="60"/>
      <c r="KF11" s="103"/>
      <c r="KG11" s="15">
        <v>4</v>
      </c>
      <c r="KH11" s="68">
        <v>887.2</v>
      </c>
      <c r="KI11" s="238">
        <v>45196</v>
      </c>
      <c r="KJ11" s="68">
        <v>887.2</v>
      </c>
      <c r="KK11" s="69" t="s">
        <v>742</v>
      </c>
      <c r="KL11" s="70">
        <v>41</v>
      </c>
      <c r="KM11" s="358">
        <f t="shared" si="33"/>
        <v>36375.200000000004</v>
      </c>
      <c r="KO11" s="60"/>
      <c r="KP11" s="103"/>
      <c r="KQ11" s="15">
        <v>4</v>
      </c>
      <c r="KR11" s="68">
        <v>871.3</v>
      </c>
      <c r="KS11" s="238">
        <v>45197</v>
      </c>
      <c r="KT11" s="68">
        <v>871.3</v>
      </c>
      <c r="KU11" s="69" t="s">
        <v>752</v>
      </c>
      <c r="KV11" s="70">
        <v>41</v>
      </c>
      <c r="KW11" s="358">
        <f t="shared" si="34"/>
        <v>35723.299999999996</v>
      </c>
      <c r="KY11" s="60"/>
      <c r="KZ11" s="103"/>
      <c r="LA11" s="15">
        <v>4</v>
      </c>
      <c r="LB11" s="91">
        <v>885</v>
      </c>
      <c r="LC11" s="231">
        <v>45198</v>
      </c>
      <c r="LD11" s="91">
        <v>885</v>
      </c>
      <c r="LE11" s="94" t="s">
        <v>765</v>
      </c>
      <c r="LF11" s="70">
        <v>41</v>
      </c>
      <c r="LG11" s="358">
        <f t="shared" si="35"/>
        <v>36285</v>
      </c>
      <c r="LI11" s="60"/>
      <c r="LJ11" s="103"/>
      <c r="LK11" s="15">
        <v>4</v>
      </c>
      <c r="LL11" s="91">
        <v>886.8</v>
      </c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>
        <v>948</v>
      </c>
      <c r="LW11" s="231">
        <v>45199</v>
      </c>
      <c r="LX11" s="91">
        <v>948</v>
      </c>
      <c r="LY11" s="94" t="s">
        <v>774</v>
      </c>
      <c r="LZ11" s="70">
        <v>41</v>
      </c>
      <c r="MA11" s="358">
        <f t="shared" si="37"/>
        <v>38868</v>
      </c>
      <c r="MB11" s="358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973" t="s">
        <v>190</v>
      </c>
      <c r="M12" s="15">
        <v>5</v>
      </c>
      <c r="N12" s="68">
        <v>934.4</v>
      </c>
      <c r="O12" s="983">
        <v>45173</v>
      </c>
      <c r="P12" s="985">
        <v>934.4</v>
      </c>
      <c r="Q12" s="984" t="s">
        <v>522</v>
      </c>
      <c r="R12" s="891">
        <v>0</v>
      </c>
      <c r="S12" s="358">
        <f t="shared" si="8"/>
        <v>0</v>
      </c>
      <c r="V12" s="103"/>
      <c r="W12" s="15">
        <v>5</v>
      </c>
      <c r="X12" s="91">
        <v>883.6</v>
      </c>
      <c r="Y12" s="888">
        <v>45173</v>
      </c>
      <c r="Z12" s="889">
        <v>883.6</v>
      </c>
      <c r="AA12" s="890" t="s">
        <v>513</v>
      </c>
      <c r="AB12" s="891">
        <v>43</v>
      </c>
      <c r="AC12" s="892">
        <f t="shared" si="9"/>
        <v>37994.800000000003</v>
      </c>
      <c r="AD12" s="74" t="s">
        <v>514</v>
      </c>
      <c r="AF12" s="103"/>
      <c r="AG12" s="15">
        <v>5</v>
      </c>
      <c r="AH12" s="282">
        <v>866.4</v>
      </c>
      <c r="AI12" s="231">
        <v>45173</v>
      </c>
      <c r="AJ12" s="282">
        <v>866.4</v>
      </c>
      <c r="AK12" s="94" t="s">
        <v>516</v>
      </c>
      <c r="AL12" s="70">
        <v>43</v>
      </c>
      <c r="AM12" s="70">
        <f t="shared" si="10"/>
        <v>37255.199999999997</v>
      </c>
      <c r="AN12" s="74" t="s">
        <v>514</v>
      </c>
      <c r="AP12" s="103"/>
      <c r="AQ12" s="15">
        <v>5</v>
      </c>
      <c r="AR12" s="91">
        <v>899</v>
      </c>
      <c r="AS12" s="231">
        <v>45174</v>
      </c>
      <c r="AT12" s="91">
        <v>899</v>
      </c>
      <c r="AU12" s="94" t="s">
        <v>534</v>
      </c>
      <c r="AV12" s="70">
        <v>43</v>
      </c>
      <c r="AW12" s="70">
        <f t="shared" si="11"/>
        <v>38657</v>
      </c>
      <c r="AZ12" s="973" t="s">
        <v>190</v>
      </c>
      <c r="BA12" s="15">
        <v>5</v>
      </c>
      <c r="BB12" s="91">
        <v>929.9</v>
      </c>
      <c r="BC12" s="231">
        <v>45180</v>
      </c>
      <c r="BD12" s="91">
        <v>929.9</v>
      </c>
      <c r="BE12" s="94" t="s">
        <v>600</v>
      </c>
      <c r="BF12" s="70">
        <v>0</v>
      </c>
      <c r="BG12" s="358">
        <f t="shared" si="12"/>
        <v>0</v>
      </c>
      <c r="BJ12" s="103"/>
      <c r="BK12" s="15">
        <v>5</v>
      </c>
      <c r="BL12" s="91">
        <v>918.07</v>
      </c>
      <c r="BM12" s="231">
        <v>45178</v>
      </c>
      <c r="BN12" s="91">
        <v>918.07</v>
      </c>
      <c r="BO12" s="94" t="s">
        <v>584</v>
      </c>
      <c r="BP12" s="70">
        <v>41</v>
      </c>
      <c r="BQ12" s="434">
        <f t="shared" si="13"/>
        <v>37640.870000000003</v>
      </c>
      <c r="BR12" s="358"/>
      <c r="BT12" s="103"/>
      <c r="BU12" s="15">
        <v>5</v>
      </c>
      <c r="BV12" s="91">
        <v>928</v>
      </c>
      <c r="BW12" s="275">
        <v>45175</v>
      </c>
      <c r="BX12" s="91">
        <v>928</v>
      </c>
      <c r="BY12" s="499" t="s">
        <v>540</v>
      </c>
      <c r="BZ12" s="276">
        <v>43</v>
      </c>
      <c r="CA12" s="230">
        <f t="shared" si="5"/>
        <v>39904</v>
      </c>
      <c r="CD12" s="202"/>
      <c r="CE12" s="15">
        <v>5</v>
      </c>
      <c r="CF12" s="91">
        <v>889.9</v>
      </c>
      <c r="CG12" s="275">
        <v>45175</v>
      </c>
      <c r="CH12" s="91">
        <v>889.9</v>
      </c>
      <c r="CI12" s="277" t="s">
        <v>544</v>
      </c>
      <c r="CJ12" s="276">
        <v>43</v>
      </c>
      <c r="CK12" s="358">
        <f t="shared" si="14"/>
        <v>38265.699999999997</v>
      </c>
      <c r="CN12" s="998"/>
      <c r="CO12" s="15">
        <v>5</v>
      </c>
      <c r="CP12" s="91">
        <v>880.9</v>
      </c>
      <c r="CQ12" s="275">
        <v>45178</v>
      </c>
      <c r="CR12" s="91">
        <v>880.9</v>
      </c>
      <c r="CS12" s="277" t="s">
        <v>595</v>
      </c>
      <c r="CT12" s="276">
        <v>42.5</v>
      </c>
      <c r="CU12" s="363">
        <f t="shared" si="58"/>
        <v>37438.25</v>
      </c>
      <c r="CX12" s="174"/>
      <c r="CY12" s="15">
        <v>5</v>
      </c>
      <c r="CZ12" s="91">
        <v>933</v>
      </c>
      <c r="DA12" s="231">
        <v>45177</v>
      </c>
      <c r="DB12" s="91">
        <v>933</v>
      </c>
      <c r="DC12" s="94" t="s">
        <v>580</v>
      </c>
      <c r="DD12" s="70">
        <v>45</v>
      </c>
      <c r="DE12" s="358">
        <f t="shared" si="15"/>
        <v>41985</v>
      </c>
      <c r="DH12" s="174"/>
      <c r="DI12" s="15">
        <v>5</v>
      </c>
      <c r="DJ12" s="91">
        <v>932.58</v>
      </c>
      <c r="DK12" s="231">
        <v>45181</v>
      </c>
      <c r="DL12" s="91">
        <v>932.58</v>
      </c>
      <c r="DM12" s="94" t="s">
        <v>612</v>
      </c>
      <c r="DN12" s="70">
        <v>46</v>
      </c>
      <c r="DO12" s="358">
        <f t="shared" si="16"/>
        <v>42898.68</v>
      </c>
      <c r="DR12" s="103"/>
      <c r="DS12" s="15">
        <v>5</v>
      </c>
      <c r="DT12" s="91">
        <v>909.4</v>
      </c>
      <c r="DU12" s="275">
        <v>45180</v>
      </c>
      <c r="DV12" s="91">
        <v>909.4</v>
      </c>
      <c r="DW12" s="277" t="s">
        <v>607</v>
      </c>
      <c r="DX12" s="276">
        <v>46</v>
      </c>
      <c r="DY12" s="358">
        <f t="shared" si="17"/>
        <v>41832.400000000001</v>
      </c>
      <c r="EB12" s="103"/>
      <c r="EC12" s="15">
        <v>5</v>
      </c>
      <c r="ED12" s="68">
        <v>914.4</v>
      </c>
      <c r="EE12" s="238"/>
      <c r="EF12" s="68"/>
      <c r="EG12" s="1341"/>
      <c r="EH12" s="70"/>
      <c r="EI12" s="358">
        <f t="shared" si="18"/>
        <v>0</v>
      </c>
      <c r="EL12" s="103"/>
      <c r="EM12" s="15">
        <v>5</v>
      </c>
      <c r="EN12" s="68">
        <v>860</v>
      </c>
      <c r="EO12" s="238">
        <v>45183</v>
      </c>
      <c r="EP12" s="68">
        <v>860</v>
      </c>
      <c r="EQ12" s="69" t="s">
        <v>642</v>
      </c>
      <c r="ER12" s="70">
        <v>46</v>
      </c>
      <c r="ES12" s="358">
        <f t="shared" si="19"/>
        <v>39560</v>
      </c>
      <c r="EV12" s="93" t="s">
        <v>190</v>
      </c>
      <c r="EW12" s="15">
        <v>5</v>
      </c>
      <c r="EX12" s="91">
        <v>919.9</v>
      </c>
      <c r="EY12" s="231">
        <v>45190</v>
      </c>
      <c r="EZ12" s="91">
        <v>919.9</v>
      </c>
      <c r="FA12" s="69" t="s">
        <v>695</v>
      </c>
      <c r="FB12" s="70">
        <v>0</v>
      </c>
      <c r="FC12" s="358">
        <f t="shared" si="20"/>
        <v>0</v>
      </c>
      <c r="FF12" s="93"/>
      <c r="FG12" s="15">
        <v>5</v>
      </c>
      <c r="FH12" s="91">
        <v>888.6</v>
      </c>
      <c r="FI12" s="231">
        <v>45185</v>
      </c>
      <c r="FJ12" s="91">
        <v>888.6</v>
      </c>
      <c r="FK12" s="69" t="s">
        <v>664</v>
      </c>
      <c r="FL12" s="70">
        <v>45</v>
      </c>
      <c r="FM12" s="230">
        <f t="shared" si="21"/>
        <v>39987</v>
      </c>
      <c r="FN12" s="74" t="s">
        <v>41</v>
      </c>
      <c r="FP12" s="316"/>
      <c r="FQ12" s="15">
        <v>5</v>
      </c>
      <c r="FR12" s="91">
        <v>917.2</v>
      </c>
      <c r="FS12" s="231">
        <v>45189</v>
      </c>
      <c r="FT12" s="91">
        <v>917.2</v>
      </c>
      <c r="FU12" s="69" t="s">
        <v>680</v>
      </c>
      <c r="FV12" s="70">
        <v>44</v>
      </c>
      <c r="FW12" s="230">
        <f t="shared" si="22"/>
        <v>40356.800000000003</v>
      </c>
      <c r="FZ12" s="103"/>
      <c r="GA12" s="15">
        <v>5</v>
      </c>
      <c r="GB12" s="91">
        <v>956.17</v>
      </c>
      <c r="GC12" s="231">
        <v>45184</v>
      </c>
      <c r="GD12" s="91">
        <v>956.17</v>
      </c>
      <c r="GE12" s="69" t="s">
        <v>651</v>
      </c>
      <c r="GF12" s="70">
        <v>47</v>
      </c>
      <c r="GG12" s="358">
        <f t="shared" si="23"/>
        <v>44939.99</v>
      </c>
      <c r="GJ12" s="103"/>
      <c r="GK12" s="15">
        <v>5</v>
      </c>
      <c r="GL12" s="331">
        <v>924.4</v>
      </c>
      <c r="GM12" s="231">
        <v>45190</v>
      </c>
      <c r="GN12" s="331">
        <v>924.4</v>
      </c>
      <c r="GO12" s="94" t="s">
        <v>694</v>
      </c>
      <c r="GP12" s="70">
        <v>43</v>
      </c>
      <c r="GQ12" s="358">
        <f t="shared" si="24"/>
        <v>39749.199999999997</v>
      </c>
      <c r="GT12" s="103"/>
      <c r="GU12" s="15">
        <v>5</v>
      </c>
      <c r="GV12" s="91">
        <v>937.1</v>
      </c>
      <c r="GW12" s="231">
        <v>45192</v>
      </c>
      <c r="GX12" s="91">
        <v>937.1</v>
      </c>
      <c r="GY12" s="94" t="s">
        <v>715</v>
      </c>
      <c r="GZ12" s="70">
        <v>43</v>
      </c>
      <c r="HA12" s="358">
        <f t="shared" si="25"/>
        <v>40295.300000000003</v>
      </c>
      <c r="HD12" s="998" t="s">
        <v>190</v>
      </c>
      <c r="HE12" s="15">
        <v>5</v>
      </c>
      <c r="HF12" s="91">
        <v>925.3</v>
      </c>
      <c r="HG12" s="231">
        <v>45195</v>
      </c>
      <c r="HH12" s="91">
        <v>925.3</v>
      </c>
      <c r="HI12" s="94" t="s">
        <v>725</v>
      </c>
      <c r="HJ12" s="70">
        <v>0</v>
      </c>
      <c r="HK12" s="358">
        <f t="shared" si="26"/>
        <v>0</v>
      </c>
      <c r="HN12" s="103"/>
      <c r="HO12" s="15">
        <v>5</v>
      </c>
      <c r="HP12" s="91">
        <v>933.5</v>
      </c>
      <c r="HQ12" s="231"/>
      <c r="HR12" s="91"/>
      <c r="HS12" s="1342"/>
      <c r="HT12" s="70"/>
      <c r="HU12" s="358">
        <f t="shared" si="27"/>
        <v>0</v>
      </c>
      <c r="HX12" s="103"/>
      <c r="HY12" s="15">
        <v>5</v>
      </c>
      <c r="HZ12" s="68">
        <v>939.8</v>
      </c>
      <c r="IA12" s="238">
        <v>45194</v>
      </c>
      <c r="IB12" s="68">
        <v>939.8</v>
      </c>
      <c r="IC12" s="69" t="s">
        <v>719</v>
      </c>
      <c r="ID12" s="70">
        <v>43</v>
      </c>
      <c r="IE12" s="358">
        <f t="shared" si="6"/>
        <v>40411.4</v>
      </c>
      <c r="IH12" s="103"/>
      <c r="II12" s="15">
        <v>5</v>
      </c>
      <c r="IJ12" s="68">
        <v>883.6</v>
      </c>
      <c r="IK12" s="238">
        <v>45191</v>
      </c>
      <c r="IL12" s="68">
        <v>883.6</v>
      </c>
      <c r="IM12" s="69" t="s">
        <v>704</v>
      </c>
      <c r="IN12" s="70">
        <v>43</v>
      </c>
      <c r="IO12" s="230">
        <f t="shared" si="28"/>
        <v>37994.800000000003</v>
      </c>
      <c r="IR12" s="93"/>
      <c r="IS12" s="15">
        <v>5</v>
      </c>
      <c r="IT12" s="68">
        <v>889.5</v>
      </c>
      <c r="IU12" s="238">
        <v>45191</v>
      </c>
      <c r="IV12" s="68">
        <v>889.5</v>
      </c>
      <c r="IW12" s="69" t="s">
        <v>701</v>
      </c>
      <c r="IX12" s="70">
        <v>43</v>
      </c>
      <c r="IY12" s="230">
        <f t="shared" si="29"/>
        <v>38248.5</v>
      </c>
      <c r="IZ12" s="91"/>
      <c r="JA12" s="68"/>
      <c r="JB12" s="103"/>
      <c r="JC12" s="15">
        <v>5</v>
      </c>
      <c r="JD12" s="91">
        <v>929.9</v>
      </c>
      <c r="JE12" s="238">
        <v>45197</v>
      </c>
      <c r="JF12" s="91">
        <v>929.9</v>
      </c>
      <c r="JG12" s="69" t="s">
        <v>747</v>
      </c>
      <c r="JH12" s="70">
        <v>41</v>
      </c>
      <c r="JI12" s="358">
        <f t="shared" si="30"/>
        <v>38125.9</v>
      </c>
      <c r="JJ12" s="68"/>
      <c r="JL12" s="103"/>
      <c r="JM12" s="15">
        <v>5</v>
      </c>
      <c r="JN12" s="91">
        <v>919.9</v>
      </c>
      <c r="JO12" s="231"/>
      <c r="JP12" s="91"/>
      <c r="JQ12" s="1591"/>
      <c r="JR12" s="70"/>
      <c r="JS12" s="358">
        <f t="shared" si="31"/>
        <v>0</v>
      </c>
      <c r="JV12" s="93" t="s">
        <v>190</v>
      </c>
      <c r="JW12" s="15">
        <v>5</v>
      </c>
      <c r="JX12" s="68">
        <v>909</v>
      </c>
      <c r="JY12" s="238">
        <v>45201</v>
      </c>
      <c r="JZ12" s="68">
        <v>909</v>
      </c>
      <c r="KA12" s="69" t="s">
        <v>783</v>
      </c>
      <c r="KB12" s="70">
        <v>0</v>
      </c>
      <c r="KC12" s="358">
        <f t="shared" si="32"/>
        <v>0</v>
      </c>
      <c r="KF12" s="103"/>
      <c r="KG12" s="15">
        <v>5</v>
      </c>
      <c r="KH12" s="68">
        <v>903.1</v>
      </c>
      <c r="KI12" s="238">
        <v>45196</v>
      </c>
      <c r="KJ12" s="68">
        <v>903.1</v>
      </c>
      <c r="KK12" s="69" t="s">
        <v>742</v>
      </c>
      <c r="KL12" s="70">
        <v>41</v>
      </c>
      <c r="KM12" s="358">
        <f t="shared" si="33"/>
        <v>37027.1</v>
      </c>
      <c r="KP12" s="103"/>
      <c r="KQ12" s="15">
        <v>5</v>
      </c>
      <c r="KR12" s="68">
        <v>930.8</v>
      </c>
      <c r="KS12" s="238">
        <v>45197</v>
      </c>
      <c r="KT12" s="68">
        <v>930.8</v>
      </c>
      <c r="KU12" s="69" t="s">
        <v>752</v>
      </c>
      <c r="KV12" s="70">
        <v>41</v>
      </c>
      <c r="KW12" s="358">
        <f t="shared" si="34"/>
        <v>38162.799999999996</v>
      </c>
      <c r="KZ12" s="103"/>
      <c r="LA12" s="15">
        <v>5</v>
      </c>
      <c r="LB12" s="91">
        <v>886.3</v>
      </c>
      <c r="LC12" s="231">
        <v>45198</v>
      </c>
      <c r="LD12" s="91">
        <v>886.3</v>
      </c>
      <c r="LE12" s="94" t="s">
        <v>765</v>
      </c>
      <c r="LF12" s="70">
        <v>41</v>
      </c>
      <c r="LG12" s="358">
        <f t="shared" si="35"/>
        <v>36338.299999999996</v>
      </c>
      <c r="LJ12" s="103"/>
      <c r="LK12" s="15">
        <v>5</v>
      </c>
      <c r="LL12" s="91">
        <v>925.8</v>
      </c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>
        <v>943.47</v>
      </c>
      <c r="LW12" s="231">
        <v>45199</v>
      </c>
      <c r="LX12" s="91">
        <v>943.47</v>
      </c>
      <c r="LY12" s="94" t="s">
        <v>774</v>
      </c>
      <c r="LZ12" s="70">
        <v>41</v>
      </c>
      <c r="MA12" s="358">
        <f t="shared" si="37"/>
        <v>38682.270000000004</v>
      </c>
      <c r="MB12" s="358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973" t="s">
        <v>190</v>
      </c>
      <c r="M13" s="15">
        <v>6</v>
      </c>
      <c r="N13" s="68">
        <v>898.1</v>
      </c>
      <c r="O13" s="983">
        <v>45174</v>
      </c>
      <c r="P13" s="985">
        <v>898.1</v>
      </c>
      <c r="Q13" s="984" t="s">
        <v>525</v>
      </c>
      <c r="R13" s="891">
        <v>0</v>
      </c>
      <c r="S13" s="358">
        <f t="shared" si="8"/>
        <v>0</v>
      </c>
      <c r="V13" s="103"/>
      <c r="W13" s="15">
        <v>6</v>
      </c>
      <c r="X13" s="91">
        <v>883.6</v>
      </c>
      <c r="Y13" s="888">
        <v>45173</v>
      </c>
      <c r="Z13" s="889">
        <v>883.6</v>
      </c>
      <c r="AA13" s="890" t="s">
        <v>513</v>
      </c>
      <c r="AB13" s="891">
        <v>43</v>
      </c>
      <c r="AC13" s="892">
        <f t="shared" si="9"/>
        <v>37994.800000000003</v>
      </c>
      <c r="AD13" s="74" t="s">
        <v>514</v>
      </c>
      <c r="AF13" s="103"/>
      <c r="AG13" s="15">
        <v>6</v>
      </c>
      <c r="AH13" s="282">
        <v>936.2</v>
      </c>
      <c r="AI13" s="231">
        <v>45173</v>
      </c>
      <c r="AJ13" s="282">
        <v>936.2</v>
      </c>
      <c r="AK13" s="94" t="s">
        <v>520</v>
      </c>
      <c r="AL13" s="70">
        <v>43</v>
      </c>
      <c r="AM13" s="70">
        <f t="shared" si="10"/>
        <v>40256.6</v>
      </c>
      <c r="AP13" s="103"/>
      <c r="AQ13" s="15">
        <v>6</v>
      </c>
      <c r="AR13" s="91">
        <v>905.4</v>
      </c>
      <c r="AS13" s="231">
        <v>45175</v>
      </c>
      <c r="AT13" s="91">
        <v>905.4</v>
      </c>
      <c r="AU13" s="94" t="s">
        <v>521</v>
      </c>
      <c r="AV13" s="70">
        <v>41</v>
      </c>
      <c r="AW13" s="70">
        <f t="shared" si="11"/>
        <v>37121.4</v>
      </c>
      <c r="AZ13" s="973" t="s">
        <v>190</v>
      </c>
      <c r="BA13" s="15">
        <v>6</v>
      </c>
      <c r="BB13" s="91">
        <v>902.6</v>
      </c>
      <c r="BC13" s="231">
        <v>45181</v>
      </c>
      <c r="BD13" s="91">
        <v>902.6</v>
      </c>
      <c r="BE13" s="94" t="s">
        <v>623</v>
      </c>
      <c r="BF13" s="70">
        <v>0</v>
      </c>
      <c r="BG13" s="358">
        <f t="shared" si="12"/>
        <v>0</v>
      </c>
      <c r="BJ13" s="103"/>
      <c r="BK13" s="15">
        <v>6</v>
      </c>
      <c r="BL13" s="91">
        <v>955.26</v>
      </c>
      <c r="BM13" s="231">
        <v>45176</v>
      </c>
      <c r="BN13" s="91">
        <v>955.26</v>
      </c>
      <c r="BO13" s="94" t="s">
        <v>567</v>
      </c>
      <c r="BP13" s="70">
        <v>44</v>
      </c>
      <c r="BQ13" s="434">
        <f t="shared" si="13"/>
        <v>42031.44</v>
      </c>
      <c r="BR13" s="358"/>
      <c r="BT13" s="103"/>
      <c r="BU13" s="15">
        <v>6</v>
      </c>
      <c r="BV13" s="91">
        <v>870.9</v>
      </c>
      <c r="BW13" s="275">
        <v>45175</v>
      </c>
      <c r="BX13" s="91">
        <v>870.9</v>
      </c>
      <c r="BY13" s="499" t="s">
        <v>540</v>
      </c>
      <c r="BZ13" s="276">
        <v>43</v>
      </c>
      <c r="CA13" s="230">
        <f t="shared" si="5"/>
        <v>37448.699999999997</v>
      </c>
      <c r="CD13" s="202"/>
      <c r="CE13" s="15">
        <v>6</v>
      </c>
      <c r="CF13" s="91">
        <v>889</v>
      </c>
      <c r="CG13" s="275">
        <v>45175</v>
      </c>
      <c r="CH13" s="91">
        <v>889</v>
      </c>
      <c r="CI13" s="277" t="s">
        <v>544</v>
      </c>
      <c r="CJ13" s="276">
        <v>43</v>
      </c>
      <c r="CK13" s="358">
        <f t="shared" si="14"/>
        <v>38227</v>
      </c>
      <c r="CN13" s="998"/>
      <c r="CO13" s="15">
        <v>6</v>
      </c>
      <c r="CP13" s="91">
        <v>874.5</v>
      </c>
      <c r="CQ13" s="275">
        <v>45178</v>
      </c>
      <c r="CR13" s="91">
        <v>874.5</v>
      </c>
      <c r="CS13" s="277" t="s">
        <v>596</v>
      </c>
      <c r="CT13" s="276">
        <v>45</v>
      </c>
      <c r="CU13" s="363">
        <f t="shared" si="58"/>
        <v>39352.5</v>
      </c>
      <c r="CX13" s="103"/>
      <c r="CY13" s="15">
        <v>6</v>
      </c>
      <c r="CZ13" s="91">
        <v>949</v>
      </c>
      <c r="DA13" s="231">
        <v>45177</v>
      </c>
      <c r="DB13" s="91">
        <v>949</v>
      </c>
      <c r="DC13" s="94" t="s">
        <v>577</v>
      </c>
      <c r="DD13" s="70">
        <v>45</v>
      </c>
      <c r="DE13" s="230">
        <f t="shared" si="15"/>
        <v>42705</v>
      </c>
      <c r="DH13" s="103"/>
      <c r="DI13" s="15">
        <v>6</v>
      </c>
      <c r="DJ13" s="91">
        <v>930.77</v>
      </c>
      <c r="DK13" s="231">
        <v>45181</v>
      </c>
      <c r="DL13" s="91">
        <v>930.77</v>
      </c>
      <c r="DM13" s="94" t="s">
        <v>614</v>
      </c>
      <c r="DN13" s="70">
        <v>46</v>
      </c>
      <c r="DO13" s="230">
        <f t="shared" si="16"/>
        <v>42815.42</v>
      </c>
      <c r="DR13" s="103"/>
      <c r="DS13" s="15">
        <v>6</v>
      </c>
      <c r="DT13" s="91">
        <v>918.5</v>
      </c>
      <c r="DU13" s="275">
        <v>45180</v>
      </c>
      <c r="DV13" s="91">
        <v>918.5</v>
      </c>
      <c r="DW13" s="277" t="s">
        <v>607</v>
      </c>
      <c r="DX13" s="276">
        <v>46</v>
      </c>
      <c r="DY13" s="358">
        <f t="shared" si="17"/>
        <v>42251</v>
      </c>
      <c r="EB13" s="103"/>
      <c r="EC13" s="15">
        <v>6</v>
      </c>
      <c r="ED13" s="68">
        <v>870.9</v>
      </c>
      <c r="EE13" s="238"/>
      <c r="EF13" s="68"/>
      <c r="EG13" s="1341"/>
      <c r="EH13" s="70"/>
      <c r="EI13" s="358">
        <f t="shared" si="18"/>
        <v>0</v>
      </c>
      <c r="EL13" s="103"/>
      <c r="EM13" s="15">
        <v>6</v>
      </c>
      <c r="EN13" s="68">
        <v>849</v>
      </c>
      <c r="EO13" s="238">
        <v>45183</v>
      </c>
      <c r="EP13" s="68">
        <v>849</v>
      </c>
      <c r="EQ13" s="69" t="s">
        <v>642</v>
      </c>
      <c r="ER13" s="70">
        <v>46</v>
      </c>
      <c r="ES13" s="358">
        <f t="shared" si="19"/>
        <v>39054</v>
      </c>
      <c r="EV13" s="93" t="s">
        <v>190</v>
      </c>
      <c r="EW13" s="15">
        <v>6</v>
      </c>
      <c r="EX13" s="91">
        <v>892.7</v>
      </c>
      <c r="EY13" s="231">
        <v>45190</v>
      </c>
      <c r="EZ13" s="91">
        <v>892.7</v>
      </c>
      <c r="FA13" s="69" t="s">
        <v>683</v>
      </c>
      <c r="FB13" s="70">
        <v>0</v>
      </c>
      <c r="FC13" s="358">
        <f t="shared" si="20"/>
        <v>0</v>
      </c>
      <c r="FF13" s="93"/>
      <c r="FG13" s="15">
        <v>6</v>
      </c>
      <c r="FH13" s="91">
        <v>894.9</v>
      </c>
      <c r="FI13" s="231">
        <v>45185</v>
      </c>
      <c r="FJ13" s="91">
        <v>894.9</v>
      </c>
      <c r="FK13" s="69" t="s">
        <v>663</v>
      </c>
      <c r="FL13" s="70">
        <v>45</v>
      </c>
      <c r="FM13" s="230">
        <f t="shared" si="21"/>
        <v>40270.5</v>
      </c>
      <c r="FP13" s="316"/>
      <c r="FQ13" s="15">
        <v>6</v>
      </c>
      <c r="FR13" s="91">
        <v>911.3</v>
      </c>
      <c r="FS13" s="231">
        <v>45189</v>
      </c>
      <c r="FT13" s="91">
        <v>911.3</v>
      </c>
      <c r="FU13" s="69" t="s">
        <v>680</v>
      </c>
      <c r="FV13" s="70">
        <v>44</v>
      </c>
      <c r="FW13" s="230">
        <f t="shared" si="22"/>
        <v>40097.199999999997</v>
      </c>
      <c r="FZ13" s="103"/>
      <c r="GA13" s="15">
        <v>6</v>
      </c>
      <c r="GB13" s="91">
        <v>928.04</v>
      </c>
      <c r="GC13" s="231">
        <v>45184</v>
      </c>
      <c r="GD13" s="91">
        <v>928.04</v>
      </c>
      <c r="GE13" s="69" t="s">
        <v>651</v>
      </c>
      <c r="GF13" s="70">
        <v>47</v>
      </c>
      <c r="GG13" s="358">
        <f t="shared" si="23"/>
        <v>43617.88</v>
      </c>
      <c r="GJ13" s="103"/>
      <c r="GK13" s="15">
        <v>6</v>
      </c>
      <c r="GL13" s="331">
        <v>929</v>
      </c>
      <c r="GM13" s="231">
        <v>45190</v>
      </c>
      <c r="GN13" s="331">
        <v>929</v>
      </c>
      <c r="GO13" s="94" t="s">
        <v>694</v>
      </c>
      <c r="GP13" s="70">
        <v>43</v>
      </c>
      <c r="GQ13" s="358">
        <f t="shared" si="24"/>
        <v>39947</v>
      </c>
      <c r="GT13" s="103"/>
      <c r="GU13" s="15">
        <v>6</v>
      </c>
      <c r="GV13" s="91">
        <v>885</v>
      </c>
      <c r="GW13" s="231">
        <v>45192</v>
      </c>
      <c r="GX13" s="91">
        <v>885</v>
      </c>
      <c r="GY13" s="94" t="s">
        <v>715</v>
      </c>
      <c r="GZ13" s="70">
        <v>43</v>
      </c>
      <c r="HA13" s="358">
        <f t="shared" si="25"/>
        <v>38055</v>
      </c>
      <c r="HD13" s="998" t="s">
        <v>190</v>
      </c>
      <c r="HE13" s="15">
        <v>6</v>
      </c>
      <c r="HF13" s="91">
        <v>880</v>
      </c>
      <c r="HG13" s="231">
        <v>45194</v>
      </c>
      <c r="HH13" s="91">
        <v>880</v>
      </c>
      <c r="HI13" s="94" t="s">
        <v>685</v>
      </c>
      <c r="HJ13" s="70">
        <v>0</v>
      </c>
      <c r="HK13" s="358">
        <f t="shared" si="26"/>
        <v>0</v>
      </c>
      <c r="HN13" s="103"/>
      <c r="HO13" s="15">
        <v>6</v>
      </c>
      <c r="HP13" s="91">
        <v>870.9</v>
      </c>
      <c r="HQ13" s="231"/>
      <c r="HR13" s="91"/>
      <c r="HS13" s="1342"/>
      <c r="HT13" s="70"/>
      <c r="HU13" s="358">
        <f t="shared" si="27"/>
        <v>0</v>
      </c>
      <c r="HX13" s="103"/>
      <c r="HY13" s="15">
        <v>6</v>
      </c>
      <c r="HZ13" s="68">
        <v>938</v>
      </c>
      <c r="IA13" s="238">
        <v>45194</v>
      </c>
      <c r="IB13" s="68">
        <v>938</v>
      </c>
      <c r="IC13" s="69" t="s">
        <v>719</v>
      </c>
      <c r="ID13" s="70">
        <v>43</v>
      </c>
      <c r="IE13" s="358">
        <f t="shared" si="6"/>
        <v>40334</v>
      </c>
      <c r="IH13" s="103"/>
      <c r="II13" s="15">
        <v>6</v>
      </c>
      <c r="IJ13" s="68">
        <v>865</v>
      </c>
      <c r="IK13" s="238">
        <v>45191</v>
      </c>
      <c r="IL13" s="68">
        <v>865</v>
      </c>
      <c r="IM13" s="69" t="s">
        <v>704</v>
      </c>
      <c r="IN13" s="70">
        <v>43</v>
      </c>
      <c r="IO13" s="230">
        <f t="shared" si="28"/>
        <v>37195</v>
      </c>
      <c r="IR13" s="93"/>
      <c r="IS13" s="15">
        <v>6</v>
      </c>
      <c r="IT13" s="68">
        <v>921.7</v>
      </c>
      <c r="IU13" s="238">
        <v>45191</v>
      </c>
      <c r="IV13" s="68">
        <v>921.7</v>
      </c>
      <c r="IW13" s="69" t="s">
        <v>701</v>
      </c>
      <c r="IX13" s="70">
        <v>43</v>
      </c>
      <c r="IY13" s="230">
        <f t="shared" si="29"/>
        <v>39633.1</v>
      </c>
      <c r="IZ13" s="91"/>
      <c r="JA13" s="68"/>
      <c r="JB13" s="103"/>
      <c r="JC13" s="15">
        <v>6</v>
      </c>
      <c r="JD13" s="91">
        <v>925.3</v>
      </c>
      <c r="JE13" s="238">
        <v>45197</v>
      </c>
      <c r="JF13" s="91">
        <v>925.3</v>
      </c>
      <c r="JG13" s="69" t="s">
        <v>745</v>
      </c>
      <c r="JH13" s="70">
        <v>41</v>
      </c>
      <c r="JI13" s="358">
        <f t="shared" si="30"/>
        <v>37937.299999999996</v>
      </c>
      <c r="JJ13" s="68"/>
      <c r="JL13" s="103"/>
      <c r="JM13" s="15">
        <v>6</v>
      </c>
      <c r="JN13" s="91">
        <v>921.7</v>
      </c>
      <c r="JO13" s="231"/>
      <c r="JP13" s="91"/>
      <c r="JQ13" s="1591"/>
      <c r="JR13" s="70"/>
      <c r="JS13" s="358">
        <f t="shared" si="31"/>
        <v>0</v>
      </c>
      <c r="JV13" s="93" t="s">
        <v>190</v>
      </c>
      <c r="JW13" s="15">
        <v>6</v>
      </c>
      <c r="JX13" s="68">
        <v>863.6</v>
      </c>
      <c r="JY13" s="238">
        <v>45201</v>
      </c>
      <c r="JZ13" s="68">
        <v>863.6</v>
      </c>
      <c r="KA13" s="69" t="s">
        <v>783</v>
      </c>
      <c r="KB13" s="70">
        <v>0</v>
      </c>
      <c r="KC13" s="358">
        <f t="shared" si="32"/>
        <v>0</v>
      </c>
      <c r="KF13" s="103"/>
      <c r="KG13" s="15">
        <v>6</v>
      </c>
      <c r="KH13" s="68">
        <v>877.7</v>
      </c>
      <c r="KI13" s="238">
        <v>45196</v>
      </c>
      <c r="KJ13" s="68">
        <v>877.7</v>
      </c>
      <c r="KK13" s="69" t="s">
        <v>742</v>
      </c>
      <c r="KL13" s="70">
        <v>41</v>
      </c>
      <c r="KM13" s="358">
        <f t="shared" si="33"/>
        <v>35985.700000000004</v>
      </c>
      <c r="KP13" s="103"/>
      <c r="KQ13" s="15">
        <v>6</v>
      </c>
      <c r="KR13" s="68">
        <v>898.1</v>
      </c>
      <c r="KS13" s="238">
        <v>45197</v>
      </c>
      <c r="KT13" s="68">
        <v>898.1</v>
      </c>
      <c r="KU13" s="69" t="s">
        <v>752</v>
      </c>
      <c r="KV13" s="70">
        <v>41</v>
      </c>
      <c r="KW13" s="358">
        <f t="shared" si="34"/>
        <v>36822.1</v>
      </c>
      <c r="KZ13" s="103"/>
      <c r="LA13" s="15">
        <v>6</v>
      </c>
      <c r="LB13" s="91">
        <v>915.8</v>
      </c>
      <c r="LC13" s="231">
        <v>45198</v>
      </c>
      <c r="LD13" s="91">
        <v>915.8</v>
      </c>
      <c r="LE13" s="94" t="s">
        <v>765</v>
      </c>
      <c r="LF13" s="70">
        <v>41</v>
      </c>
      <c r="LG13" s="358">
        <f t="shared" si="35"/>
        <v>37547.799999999996</v>
      </c>
      <c r="LJ13" s="103"/>
      <c r="LK13" s="15">
        <v>6</v>
      </c>
      <c r="LL13" s="91">
        <v>888.1</v>
      </c>
      <c r="LM13" s="231">
        <v>45199</v>
      </c>
      <c r="LN13" s="91">
        <v>888.1</v>
      </c>
      <c r="LO13" s="94" t="s">
        <v>759</v>
      </c>
      <c r="LP13" s="70">
        <v>41</v>
      </c>
      <c r="LQ13" s="230">
        <f t="shared" si="36"/>
        <v>36412.1</v>
      </c>
      <c r="LT13" s="103"/>
      <c r="LU13" s="15">
        <v>6</v>
      </c>
      <c r="LV13" s="91">
        <v>935.3</v>
      </c>
      <c r="LW13" s="231">
        <v>45199</v>
      </c>
      <c r="LX13" s="91">
        <v>935.3</v>
      </c>
      <c r="LY13" s="94" t="s">
        <v>774</v>
      </c>
      <c r="LZ13" s="70">
        <v>41</v>
      </c>
      <c r="MA13" s="358">
        <f t="shared" si="37"/>
        <v>38347.299999999996</v>
      </c>
      <c r="MB13" s="358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973" t="s">
        <v>190</v>
      </c>
      <c r="M14" s="15">
        <v>7</v>
      </c>
      <c r="N14" s="68">
        <v>911.7</v>
      </c>
      <c r="O14" s="983">
        <v>45173</v>
      </c>
      <c r="P14" s="985">
        <v>911.7</v>
      </c>
      <c r="Q14" s="984" t="s">
        <v>518</v>
      </c>
      <c r="R14" s="891">
        <v>0</v>
      </c>
      <c r="S14" s="358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293</v>
      </c>
      <c r="AB14" s="70">
        <v>43</v>
      </c>
      <c r="AC14" s="358">
        <f t="shared" si="9"/>
        <v>37057.4</v>
      </c>
      <c r="AF14" s="103"/>
      <c r="AG14" s="15">
        <v>7</v>
      </c>
      <c r="AH14" s="282">
        <v>862.7</v>
      </c>
      <c r="AI14" s="231">
        <v>45173</v>
      </c>
      <c r="AJ14" s="282">
        <v>862.7</v>
      </c>
      <c r="AK14" s="94" t="s">
        <v>517</v>
      </c>
      <c r="AL14" s="70">
        <v>43</v>
      </c>
      <c r="AM14" s="70">
        <f t="shared" si="10"/>
        <v>37096.1</v>
      </c>
      <c r="AN14" s="74" t="s">
        <v>514</v>
      </c>
      <c r="AP14" s="103"/>
      <c r="AQ14" s="15">
        <v>7</v>
      </c>
      <c r="AR14" s="91">
        <v>879.1</v>
      </c>
      <c r="AS14" s="231">
        <v>45175</v>
      </c>
      <c r="AT14" s="91">
        <v>879.1</v>
      </c>
      <c r="AU14" s="94" t="s">
        <v>549</v>
      </c>
      <c r="AV14" s="70">
        <v>43</v>
      </c>
      <c r="AW14" s="70">
        <f t="shared" si="11"/>
        <v>37801.300000000003</v>
      </c>
      <c r="AZ14" s="973" t="s">
        <v>190</v>
      </c>
      <c r="BA14" s="15">
        <v>7</v>
      </c>
      <c r="BB14" s="91">
        <v>903.6</v>
      </c>
      <c r="BC14" s="231">
        <v>45181</v>
      </c>
      <c r="BD14" s="91">
        <v>903.6</v>
      </c>
      <c r="BE14" s="94" t="s">
        <v>623</v>
      </c>
      <c r="BF14" s="70">
        <v>0</v>
      </c>
      <c r="BG14" s="358">
        <f t="shared" si="12"/>
        <v>0</v>
      </c>
      <c r="BJ14" s="103"/>
      <c r="BK14" s="15">
        <v>7</v>
      </c>
      <c r="BL14" s="91">
        <v>910.81</v>
      </c>
      <c r="BM14" s="231">
        <v>45178</v>
      </c>
      <c r="BN14" s="91">
        <v>910.81</v>
      </c>
      <c r="BO14" s="94" t="s">
        <v>594</v>
      </c>
      <c r="BP14" s="70">
        <v>42.5</v>
      </c>
      <c r="BQ14" s="434">
        <f t="shared" si="13"/>
        <v>38709.424999999996</v>
      </c>
      <c r="BR14" s="358"/>
      <c r="BT14" s="103"/>
      <c r="BU14" s="15">
        <v>7</v>
      </c>
      <c r="BV14" s="68">
        <v>909</v>
      </c>
      <c r="BW14" s="275">
        <v>45175</v>
      </c>
      <c r="BX14" s="68">
        <v>909</v>
      </c>
      <c r="BY14" s="499" t="s">
        <v>540</v>
      </c>
      <c r="BZ14" s="276">
        <v>43</v>
      </c>
      <c r="CA14" s="230">
        <f t="shared" si="5"/>
        <v>39087</v>
      </c>
      <c r="CD14" s="202"/>
      <c r="CE14" s="15">
        <v>7</v>
      </c>
      <c r="CF14" s="91">
        <v>926.2</v>
      </c>
      <c r="CG14" s="275">
        <v>45175</v>
      </c>
      <c r="CH14" s="91">
        <v>926.2</v>
      </c>
      <c r="CI14" s="277" t="s">
        <v>544</v>
      </c>
      <c r="CJ14" s="276">
        <v>43</v>
      </c>
      <c r="CK14" s="358">
        <f t="shared" si="14"/>
        <v>39826.6</v>
      </c>
      <c r="CN14" s="998"/>
      <c r="CO14" s="15">
        <v>7</v>
      </c>
      <c r="CP14" s="91">
        <v>901.7</v>
      </c>
      <c r="CQ14" s="275">
        <v>45178</v>
      </c>
      <c r="CR14" s="91">
        <v>901.7</v>
      </c>
      <c r="CS14" s="277" t="s">
        <v>593</v>
      </c>
      <c r="CT14" s="276">
        <v>45</v>
      </c>
      <c r="CU14" s="363">
        <f t="shared" si="58"/>
        <v>40576.5</v>
      </c>
      <c r="CX14" s="174"/>
      <c r="CY14" s="15">
        <v>7</v>
      </c>
      <c r="CZ14" s="91">
        <v>928</v>
      </c>
      <c r="DA14" s="231">
        <v>45177</v>
      </c>
      <c r="DB14" s="91">
        <v>928</v>
      </c>
      <c r="DC14" s="94" t="s">
        <v>580</v>
      </c>
      <c r="DD14" s="70">
        <v>45</v>
      </c>
      <c r="DE14" s="358">
        <f t="shared" si="15"/>
        <v>41760</v>
      </c>
      <c r="DH14" s="174"/>
      <c r="DI14" s="15">
        <v>7</v>
      </c>
      <c r="DJ14" s="91">
        <v>940.75</v>
      </c>
      <c r="DK14" s="231">
        <v>45181</v>
      </c>
      <c r="DL14" s="91">
        <v>940.75</v>
      </c>
      <c r="DM14" s="94" t="s">
        <v>614</v>
      </c>
      <c r="DN14" s="70">
        <v>46</v>
      </c>
      <c r="DO14" s="358">
        <f t="shared" si="16"/>
        <v>43274.5</v>
      </c>
      <c r="DR14" s="103"/>
      <c r="DS14" s="15">
        <v>7</v>
      </c>
      <c r="DT14" s="91">
        <v>917.6</v>
      </c>
      <c r="DU14" s="275">
        <v>45180</v>
      </c>
      <c r="DV14" s="91">
        <v>917.6</v>
      </c>
      <c r="DW14" s="277" t="s">
        <v>607</v>
      </c>
      <c r="DX14" s="276">
        <v>46</v>
      </c>
      <c r="DY14" s="358">
        <f t="shared" si="17"/>
        <v>42209.599999999999</v>
      </c>
      <c r="EB14" s="103"/>
      <c r="EC14" s="15">
        <v>7</v>
      </c>
      <c r="ED14" s="68">
        <v>913.5</v>
      </c>
      <c r="EE14" s="238"/>
      <c r="EF14" s="68"/>
      <c r="EG14" s="1341"/>
      <c r="EH14" s="70"/>
      <c r="EI14" s="358">
        <f t="shared" si="18"/>
        <v>0</v>
      </c>
      <c r="EL14" s="103"/>
      <c r="EM14" s="15">
        <v>7</v>
      </c>
      <c r="EN14" s="68">
        <v>818</v>
      </c>
      <c r="EO14" s="238">
        <v>45183</v>
      </c>
      <c r="EP14" s="68">
        <v>818</v>
      </c>
      <c r="EQ14" s="69" t="s">
        <v>642</v>
      </c>
      <c r="ER14" s="70">
        <v>46</v>
      </c>
      <c r="ES14" s="358">
        <f t="shared" si="19"/>
        <v>37628</v>
      </c>
      <c r="EV14" s="93" t="s">
        <v>190</v>
      </c>
      <c r="EW14" s="15">
        <v>7</v>
      </c>
      <c r="EX14" s="91">
        <v>938.9</v>
      </c>
      <c r="EY14" s="231">
        <v>45184</v>
      </c>
      <c r="EZ14" s="91">
        <v>938.9</v>
      </c>
      <c r="FA14" s="69" t="s">
        <v>656</v>
      </c>
      <c r="FB14" s="70">
        <v>0</v>
      </c>
      <c r="FC14" s="358">
        <f t="shared" si="20"/>
        <v>0</v>
      </c>
      <c r="FF14" s="93"/>
      <c r="FG14" s="15">
        <v>7</v>
      </c>
      <c r="FH14" s="91">
        <v>889.5</v>
      </c>
      <c r="FI14" s="231">
        <v>45185</v>
      </c>
      <c r="FJ14" s="91">
        <v>889.5</v>
      </c>
      <c r="FK14" s="69" t="s">
        <v>664</v>
      </c>
      <c r="FL14" s="70">
        <v>45</v>
      </c>
      <c r="FM14" s="230">
        <f t="shared" si="21"/>
        <v>40027.5</v>
      </c>
      <c r="FP14" s="316"/>
      <c r="FQ14" s="15">
        <v>7</v>
      </c>
      <c r="FR14" s="91">
        <v>934.4</v>
      </c>
      <c r="FS14" s="231">
        <v>45189</v>
      </c>
      <c r="FT14" s="91">
        <v>934.4</v>
      </c>
      <c r="FU14" s="69" t="s">
        <v>680</v>
      </c>
      <c r="FV14" s="70">
        <v>44</v>
      </c>
      <c r="FW14" s="230">
        <f t="shared" si="22"/>
        <v>41113.599999999999</v>
      </c>
      <c r="FZ14" s="103"/>
      <c r="GA14" s="15">
        <v>7</v>
      </c>
      <c r="GB14" s="91">
        <v>921.69</v>
      </c>
      <c r="GC14" s="231">
        <v>45184</v>
      </c>
      <c r="GD14" s="91">
        <v>921.69</v>
      </c>
      <c r="GE14" s="69" t="s">
        <v>651</v>
      </c>
      <c r="GF14" s="70">
        <v>47</v>
      </c>
      <c r="GG14" s="358">
        <f t="shared" si="23"/>
        <v>43319.43</v>
      </c>
      <c r="GJ14" s="103"/>
      <c r="GK14" s="15">
        <v>7</v>
      </c>
      <c r="GL14" s="331">
        <v>879.5</v>
      </c>
      <c r="GM14" s="231">
        <v>45190</v>
      </c>
      <c r="GN14" s="331">
        <v>879.5</v>
      </c>
      <c r="GO14" s="94" t="s">
        <v>694</v>
      </c>
      <c r="GP14" s="70">
        <v>43</v>
      </c>
      <c r="GQ14" s="358">
        <f t="shared" si="24"/>
        <v>37818.5</v>
      </c>
      <c r="GT14" s="103"/>
      <c r="GU14" s="15">
        <v>7</v>
      </c>
      <c r="GV14" s="91">
        <v>896.3</v>
      </c>
      <c r="GW14" s="231">
        <v>45192</v>
      </c>
      <c r="GX14" s="91">
        <v>896.3</v>
      </c>
      <c r="GY14" s="94" t="s">
        <v>715</v>
      </c>
      <c r="GZ14" s="70">
        <v>43</v>
      </c>
      <c r="HA14" s="358">
        <f t="shared" si="25"/>
        <v>38540.9</v>
      </c>
      <c r="HD14" s="103" t="s">
        <v>547</v>
      </c>
      <c r="HE14" s="15">
        <v>7</v>
      </c>
      <c r="HF14" s="91">
        <v>934.8</v>
      </c>
      <c r="HG14" s="231">
        <v>45189</v>
      </c>
      <c r="HH14" s="91">
        <v>934.8</v>
      </c>
      <c r="HI14" s="94" t="s">
        <v>679</v>
      </c>
      <c r="HJ14" s="70">
        <v>0</v>
      </c>
      <c r="HK14" s="358">
        <f t="shared" si="26"/>
        <v>0</v>
      </c>
      <c r="HN14" s="103"/>
      <c r="HO14" s="15">
        <v>7</v>
      </c>
      <c r="HP14" s="91">
        <v>907.2</v>
      </c>
      <c r="HQ14" s="231"/>
      <c r="HR14" s="91"/>
      <c r="HS14" s="1342"/>
      <c r="HT14" s="70"/>
      <c r="HU14" s="358">
        <f t="shared" si="27"/>
        <v>0</v>
      </c>
      <c r="HX14" s="103"/>
      <c r="HY14" s="15">
        <v>7</v>
      </c>
      <c r="HZ14" s="68">
        <v>871.8</v>
      </c>
      <c r="IA14" s="238">
        <v>45192</v>
      </c>
      <c r="IB14" s="68">
        <v>871.8</v>
      </c>
      <c r="IC14" s="69" t="s">
        <v>716</v>
      </c>
      <c r="ID14" s="70">
        <v>43</v>
      </c>
      <c r="IE14" s="358">
        <f t="shared" si="6"/>
        <v>37487.4</v>
      </c>
      <c r="IH14" s="103"/>
      <c r="II14" s="15">
        <v>7</v>
      </c>
      <c r="IJ14" s="68">
        <v>933.5</v>
      </c>
      <c r="IK14" s="238">
        <v>45191</v>
      </c>
      <c r="IL14" s="68">
        <v>933.5</v>
      </c>
      <c r="IM14" s="69" t="s">
        <v>704</v>
      </c>
      <c r="IN14" s="70">
        <v>43</v>
      </c>
      <c r="IO14" s="230">
        <f t="shared" si="28"/>
        <v>40140.5</v>
      </c>
      <c r="IR14" s="93"/>
      <c r="IS14" s="15">
        <v>7</v>
      </c>
      <c r="IT14" s="68">
        <v>916.7</v>
      </c>
      <c r="IU14" s="238">
        <v>45191</v>
      </c>
      <c r="IV14" s="68">
        <v>916.7</v>
      </c>
      <c r="IW14" s="69" t="s">
        <v>701</v>
      </c>
      <c r="IX14" s="70">
        <v>43</v>
      </c>
      <c r="IY14" s="230">
        <f t="shared" si="29"/>
        <v>39418.1</v>
      </c>
      <c r="IZ14" s="91"/>
      <c r="JA14" s="68"/>
      <c r="JB14" s="103"/>
      <c r="JC14" s="15">
        <v>7</v>
      </c>
      <c r="JD14" s="91">
        <v>873.2</v>
      </c>
      <c r="JE14" s="238">
        <v>45196</v>
      </c>
      <c r="JF14" s="91">
        <v>873.2</v>
      </c>
      <c r="JG14" s="69" t="s">
        <v>744</v>
      </c>
      <c r="JH14" s="70">
        <v>41</v>
      </c>
      <c r="JI14" s="358">
        <f t="shared" si="30"/>
        <v>35801.200000000004</v>
      </c>
      <c r="JJ14" s="68"/>
      <c r="JL14" s="103"/>
      <c r="JM14" s="15">
        <v>7</v>
      </c>
      <c r="JN14" s="91">
        <v>877.2</v>
      </c>
      <c r="JO14" s="231"/>
      <c r="JP14" s="91"/>
      <c r="JQ14" s="1591"/>
      <c r="JR14" s="70"/>
      <c r="JS14" s="358">
        <f t="shared" si="31"/>
        <v>0</v>
      </c>
      <c r="JV14" s="93" t="s">
        <v>190</v>
      </c>
      <c r="JW14" s="15">
        <v>7</v>
      </c>
      <c r="JX14" s="68">
        <v>869.1</v>
      </c>
      <c r="JY14" s="238">
        <v>45199</v>
      </c>
      <c r="JZ14" s="68">
        <v>869.1</v>
      </c>
      <c r="KA14" s="69" t="s">
        <v>770</v>
      </c>
      <c r="KB14" s="70">
        <v>0</v>
      </c>
      <c r="KC14" s="358">
        <f t="shared" si="32"/>
        <v>0</v>
      </c>
      <c r="KF14" s="103"/>
      <c r="KG14" s="15">
        <v>7</v>
      </c>
      <c r="KH14" s="68">
        <v>902.2</v>
      </c>
      <c r="KI14" s="238">
        <v>45196</v>
      </c>
      <c r="KJ14" s="68">
        <v>902.2</v>
      </c>
      <c r="KK14" s="69" t="s">
        <v>742</v>
      </c>
      <c r="KL14" s="70">
        <v>41</v>
      </c>
      <c r="KM14" s="358">
        <f t="shared" si="33"/>
        <v>36990.200000000004</v>
      </c>
      <c r="KP14" s="103"/>
      <c r="KQ14" s="15">
        <v>7</v>
      </c>
      <c r="KR14" s="68">
        <v>885</v>
      </c>
      <c r="KS14" s="238">
        <v>45197</v>
      </c>
      <c r="KT14" s="68">
        <v>885</v>
      </c>
      <c r="KU14" s="69" t="s">
        <v>752</v>
      </c>
      <c r="KV14" s="70">
        <v>41</v>
      </c>
      <c r="KW14" s="358">
        <f t="shared" si="34"/>
        <v>36285</v>
      </c>
      <c r="KZ14" s="103"/>
      <c r="LA14" s="15">
        <v>7</v>
      </c>
      <c r="LB14" s="91">
        <v>869.5</v>
      </c>
      <c r="LC14" s="231">
        <v>45198</v>
      </c>
      <c r="LD14" s="91">
        <v>869.5</v>
      </c>
      <c r="LE14" s="94" t="s">
        <v>765</v>
      </c>
      <c r="LF14" s="70">
        <v>41</v>
      </c>
      <c r="LG14" s="358">
        <f t="shared" si="35"/>
        <v>35649.5</v>
      </c>
      <c r="LJ14" s="103"/>
      <c r="LK14" s="15">
        <v>7</v>
      </c>
      <c r="LL14" s="91">
        <v>903.6</v>
      </c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>
        <v>923.51</v>
      </c>
      <c r="LW14" s="231">
        <v>45199</v>
      </c>
      <c r="LX14" s="91">
        <v>923.51</v>
      </c>
      <c r="LY14" s="94" t="s">
        <v>774</v>
      </c>
      <c r="LZ14" s="70">
        <v>41</v>
      </c>
      <c r="MA14" s="358">
        <f t="shared" si="37"/>
        <v>37863.909999999996</v>
      </c>
      <c r="MB14" s="358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973" t="s">
        <v>190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302</v>
      </c>
      <c r="R15" s="70">
        <v>0</v>
      </c>
      <c r="S15" s="358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293</v>
      </c>
      <c r="AB15" s="70">
        <v>43</v>
      </c>
      <c r="AC15" s="358">
        <f t="shared" si="9"/>
        <v>38618.300000000003</v>
      </c>
      <c r="AF15" s="103"/>
      <c r="AG15" s="15">
        <v>8</v>
      </c>
      <c r="AH15" s="282">
        <v>911.7</v>
      </c>
      <c r="AI15" s="231">
        <v>45174</v>
      </c>
      <c r="AJ15" s="282">
        <v>911.7</v>
      </c>
      <c r="AK15" s="94" t="s">
        <v>530</v>
      </c>
      <c r="AL15" s="70">
        <v>43</v>
      </c>
      <c r="AM15" s="70">
        <f t="shared" si="10"/>
        <v>39203.1</v>
      </c>
      <c r="AP15" s="103"/>
      <c r="AQ15" s="15">
        <v>8</v>
      </c>
      <c r="AR15" s="91">
        <v>903.6</v>
      </c>
      <c r="AS15" s="231">
        <v>45175</v>
      </c>
      <c r="AT15" s="91">
        <v>903.6</v>
      </c>
      <c r="AU15" s="94" t="s">
        <v>541</v>
      </c>
      <c r="AV15" s="70">
        <v>43</v>
      </c>
      <c r="AW15" s="70">
        <f t="shared" si="11"/>
        <v>38854.800000000003</v>
      </c>
      <c r="AZ15" s="973" t="s">
        <v>190</v>
      </c>
      <c r="BA15" s="15">
        <v>8</v>
      </c>
      <c r="BB15" s="91">
        <v>896.3</v>
      </c>
      <c r="BC15" s="231">
        <v>45181</v>
      </c>
      <c r="BD15" s="91">
        <v>896.3</v>
      </c>
      <c r="BE15" s="94" t="s">
        <v>618</v>
      </c>
      <c r="BF15" s="70">
        <v>0</v>
      </c>
      <c r="BG15" s="358">
        <f t="shared" si="12"/>
        <v>0</v>
      </c>
      <c r="BJ15" s="103"/>
      <c r="BK15" s="15">
        <v>8</v>
      </c>
      <c r="BL15" s="91">
        <v>938.93</v>
      </c>
      <c r="BM15" s="231">
        <v>45178</v>
      </c>
      <c r="BN15" s="91">
        <v>938.93</v>
      </c>
      <c r="BO15" s="94" t="s">
        <v>589</v>
      </c>
      <c r="BP15" s="70">
        <v>42.5</v>
      </c>
      <c r="BQ15" s="434">
        <f t="shared" si="13"/>
        <v>39904.525000000001</v>
      </c>
      <c r="BR15" s="358"/>
      <c r="BT15" s="103"/>
      <c r="BU15" s="15">
        <v>8</v>
      </c>
      <c r="BV15" s="91">
        <v>937.1</v>
      </c>
      <c r="BW15" s="275">
        <v>45175</v>
      </c>
      <c r="BX15" s="91">
        <v>937.1</v>
      </c>
      <c r="BY15" s="499" t="s">
        <v>540</v>
      </c>
      <c r="BZ15" s="276">
        <v>43</v>
      </c>
      <c r="CA15" s="230">
        <f t="shared" si="5"/>
        <v>40295.300000000003</v>
      </c>
      <c r="CD15" s="202"/>
      <c r="CE15" s="15">
        <v>8</v>
      </c>
      <c r="CF15" s="91">
        <v>932.6</v>
      </c>
      <c r="CG15" s="275">
        <v>45175</v>
      </c>
      <c r="CH15" s="91">
        <v>932.6</v>
      </c>
      <c r="CI15" s="277" t="s">
        <v>544</v>
      </c>
      <c r="CJ15" s="276">
        <v>43</v>
      </c>
      <c r="CK15" s="358">
        <f t="shared" si="14"/>
        <v>40101.800000000003</v>
      </c>
      <c r="CN15" s="998"/>
      <c r="CO15" s="15">
        <v>8</v>
      </c>
      <c r="CP15" s="91">
        <v>861.8</v>
      </c>
      <c r="CQ15" s="275">
        <v>45178</v>
      </c>
      <c r="CR15" s="91">
        <v>861.8</v>
      </c>
      <c r="CS15" s="277" t="s">
        <v>595</v>
      </c>
      <c r="CT15" s="276">
        <v>42.5</v>
      </c>
      <c r="CU15" s="363">
        <f t="shared" si="58"/>
        <v>36626.5</v>
      </c>
      <c r="CX15" s="174"/>
      <c r="CY15" s="15">
        <v>8</v>
      </c>
      <c r="CZ15" s="91">
        <v>910</v>
      </c>
      <c r="DA15" s="231">
        <v>45177</v>
      </c>
      <c r="DB15" s="91">
        <v>910</v>
      </c>
      <c r="DC15" s="94" t="s">
        <v>580</v>
      </c>
      <c r="DD15" s="70">
        <v>45</v>
      </c>
      <c r="DE15" s="358">
        <f t="shared" si="15"/>
        <v>40950</v>
      </c>
      <c r="DH15" s="174"/>
      <c r="DI15" s="15">
        <v>8</v>
      </c>
      <c r="DJ15" s="91">
        <v>926.23</v>
      </c>
      <c r="DK15" s="231">
        <v>45181</v>
      </c>
      <c r="DL15" s="91">
        <v>926.23</v>
      </c>
      <c r="DM15" s="94" t="s">
        <v>614</v>
      </c>
      <c r="DN15" s="70">
        <v>46</v>
      </c>
      <c r="DO15" s="358">
        <f t="shared" si="16"/>
        <v>42606.58</v>
      </c>
      <c r="DR15" s="103"/>
      <c r="DS15" s="15">
        <v>8</v>
      </c>
      <c r="DT15" s="91">
        <v>890.4</v>
      </c>
      <c r="DU15" s="275">
        <v>45180</v>
      </c>
      <c r="DV15" s="91">
        <v>890.4</v>
      </c>
      <c r="DW15" s="277" t="s">
        <v>607</v>
      </c>
      <c r="DX15" s="276">
        <v>46</v>
      </c>
      <c r="DY15" s="358">
        <f t="shared" si="17"/>
        <v>40958.400000000001</v>
      </c>
      <c r="EB15" s="103"/>
      <c r="EC15" s="15">
        <v>8</v>
      </c>
      <c r="ED15" s="68">
        <v>935.3</v>
      </c>
      <c r="EE15" s="238"/>
      <c r="EF15" s="68"/>
      <c r="EG15" s="1341"/>
      <c r="EH15" s="70"/>
      <c r="EI15" s="358">
        <f t="shared" si="18"/>
        <v>0</v>
      </c>
      <c r="EL15" s="103"/>
      <c r="EM15" s="15">
        <v>8</v>
      </c>
      <c r="EN15" s="68">
        <v>881</v>
      </c>
      <c r="EO15" s="238">
        <v>45183</v>
      </c>
      <c r="EP15" s="68">
        <v>881</v>
      </c>
      <c r="EQ15" s="69" t="s">
        <v>642</v>
      </c>
      <c r="ER15" s="70">
        <v>46</v>
      </c>
      <c r="ES15" s="358">
        <f t="shared" si="19"/>
        <v>40526</v>
      </c>
      <c r="EV15" s="93" t="s">
        <v>190</v>
      </c>
      <c r="EW15" s="15">
        <v>8</v>
      </c>
      <c r="EX15" s="91">
        <v>928</v>
      </c>
      <c r="EY15" s="231">
        <v>45182</v>
      </c>
      <c r="EZ15" s="91">
        <v>928</v>
      </c>
      <c r="FA15" s="69" t="s">
        <v>644</v>
      </c>
      <c r="FB15" s="70">
        <v>0</v>
      </c>
      <c r="FC15" s="358">
        <f t="shared" si="20"/>
        <v>0</v>
      </c>
      <c r="FF15" s="93"/>
      <c r="FG15" s="15">
        <v>8</v>
      </c>
      <c r="FH15" s="91">
        <v>918.5</v>
      </c>
      <c r="FI15" s="231">
        <v>45185</v>
      </c>
      <c r="FJ15" s="91">
        <v>918.5</v>
      </c>
      <c r="FK15" s="69" t="s">
        <v>663</v>
      </c>
      <c r="FL15" s="70">
        <v>45</v>
      </c>
      <c r="FM15" s="230">
        <f t="shared" si="21"/>
        <v>41332.5</v>
      </c>
      <c r="FP15" s="316"/>
      <c r="FQ15" s="15">
        <v>8</v>
      </c>
      <c r="FR15" s="91">
        <v>938.9</v>
      </c>
      <c r="FS15" s="231">
        <v>45189</v>
      </c>
      <c r="FT15" s="91">
        <v>938.9</v>
      </c>
      <c r="FU15" s="69" t="s">
        <v>680</v>
      </c>
      <c r="FV15" s="70">
        <v>44</v>
      </c>
      <c r="FW15" s="230">
        <f t="shared" si="22"/>
        <v>41311.599999999999</v>
      </c>
      <c r="FZ15" s="103"/>
      <c r="GA15" s="15">
        <v>8</v>
      </c>
      <c r="GB15" s="91">
        <v>974.77</v>
      </c>
      <c r="GC15" s="231">
        <v>45184</v>
      </c>
      <c r="GD15" s="91">
        <v>974.77</v>
      </c>
      <c r="GE15" s="69" t="s">
        <v>651</v>
      </c>
      <c r="GF15" s="70">
        <v>47</v>
      </c>
      <c r="GG15" s="358">
        <f t="shared" si="23"/>
        <v>45814.19</v>
      </c>
      <c r="GJ15" s="103"/>
      <c r="GK15" s="15">
        <v>8</v>
      </c>
      <c r="GL15" s="331">
        <v>862.7</v>
      </c>
      <c r="GM15" s="231">
        <v>45190</v>
      </c>
      <c r="GN15" s="331">
        <v>862.7</v>
      </c>
      <c r="GO15" s="94" t="s">
        <v>694</v>
      </c>
      <c r="GP15" s="70">
        <v>43</v>
      </c>
      <c r="GQ15" s="358">
        <f t="shared" si="24"/>
        <v>37096.1</v>
      </c>
      <c r="GT15" s="103"/>
      <c r="GU15" s="15">
        <v>8</v>
      </c>
      <c r="GV15" s="91">
        <v>897.2</v>
      </c>
      <c r="GW15" s="231">
        <v>45192</v>
      </c>
      <c r="GX15" s="91">
        <v>897.2</v>
      </c>
      <c r="GY15" s="94" t="s">
        <v>710</v>
      </c>
      <c r="GZ15" s="70">
        <v>43</v>
      </c>
      <c r="HA15" s="358">
        <f t="shared" si="25"/>
        <v>38579.599999999999</v>
      </c>
      <c r="HD15" s="998" t="s">
        <v>190</v>
      </c>
      <c r="HE15" s="15">
        <v>8</v>
      </c>
      <c r="HF15" s="91">
        <v>902.2</v>
      </c>
      <c r="HG15" s="231">
        <v>45195</v>
      </c>
      <c r="HH15" s="91">
        <v>902.2</v>
      </c>
      <c r="HI15" s="94" t="s">
        <v>721</v>
      </c>
      <c r="HJ15" s="70">
        <v>0</v>
      </c>
      <c r="HK15" s="358">
        <f t="shared" si="26"/>
        <v>0</v>
      </c>
      <c r="HN15" s="103"/>
      <c r="HO15" s="15">
        <v>8</v>
      </c>
      <c r="HP15" s="91">
        <v>908.1</v>
      </c>
      <c r="HQ15" s="231"/>
      <c r="HR15" s="91"/>
      <c r="HS15" s="1342"/>
      <c r="HT15" s="70"/>
      <c r="HU15" s="358">
        <f t="shared" si="27"/>
        <v>0</v>
      </c>
      <c r="HX15" s="93"/>
      <c r="HY15" s="15">
        <v>8</v>
      </c>
      <c r="HZ15" s="68">
        <v>938.5</v>
      </c>
      <c r="IA15" s="238">
        <v>45192</v>
      </c>
      <c r="IB15" s="68">
        <v>938.5</v>
      </c>
      <c r="IC15" s="69" t="s">
        <v>716</v>
      </c>
      <c r="ID15" s="70">
        <v>43</v>
      </c>
      <c r="IE15" s="358">
        <f t="shared" si="6"/>
        <v>40355.5</v>
      </c>
      <c r="IH15" s="103"/>
      <c r="II15" s="15">
        <v>8</v>
      </c>
      <c r="IJ15" s="68">
        <v>887.2</v>
      </c>
      <c r="IK15" s="238">
        <v>45191</v>
      </c>
      <c r="IL15" s="68">
        <v>887.2</v>
      </c>
      <c r="IM15" s="69" t="s">
        <v>704</v>
      </c>
      <c r="IN15" s="70">
        <v>43</v>
      </c>
      <c r="IO15" s="230">
        <f t="shared" si="28"/>
        <v>38149.599999999999</v>
      </c>
      <c r="IR15" s="93"/>
      <c r="IS15" s="15">
        <v>8</v>
      </c>
      <c r="IT15" s="68">
        <v>932.1</v>
      </c>
      <c r="IU15" s="238">
        <v>45191</v>
      </c>
      <c r="IV15" s="68">
        <v>932.1</v>
      </c>
      <c r="IW15" s="69" t="s">
        <v>701</v>
      </c>
      <c r="IX15" s="70">
        <v>43</v>
      </c>
      <c r="IY15" s="230">
        <f t="shared" si="29"/>
        <v>40080.300000000003</v>
      </c>
      <c r="IZ15" s="91"/>
      <c r="JA15" s="68"/>
      <c r="JB15" s="103"/>
      <c r="JC15" s="15">
        <v>8</v>
      </c>
      <c r="JD15" s="91">
        <v>925.8</v>
      </c>
      <c r="JE15" s="238">
        <v>45197</v>
      </c>
      <c r="JF15" s="91">
        <v>925.8</v>
      </c>
      <c r="JG15" s="69" t="s">
        <v>747</v>
      </c>
      <c r="JH15" s="70">
        <v>41</v>
      </c>
      <c r="JI15" s="358">
        <f t="shared" si="30"/>
        <v>37957.799999999996</v>
      </c>
      <c r="JJ15" s="68"/>
      <c r="JL15" s="103"/>
      <c r="JM15" s="15">
        <v>8</v>
      </c>
      <c r="JN15" s="91">
        <v>908.1</v>
      </c>
      <c r="JO15" s="231"/>
      <c r="JP15" s="91"/>
      <c r="JQ15" s="1591"/>
      <c r="JR15" s="70"/>
      <c r="JS15" s="358">
        <f t="shared" si="31"/>
        <v>0</v>
      </c>
      <c r="JV15" s="93" t="s">
        <v>190</v>
      </c>
      <c r="JW15" s="15">
        <v>8</v>
      </c>
      <c r="JX15" s="68">
        <v>880.4</v>
      </c>
      <c r="JY15" s="238">
        <v>45198</v>
      </c>
      <c r="JZ15" s="68">
        <v>880.4</v>
      </c>
      <c r="KA15" s="69" t="s">
        <v>766</v>
      </c>
      <c r="KB15" s="70">
        <v>0</v>
      </c>
      <c r="KC15" s="358">
        <f t="shared" si="32"/>
        <v>0</v>
      </c>
      <c r="KF15" s="103"/>
      <c r="KG15" s="15">
        <v>8</v>
      </c>
      <c r="KH15" s="68">
        <v>864.5</v>
      </c>
      <c r="KI15" s="238">
        <v>45196</v>
      </c>
      <c r="KJ15" s="68">
        <v>864.5</v>
      </c>
      <c r="KK15" s="69" t="s">
        <v>742</v>
      </c>
      <c r="KL15" s="70">
        <v>41</v>
      </c>
      <c r="KM15" s="358">
        <f t="shared" si="33"/>
        <v>35444.5</v>
      </c>
      <c r="KP15" s="103"/>
      <c r="KQ15" s="15">
        <v>8</v>
      </c>
      <c r="KR15" s="68">
        <v>936.7</v>
      </c>
      <c r="KS15" s="238">
        <v>45197</v>
      </c>
      <c r="KT15" s="68">
        <v>936.7</v>
      </c>
      <c r="KU15" s="69" t="s">
        <v>752</v>
      </c>
      <c r="KV15" s="70">
        <v>41</v>
      </c>
      <c r="KW15" s="358">
        <f t="shared" si="34"/>
        <v>38404.700000000004</v>
      </c>
      <c r="KZ15" s="103"/>
      <c r="LA15" s="15">
        <v>8</v>
      </c>
      <c r="LB15" s="91">
        <v>903.1</v>
      </c>
      <c r="LC15" s="231">
        <v>45198</v>
      </c>
      <c r="LD15" s="91">
        <v>903.1</v>
      </c>
      <c r="LE15" s="94" t="s">
        <v>765</v>
      </c>
      <c r="LF15" s="70">
        <v>41</v>
      </c>
      <c r="LG15" s="358">
        <f t="shared" si="35"/>
        <v>37027.1</v>
      </c>
      <c r="LJ15" s="103"/>
      <c r="LK15" s="15">
        <v>8</v>
      </c>
      <c r="LL15" s="91">
        <v>888.6</v>
      </c>
      <c r="LM15" s="231">
        <v>45199</v>
      </c>
      <c r="LN15" s="91">
        <v>888.6</v>
      </c>
      <c r="LO15" s="94" t="s">
        <v>759</v>
      </c>
      <c r="LP15" s="70">
        <v>41</v>
      </c>
      <c r="LQ15" s="230">
        <f t="shared" si="36"/>
        <v>36432.6</v>
      </c>
      <c r="LT15" s="103"/>
      <c r="LU15" s="15">
        <v>8</v>
      </c>
      <c r="LV15" s="91">
        <v>938.93</v>
      </c>
      <c r="LW15" s="231">
        <v>45199</v>
      </c>
      <c r="LX15" s="91">
        <v>938.93</v>
      </c>
      <c r="LY15" s="94" t="s">
        <v>774</v>
      </c>
      <c r="LZ15" s="70">
        <v>41</v>
      </c>
      <c r="MA15" s="358">
        <f t="shared" si="37"/>
        <v>38496.129999999997</v>
      </c>
      <c r="MB15" s="358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972" t="s">
        <v>262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283</v>
      </c>
      <c r="R16" s="70">
        <v>0</v>
      </c>
      <c r="S16" s="358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287</v>
      </c>
      <c r="AB16" s="70">
        <v>43</v>
      </c>
      <c r="AC16" s="358">
        <f t="shared" si="9"/>
        <v>37371.300000000003</v>
      </c>
      <c r="AF16" s="103"/>
      <c r="AG16" s="15">
        <v>9</v>
      </c>
      <c r="AH16" s="282">
        <v>919</v>
      </c>
      <c r="AI16" s="231">
        <v>45173</v>
      </c>
      <c r="AJ16" s="282">
        <v>919</v>
      </c>
      <c r="AK16" s="94" t="s">
        <v>529</v>
      </c>
      <c r="AL16" s="70">
        <v>43</v>
      </c>
      <c r="AM16" s="70">
        <f t="shared" si="10"/>
        <v>39517</v>
      </c>
      <c r="AP16" s="103"/>
      <c r="AQ16" s="15">
        <v>9</v>
      </c>
      <c r="AR16" s="91">
        <v>912.6</v>
      </c>
      <c r="AS16" s="231">
        <v>45175</v>
      </c>
      <c r="AT16" s="91">
        <v>912.6</v>
      </c>
      <c r="AU16" s="94" t="s">
        <v>521</v>
      </c>
      <c r="AV16" s="70">
        <v>41</v>
      </c>
      <c r="AW16" s="70">
        <f t="shared" si="11"/>
        <v>37416.6</v>
      </c>
      <c r="AZ16" s="973" t="s">
        <v>190</v>
      </c>
      <c r="BA16" s="15">
        <v>9</v>
      </c>
      <c r="BB16" s="91">
        <v>904.5</v>
      </c>
      <c r="BC16" s="231">
        <v>45181</v>
      </c>
      <c r="BD16" s="91">
        <v>904.5</v>
      </c>
      <c r="BE16" s="94" t="s">
        <v>623</v>
      </c>
      <c r="BF16" s="70">
        <v>0</v>
      </c>
      <c r="BG16" s="358">
        <f t="shared" si="12"/>
        <v>0</v>
      </c>
      <c r="BJ16" s="103"/>
      <c r="BK16" s="15">
        <v>9</v>
      </c>
      <c r="BL16" s="91">
        <v>910.81</v>
      </c>
      <c r="BM16" s="231">
        <v>45178</v>
      </c>
      <c r="BN16" s="91">
        <v>910.81</v>
      </c>
      <c r="BO16" s="94" t="s">
        <v>589</v>
      </c>
      <c r="BP16" s="70">
        <v>42.5</v>
      </c>
      <c r="BQ16" s="434">
        <f t="shared" si="13"/>
        <v>38709.424999999996</v>
      </c>
      <c r="BR16" s="358"/>
      <c r="BT16" s="103"/>
      <c r="BU16" s="15">
        <v>9</v>
      </c>
      <c r="BV16" s="91">
        <v>883.6</v>
      </c>
      <c r="BW16" s="275">
        <v>45175</v>
      </c>
      <c r="BX16" s="91">
        <v>883.6</v>
      </c>
      <c r="BY16" s="499" t="s">
        <v>540</v>
      </c>
      <c r="BZ16" s="276">
        <v>43</v>
      </c>
      <c r="CA16" s="358">
        <f t="shared" si="5"/>
        <v>37994.800000000003</v>
      </c>
      <c r="CD16" s="202"/>
      <c r="CE16" s="15">
        <v>9</v>
      </c>
      <c r="CF16" s="91">
        <v>935.3</v>
      </c>
      <c r="CG16" s="275">
        <v>45175</v>
      </c>
      <c r="CH16" s="91">
        <v>935.3</v>
      </c>
      <c r="CI16" s="277" t="s">
        <v>544</v>
      </c>
      <c r="CJ16" s="276">
        <v>43</v>
      </c>
      <c r="CK16" s="358">
        <f t="shared" si="14"/>
        <v>40217.9</v>
      </c>
      <c r="CN16" s="998"/>
      <c r="CO16" s="15">
        <v>9</v>
      </c>
      <c r="CP16" s="91">
        <v>898.1</v>
      </c>
      <c r="CQ16" s="275">
        <v>45178</v>
      </c>
      <c r="CR16" s="91">
        <v>898.1</v>
      </c>
      <c r="CS16" s="277" t="s">
        <v>593</v>
      </c>
      <c r="CT16" s="276">
        <v>45</v>
      </c>
      <c r="CU16" s="363">
        <f t="shared" si="58"/>
        <v>40414.5</v>
      </c>
      <c r="CX16" s="174"/>
      <c r="CY16" s="15">
        <v>9</v>
      </c>
      <c r="CZ16" s="91">
        <v>936</v>
      </c>
      <c r="DA16" s="231">
        <v>45177</v>
      </c>
      <c r="DB16" s="91">
        <v>936</v>
      </c>
      <c r="DC16" s="94" t="s">
        <v>580</v>
      </c>
      <c r="DD16" s="70">
        <v>45</v>
      </c>
      <c r="DE16" s="358">
        <f t="shared" si="15"/>
        <v>42120</v>
      </c>
      <c r="DH16" s="174"/>
      <c r="DI16" s="15">
        <v>9</v>
      </c>
      <c r="DJ16" s="91">
        <v>925.32</v>
      </c>
      <c r="DK16" s="231">
        <v>45178</v>
      </c>
      <c r="DL16" s="91">
        <v>925.32</v>
      </c>
      <c r="DM16" s="94" t="s">
        <v>596</v>
      </c>
      <c r="DN16" s="70">
        <v>45</v>
      </c>
      <c r="DO16" s="358">
        <f t="shared" si="16"/>
        <v>41639.4</v>
      </c>
      <c r="DR16" s="103"/>
      <c r="DS16" s="15">
        <v>9</v>
      </c>
      <c r="DT16" s="91">
        <v>920.3</v>
      </c>
      <c r="DU16" s="275">
        <v>45180</v>
      </c>
      <c r="DV16" s="91">
        <v>920.3</v>
      </c>
      <c r="DW16" s="277" t="s">
        <v>607</v>
      </c>
      <c r="DX16" s="276">
        <v>46</v>
      </c>
      <c r="DY16" s="358">
        <f t="shared" si="17"/>
        <v>42333.799999999996</v>
      </c>
      <c r="EB16" s="103"/>
      <c r="EC16" s="15">
        <v>9</v>
      </c>
      <c r="ED16" s="68">
        <v>871.8</v>
      </c>
      <c r="EE16" s="238"/>
      <c r="EF16" s="68"/>
      <c r="EG16" s="1341"/>
      <c r="EH16" s="70"/>
      <c r="EI16" s="358">
        <f t="shared" si="18"/>
        <v>0</v>
      </c>
      <c r="EL16" s="103"/>
      <c r="EM16" s="15">
        <v>9</v>
      </c>
      <c r="EN16" s="68">
        <v>817</v>
      </c>
      <c r="EO16" s="238">
        <v>45183</v>
      </c>
      <c r="EP16" s="68">
        <v>817</v>
      </c>
      <c r="EQ16" s="69" t="s">
        <v>642</v>
      </c>
      <c r="ER16" s="70">
        <v>46</v>
      </c>
      <c r="ES16" s="358">
        <f t="shared" si="19"/>
        <v>37582</v>
      </c>
      <c r="EV16" s="93" t="s">
        <v>190</v>
      </c>
      <c r="EW16" s="15">
        <v>9</v>
      </c>
      <c r="EX16" s="91">
        <v>905.4</v>
      </c>
      <c r="EY16" s="231">
        <v>45182</v>
      </c>
      <c r="EZ16" s="91">
        <v>905.4</v>
      </c>
      <c r="FA16" s="69" t="s">
        <v>634</v>
      </c>
      <c r="FB16" s="70">
        <v>0</v>
      </c>
      <c r="FC16" s="358">
        <f t="shared" si="20"/>
        <v>0</v>
      </c>
      <c r="FF16" s="93"/>
      <c r="FG16" s="15">
        <v>9</v>
      </c>
      <c r="FH16" s="91">
        <v>922.1</v>
      </c>
      <c r="FI16" s="231">
        <v>45185</v>
      </c>
      <c r="FJ16" s="91">
        <v>922.1</v>
      </c>
      <c r="FK16" s="69" t="s">
        <v>660</v>
      </c>
      <c r="FL16" s="70">
        <v>45</v>
      </c>
      <c r="FM16" s="230">
        <f t="shared" si="21"/>
        <v>41494.5</v>
      </c>
      <c r="FP16" s="316"/>
      <c r="FQ16" s="15">
        <v>9</v>
      </c>
      <c r="FR16" s="91">
        <v>893.1</v>
      </c>
      <c r="FS16" s="231">
        <v>45189</v>
      </c>
      <c r="FT16" s="91">
        <v>893.1</v>
      </c>
      <c r="FU16" s="69" t="s">
        <v>680</v>
      </c>
      <c r="FV16" s="70">
        <v>44</v>
      </c>
      <c r="FW16" s="230">
        <f t="shared" si="22"/>
        <v>39296.400000000001</v>
      </c>
      <c r="FZ16" s="103"/>
      <c r="GA16" s="15">
        <v>9</v>
      </c>
      <c r="GB16" s="91">
        <v>943.01</v>
      </c>
      <c r="GC16" s="231">
        <v>45184</v>
      </c>
      <c r="GD16" s="91">
        <v>943.01</v>
      </c>
      <c r="GE16" s="69" t="s">
        <v>651</v>
      </c>
      <c r="GF16" s="70">
        <v>47</v>
      </c>
      <c r="GG16" s="358">
        <f t="shared" si="23"/>
        <v>44321.47</v>
      </c>
      <c r="GJ16" s="103"/>
      <c r="GK16" s="15">
        <v>9</v>
      </c>
      <c r="GL16" s="331">
        <v>912.2</v>
      </c>
      <c r="GM16" s="231">
        <v>45190</v>
      </c>
      <c r="GN16" s="331">
        <v>912.2</v>
      </c>
      <c r="GO16" s="94" t="s">
        <v>694</v>
      </c>
      <c r="GP16" s="70">
        <v>43</v>
      </c>
      <c r="GQ16" s="358">
        <f t="shared" si="24"/>
        <v>39224.6</v>
      </c>
      <c r="GT16" s="103"/>
      <c r="GU16" s="15">
        <v>9</v>
      </c>
      <c r="GV16" s="91">
        <v>936.2</v>
      </c>
      <c r="GW16" s="231">
        <v>45192</v>
      </c>
      <c r="GX16" s="91">
        <v>936.2</v>
      </c>
      <c r="GY16" s="94" t="s">
        <v>715</v>
      </c>
      <c r="GZ16" s="70">
        <v>43</v>
      </c>
      <c r="HA16" s="358">
        <f t="shared" si="25"/>
        <v>40256.6</v>
      </c>
      <c r="HD16" s="998" t="s">
        <v>190</v>
      </c>
      <c r="HE16" s="15">
        <v>9</v>
      </c>
      <c r="HF16" s="91">
        <v>905.8</v>
      </c>
      <c r="HG16" s="231">
        <v>45191</v>
      </c>
      <c r="HH16" s="91">
        <v>905.8</v>
      </c>
      <c r="HI16" s="94" t="s">
        <v>700</v>
      </c>
      <c r="HJ16" s="70">
        <v>0</v>
      </c>
      <c r="HK16" s="358">
        <f t="shared" si="26"/>
        <v>0</v>
      </c>
      <c r="HN16" s="103"/>
      <c r="HO16" s="15">
        <v>9</v>
      </c>
      <c r="HP16" s="91">
        <v>911.7</v>
      </c>
      <c r="HQ16" s="231"/>
      <c r="HR16" s="91"/>
      <c r="HS16" s="1342"/>
      <c r="HT16" s="70"/>
      <c r="HU16" s="230">
        <f t="shared" si="27"/>
        <v>0</v>
      </c>
      <c r="HX16" s="93"/>
      <c r="HY16" s="15">
        <v>9</v>
      </c>
      <c r="HZ16" s="68">
        <v>918.1</v>
      </c>
      <c r="IA16" s="238">
        <v>45192</v>
      </c>
      <c r="IB16" s="68">
        <v>918.1</v>
      </c>
      <c r="IC16" s="69" t="s">
        <v>716</v>
      </c>
      <c r="ID16" s="70">
        <v>43</v>
      </c>
      <c r="IE16" s="358">
        <f t="shared" si="6"/>
        <v>39478.300000000003</v>
      </c>
      <c r="IH16" s="103"/>
      <c r="II16" s="15">
        <v>9</v>
      </c>
      <c r="IJ16" s="68">
        <v>895.8</v>
      </c>
      <c r="IK16" s="238">
        <v>45191</v>
      </c>
      <c r="IL16" s="68">
        <v>895.8</v>
      </c>
      <c r="IM16" s="69" t="s">
        <v>704</v>
      </c>
      <c r="IN16" s="70">
        <v>43</v>
      </c>
      <c r="IO16" s="230">
        <f t="shared" si="28"/>
        <v>38519.4</v>
      </c>
      <c r="IR16" s="93"/>
      <c r="IS16" s="15">
        <v>9</v>
      </c>
      <c r="IT16" s="68">
        <v>932.6</v>
      </c>
      <c r="IU16" s="238">
        <v>45191</v>
      </c>
      <c r="IV16" s="68">
        <v>932.6</v>
      </c>
      <c r="IW16" s="69" t="s">
        <v>701</v>
      </c>
      <c r="IX16" s="70">
        <v>43</v>
      </c>
      <c r="IY16" s="230">
        <f t="shared" si="29"/>
        <v>40101.800000000003</v>
      </c>
      <c r="IZ16" s="91"/>
      <c r="JA16" s="68"/>
      <c r="JB16" s="103"/>
      <c r="JC16" s="15">
        <v>9</v>
      </c>
      <c r="JD16" s="91">
        <v>889.5</v>
      </c>
      <c r="JE16" s="238">
        <v>45196</v>
      </c>
      <c r="JF16" s="91">
        <v>889.5</v>
      </c>
      <c r="JG16" s="69" t="s">
        <v>744</v>
      </c>
      <c r="JH16" s="70">
        <v>41</v>
      </c>
      <c r="JI16" s="358">
        <f t="shared" si="30"/>
        <v>36469.5</v>
      </c>
      <c r="JJ16" s="68"/>
      <c r="JL16" s="103"/>
      <c r="JM16" s="15">
        <v>9</v>
      </c>
      <c r="JN16" s="91">
        <v>919</v>
      </c>
      <c r="JO16" s="231"/>
      <c r="JP16" s="91"/>
      <c r="JQ16" s="1591"/>
      <c r="JR16" s="70"/>
      <c r="JS16" s="358">
        <f t="shared" si="31"/>
        <v>0</v>
      </c>
      <c r="JV16" s="93" t="s">
        <v>190</v>
      </c>
      <c r="JW16" s="15">
        <v>9</v>
      </c>
      <c r="JX16" s="68">
        <v>914.9</v>
      </c>
      <c r="JY16" s="238">
        <v>45198</v>
      </c>
      <c r="JZ16" s="68">
        <v>914.9</v>
      </c>
      <c r="KA16" s="69" t="s">
        <v>766</v>
      </c>
      <c r="KB16" s="70">
        <v>0</v>
      </c>
      <c r="KC16" s="358">
        <f t="shared" si="32"/>
        <v>0</v>
      </c>
      <c r="KF16" s="103"/>
      <c r="KG16" s="15">
        <v>9</v>
      </c>
      <c r="KH16" s="68">
        <v>897.2</v>
      </c>
      <c r="KI16" s="238">
        <v>45196</v>
      </c>
      <c r="KJ16" s="68">
        <v>897.2</v>
      </c>
      <c r="KK16" s="69" t="s">
        <v>742</v>
      </c>
      <c r="KL16" s="70">
        <v>41</v>
      </c>
      <c r="KM16" s="358">
        <f t="shared" si="33"/>
        <v>36785.200000000004</v>
      </c>
      <c r="KP16" s="103"/>
      <c r="KQ16" s="15">
        <v>9</v>
      </c>
      <c r="KR16" s="68">
        <v>868.6</v>
      </c>
      <c r="KS16" s="238">
        <v>45197</v>
      </c>
      <c r="KT16" s="68">
        <v>868.6</v>
      </c>
      <c r="KU16" s="69" t="s">
        <v>752</v>
      </c>
      <c r="KV16" s="70">
        <v>41</v>
      </c>
      <c r="KW16" s="358">
        <f t="shared" si="34"/>
        <v>35612.6</v>
      </c>
      <c r="KZ16" s="103"/>
      <c r="LA16" s="15">
        <v>9</v>
      </c>
      <c r="LB16" s="91">
        <v>869.1</v>
      </c>
      <c r="LC16" s="231">
        <v>45198</v>
      </c>
      <c r="LD16" s="91">
        <v>869.1</v>
      </c>
      <c r="LE16" s="94" t="s">
        <v>765</v>
      </c>
      <c r="LF16" s="70">
        <v>41</v>
      </c>
      <c r="LG16" s="358">
        <f t="shared" si="35"/>
        <v>35633.1</v>
      </c>
      <c r="LJ16" s="103"/>
      <c r="LK16" s="15">
        <v>9</v>
      </c>
      <c r="LL16" s="91">
        <v>874.1</v>
      </c>
      <c r="LM16" s="231">
        <v>45199</v>
      </c>
      <c r="LN16" s="91">
        <v>874.1</v>
      </c>
      <c r="LO16" s="94" t="s">
        <v>759</v>
      </c>
      <c r="LP16" s="70">
        <v>41</v>
      </c>
      <c r="LQ16" s="230">
        <f t="shared" si="36"/>
        <v>35838.1</v>
      </c>
      <c r="LT16" s="103"/>
      <c r="LU16" s="15">
        <v>9</v>
      </c>
      <c r="LV16" s="91">
        <v>923.96</v>
      </c>
      <c r="LW16" s="231">
        <v>45199</v>
      </c>
      <c r="LX16" s="91">
        <v>923.96</v>
      </c>
      <c r="LY16" s="94" t="s">
        <v>774</v>
      </c>
      <c r="LZ16" s="70">
        <v>41</v>
      </c>
      <c r="MA16" s="358">
        <f t="shared" si="37"/>
        <v>37882.36</v>
      </c>
      <c r="MB16" s="358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973" t="s">
        <v>190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290</v>
      </c>
      <c r="R17" s="70">
        <v>0</v>
      </c>
      <c r="S17" s="358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293</v>
      </c>
      <c r="AB17" s="70">
        <v>43</v>
      </c>
      <c r="AC17" s="358">
        <f t="shared" si="9"/>
        <v>37840</v>
      </c>
      <c r="AF17" s="103"/>
      <c r="AG17" s="15">
        <v>10</v>
      </c>
      <c r="AH17" s="282">
        <v>929.9</v>
      </c>
      <c r="AI17" s="231">
        <v>45173</v>
      </c>
      <c r="AJ17" s="282">
        <v>929.9</v>
      </c>
      <c r="AK17" s="94" t="s">
        <v>520</v>
      </c>
      <c r="AL17" s="70">
        <v>43</v>
      </c>
      <c r="AM17" s="70">
        <f t="shared" si="10"/>
        <v>39985.699999999997</v>
      </c>
      <c r="AP17" s="103"/>
      <c r="AQ17" s="15">
        <v>10</v>
      </c>
      <c r="AR17" s="68">
        <v>908.1</v>
      </c>
      <c r="AS17" s="231">
        <v>45175</v>
      </c>
      <c r="AT17" s="68">
        <v>908.1</v>
      </c>
      <c r="AU17" s="94" t="s">
        <v>541</v>
      </c>
      <c r="AV17" s="70">
        <v>43</v>
      </c>
      <c r="AW17" s="70">
        <f t="shared" si="11"/>
        <v>39048.300000000003</v>
      </c>
      <c r="AZ17" s="973" t="s">
        <v>190</v>
      </c>
      <c r="BA17" s="15">
        <v>10</v>
      </c>
      <c r="BB17" s="91">
        <v>870</v>
      </c>
      <c r="BC17" s="231">
        <v>45181</v>
      </c>
      <c r="BD17" s="91">
        <v>870</v>
      </c>
      <c r="BE17" s="94" t="s">
        <v>623</v>
      </c>
      <c r="BF17" s="70">
        <v>0</v>
      </c>
      <c r="BG17" s="358">
        <f t="shared" si="12"/>
        <v>0</v>
      </c>
      <c r="BJ17" s="103"/>
      <c r="BK17" s="15">
        <v>10</v>
      </c>
      <c r="BL17" s="91">
        <v>954.35</v>
      </c>
      <c r="BM17" s="231">
        <v>45178</v>
      </c>
      <c r="BN17" s="91">
        <v>954.35</v>
      </c>
      <c r="BO17" s="94" t="s">
        <v>589</v>
      </c>
      <c r="BP17" s="70">
        <v>42.5</v>
      </c>
      <c r="BQ17" s="434">
        <f t="shared" si="13"/>
        <v>40559.875</v>
      </c>
      <c r="BR17" s="358"/>
      <c r="BT17" s="103"/>
      <c r="BU17" s="15">
        <v>10</v>
      </c>
      <c r="BV17" s="91">
        <v>881.8</v>
      </c>
      <c r="BW17" s="275">
        <v>45175</v>
      </c>
      <c r="BX17" s="91">
        <v>881.8</v>
      </c>
      <c r="BY17" s="499" t="s">
        <v>540</v>
      </c>
      <c r="BZ17" s="276">
        <v>43</v>
      </c>
      <c r="CA17" s="358">
        <f t="shared" si="5"/>
        <v>37917.4</v>
      </c>
      <c r="CD17" s="202"/>
      <c r="CE17" s="15">
        <v>10</v>
      </c>
      <c r="CF17" s="91">
        <v>922.6</v>
      </c>
      <c r="CG17" s="275">
        <v>45175</v>
      </c>
      <c r="CH17" s="91">
        <v>922.6</v>
      </c>
      <c r="CI17" s="277" t="s">
        <v>544</v>
      </c>
      <c r="CJ17" s="276">
        <v>43</v>
      </c>
      <c r="CK17" s="358">
        <f t="shared" si="14"/>
        <v>39671.800000000003</v>
      </c>
      <c r="CN17" s="998"/>
      <c r="CO17" s="15">
        <v>10</v>
      </c>
      <c r="CP17" s="91">
        <v>940.7</v>
      </c>
      <c r="CQ17" s="275">
        <v>45178</v>
      </c>
      <c r="CR17" s="91">
        <v>940.7</v>
      </c>
      <c r="CS17" s="277" t="s">
        <v>595</v>
      </c>
      <c r="CT17" s="276">
        <v>42.5</v>
      </c>
      <c r="CU17" s="363">
        <f t="shared" si="58"/>
        <v>39979.75</v>
      </c>
      <c r="CX17" s="103"/>
      <c r="CY17" s="15">
        <v>10</v>
      </c>
      <c r="CZ17" s="91">
        <v>938</v>
      </c>
      <c r="DA17" s="231">
        <v>45177</v>
      </c>
      <c r="DB17" s="91">
        <v>938</v>
      </c>
      <c r="DC17" s="94" t="s">
        <v>577</v>
      </c>
      <c r="DD17" s="70">
        <v>45</v>
      </c>
      <c r="DE17" s="358">
        <f t="shared" si="15"/>
        <v>42210</v>
      </c>
      <c r="DH17" s="103"/>
      <c r="DI17" s="15">
        <v>10</v>
      </c>
      <c r="DJ17" s="91">
        <v>945.28</v>
      </c>
      <c r="DK17" s="231">
        <v>45181</v>
      </c>
      <c r="DL17" s="91">
        <v>945.28</v>
      </c>
      <c r="DM17" s="94" t="s">
        <v>614</v>
      </c>
      <c r="DN17" s="70">
        <v>46</v>
      </c>
      <c r="DO17" s="358">
        <f t="shared" si="16"/>
        <v>43482.879999999997</v>
      </c>
      <c r="DR17" s="103"/>
      <c r="DS17" s="15">
        <v>10</v>
      </c>
      <c r="DT17" s="91">
        <v>888.6</v>
      </c>
      <c r="DU17" s="275">
        <v>45180</v>
      </c>
      <c r="DV17" s="91">
        <v>888.6</v>
      </c>
      <c r="DW17" s="277" t="s">
        <v>607</v>
      </c>
      <c r="DX17" s="276">
        <v>46</v>
      </c>
      <c r="DY17" s="358">
        <f t="shared" si="17"/>
        <v>40875.599999999999</v>
      </c>
      <c r="EB17" s="103"/>
      <c r="EC17" s="15">
        <v>10</v>
      </c>
      <c r="ED17" s="68">
        <v>919</v>
      </c>
      <c r="EE17" s="238"/>
      <c r="EF17" s="68"/>
      <c r="EG17" s="1341"/>
      <c r="EH17" s="70"/>
      <c r="EI17" s="358">
        <f t="shared" si="18"/>
        <v>0</v>
      </c>
      <c r="EL17" s="103"/>
      <c r="EM17" s="15">
        <v>10</v>
      </c>
      <c r="EN17" s="68">
        <v>825</v>
      </c>
      <c r="EO17" s="238">
        <v>45183</v>
      </c>
      <c r="EP17" s="68">
        <v>825</v>
      </c>
      <c r="EQ17" s="69" t="s">
        <v>642</v>
      </c>
      <c r="ER17" s="70">
        <v>46</v>
      </c>
      <c r="ES17" s="358">
        <f t="shared" si="19"/>
        <v>37950</v>
      </c>
      <c r="EV17" s="93" t="s">
        <v>190</v>
      </c>
      <c r="EW17" s="15">
        <v>10</v>
      </c>
      <c r="EX17" s="91">
        <v>930.8</v>
      </c>
      <c r="EY17" s="231">
        <v>45182</v>
      </c>
      <c r="EZ17" s="91">
        <v>930.8</v>
      </c>
      <c r="FA17" s="69" t="s">
        <v>644</v>
      </c>
      <c r="FB17" s="70">
        <v>0</v>
      </c>
      <c r="FC17" s="358">
        <f t="shared" si="20"/>
        <v>0</v>
      </c>
      <c r="FF17" s="93"/>
      <c r="FG17" s="15">
        <v>10</v>
      </c>
      <c r="FH17" s="91">
        <v>896.7</v>
      </c>
      <c r="FI17" s="231">
        <v>45185</v>
      </c>
      <c r="FJ17" s="91">
        <v>896.7</v>
      </c>
      <c r="FK17" s="69" t="s">
        <v>664</v>
      </c>
      <c r="FL17" s="70">
        <v>45</v>
      </c>
      <c r="FM17" s="230">
        <f t="shared" si="21"/>
        <v>40351.5</v>
      </c>
      <c r="FP17" s="103"/>
      <c r="FQ17" s="15">
        <v>10</v>
      </c>
      <c r="FR17" s="91">
        <v>884</v>
      </c>
      <c r="FS17" s="231">
        <v>45189</v>
      </c>
      <c r="FT17" s="91">
        <v>884</v>
      </c>
      <c r="FU17" s="69" t="s">
        <v>691</v>
      </c>
      <c r="FV17" s="70">
        <v>43</v>
      </c>
      <c r="FW17" s="230">
        <f t="shared" si="22"/>
        <v>38012</v>
      </c>
      <c r="FZ17" s="103"/>
      <c r="GA17" s="15">
        <v>10</v>
      </c>
      <c r="GB17" s="91">
        <v>927.59</v>
      </c>
      <c r="GC17" s="231">
        <v>45184</v>
      </c>
      <c r="GD17" s="91">
        <v>927.59</v>
      </c>
      <c r="GE17" s="69" t="s">
        <v>651</v>
      </c>
      <c r="GF17" s="70">
        <v>47</v>
      </c>
      <c r="GG17" s="358">
        <f t="shared" si="23"/>
        <v>43596.73</v>
      </c>
      <c r="GJ17" s="103"/>
      <c r="GK17" s="15">
        <v>10</v>
      </c>
      <c r="GL17" s="331">
        <v>917.6</v>
      </c>
      <c r="GM17" s="231">
        <v>45190</v>
      </c>
      <c r="GN17" s="331">
        <v>917.6</v>
      </c>
      <c r="GO17" s="94" t="s">
        <v>694</v>
      </c>
      <c r="GP17" s="70">
        <v>43</v>
      </c>
      <c r="GQ17" s="358">
        <f t="shared" si="24"/>
        <v>39456.800000000003</v>
      </c>
      <c r="GT17" s="103"/>
      <c r="GU17" s="15">
        <v>10</v>
      </c>
      <c r="GV17" s="91">
        <v>932.1</v>
      </c>
      <c r="GW17" s="231">
        <v>45192</v>
      </c>
      <c r="GX17" s="91">
        <v>932.1</v>
      </c>
      <c r="GY17" s="94" t="s">
        <v>715</v>
      </c>
      <c r="GZ17" s="70">
        <v>43</v>
      </c>
      <c r="HA17" s="358">
        <f t="shared" si="25"/>
        <v>40080.300000000003</v>
      </c>
      <c r="HD17" s="998" t="s">
        <v>190</v>
      </c>
      <c r="HE17" s="15">
        <v>10</v>
      </c>
      <c r="HF17" s="91">
        <v>932.1</v>
      </c>
      <c r="HG17" s="231">
        <v>45191</v>
      </c>
      <c r="HH17" s="91">
        <v>932.1</v>
      </c>
      <c r="HI17" s="94" t="s">
        <v>700</v>
      </c>
      <c r="HJ17" s="70">
        <v>0</v>
      </c>
      <c r="HK17" s="358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1342"/>
      <c r="HT17" s="70"/>
      <c r="HU17" s="230">
        <f t="shared" si="27"/>
        <v>0</v>
      </c>
      <c r="HX17" s="93"/>
      <c r="HY17" s="15">
        <v>10</v>
      </c>
      <c r="HZ17" s="68">
        <v>914.4</v>
      </c>
      <c r="IA17" s="238">
        <v>45192</v>
      </c>
      <c r="IB17" s="68">
        <v>914.4</v>
      </c>
      <c r="IC17" s="69" t="s">
        <v>716</v>
      </c>
      <c r="ID17" s="70">
        <v>43</v>
      </c>
      <c r="IE17" s="358">
        <f t="shared" si="6"/>
        <v>39319.199999999997</v>
      </c>
      <c r="IH17" s="103"/>
      <c r="II17" s="15">
        <v>10</v>
      </c>
      <c r="IJ17" s="68">
        <v>871.3</v>
      </c>
      <c r="IK17" s="238">
        <v>45191</v>
      </c>
      <c r="IL17" s="68">
        <v>871.3</v>
      </c>
      <c r="IM17" s="69" t="s">
        <v>704</v>
      </c>
      <c r="IN17" s="70">
        <v>43</v>
      </c>
      <c r="IO17" s="230">
        <f t="shared" si="28"/>
        <v>37465.9</v>
      </c>
      <c r="IR17" s="93"/>
      <c r="IS17" s="15">
        <v>10</v>
      </c>
      <c r="IT17" s="68">
        <v>884.5</v>
      </c>
      <c r="IU17" s="238">
        <v>45191</v>
      </c>
      <c r="IV17" s="68">
        <v>884.5</v>
      </c>
      <c r="IW17" s="69" t="s">
        <v>701</v>
      </c>
      <c r="IX17" s="70">
        <v>43</v>
      </c>
      <c r="IY17" s="230">
        <f t="shared" si="29"/>
        <v>38033.5</v>
      </c>
      <c r="IZ17" s="91"/>
      <c r="JA17" s="68"/>
      <c r="JB17" s="103"/>
      <c r="JC17" s="15">
        <v>10</v>
      </c>
      <c r="JD17" s="91">
        <v>920.3</v>
      </c>
      <c r="JE17" s="1316">
        <v>45196</v>
      </c>
      <c r="JF17" s="91">
        <v>920.3</v>
      </c>
      <c r="JG17" s="69" t="s">
        <v>744</v>
      </c>
      <c r="JH17" s="70">
        <v>41</v>
      </c>
      <c r="JI17" s="358">
        <f t="shared" si="30"/>
        <v>37732.299999999996</v>
      </c>
      <c r="JJ17" s="68"/>
      <c r="JL17" s="103"/>
      <c r="JM17" s="15">
        <v>10</v>
      </c>
      <c r="JN17" s="91">
        <v>912.6</v>
      </c>
      <c r="JO17" s="231"/>
      <c r="JP17" s="91"/>
      <c r="JQ17" s="1591"/>
      <c r="JR17" s="70"/>
      <c r="JS17" s="358">
        <f t="shared" si="31"/>
        <v>0</v>
      </c>
      <c r="JV17" s="1317" t="s">
        <v>190</v>
      </c>
      <c r="JW17" s="15">
        <v>10</v>
      </c>
      <c r="JX17" s="68">
        <v>897.7</v>
      </c>
      <c r="JY17" s="238">
        <v>45197</v>
      </c>
      <c r="JZ17" s="68">
        <v>897.7</v>
      </c>
      <c r="KA17" s="69" t="s">
        <v>757</v>
      </c>
      <c r="KB17" s="70">
        <v>0</v>
      </c>
      <c r="KC17" s="358">
        <f t="shared" si="32"/>
        <v>0</v>
      </c>
      <c r="KF17" s="103"/>
      <c r="KG17" s="15">
        <v>10</v>
      </c>
      <c r="KH17" s="68">
        <v>892.7</v>
      </c>
      <c r="KI17" s="238">
        <v>45196</v>
      </c>
      <c r="KJ17" s="68">
        <v>892.7</v>
      </c>
      <c r="KK17" s="69" t="s">
        <v>742</v>
      </c>
      <c r="KL17" s="70">
        <v>41</v>
      </c>
      <c r="KM17" s="358">
        <f t="shared" si="33"/>
        <v>36600.700000000004</v>
      </c>
      <c r="KP17" s="103"/>
      <c r="KQ17" s="15">
        <v>10</v>
      </c>
      <c r="KR17" s="68">
        <v>932.1</v>
      </c>
      <c r="KS17" s="238">
        <v>45197</v>
      </c>
      <c r="KT17" s="68">
        <v>932.1</v>
      </c>
      <c r="KU17" s="69" t="s">
        <v>752</v>
      </c>
      <c r="KV17" s="70">
        <v>41</v>
      </c>
      <c r="KW17" s="358">
        <f t="shared" si="34"/>
        <v>38216.1</v>
      </c>
      <c r="KZ17" s="103"/>
      <c r="LA17" s="15">
        <v>10</v>
      </c>
      <c r="LB17" s="91">
        <v>876.8</v>
      </c>
      <c r="LC17" s="231">
        <v>45198</v>
      </c>
      <c r="LD17" s="91">
        <v>876.8</v>
      </c>
      <c r="LE17" s="94" t="s">
        <v>765</v>
      </c>
      <c r="LF17" s="70">
        <v>41</v>
      </c>
      <c r="LG17" s="358">
        <f t="shared" si="35"/>
        <v>35948.799999999996</v>
      </c>
      <c r="LJ17" s="103"/>
      <c r="LK17" s="15">
        <v>10</v>
      </c>
      <c r="LL17" s="91">
        <v>866.8</v>
      </c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>
        <v>938.02</v>
      </c>
      <c r="LW17" s="231">
        <v>45199</v>
      </c>
      <c r="LX17" s="68">
        <v>938.02</v>
      </c>
      <c r="LY17" s="94" t="s">
        <v>774</v>
      </c>
      <c r="LZ17" s="70">
        <v>41</v>
      </c>
      <c r="MA17" s="358">
        <f t="shared" si="37"/>
        <v>38458.82</v>
      </c>
      <c r="MB17" s="358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972" t="s">
        <v>190</v>
      </c>
      <c r="M18" s="15">
        <v>11</v>
      </c>
      <c r="N18" s="68">
        <v>910.8</v>
      </c>
      <c r="O18" s="983">
        <v>45177</v>
      </c>
      <c r="P18" s="985">
        <v>910.8</v>
      </c>
      <c r="Q18" s="984" t="s">
        <v>575</v>
      </c>
      <c r="R18" s="891">
        <v>0</v>
      </c>
      <c r="S18" s="358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287</v>
      </c>
      <c r="AB18" s="70">
        <v>43</v>
      </c>
      <c r="AC18" s="358">
        <f t="shared" si="9"/>
        <v>38188.300000000003</v>
      </c>
      <c r="AF18" s="103"/>
      <c r="AG18" s="15">
        <v>11</v>
      </c>
      <c r="AH18" s="282">
        <v>883.6</v>
      </c>
      <c r="AI18" s="231">
        <v>45173</v>
      </c>
      <c r="AJ18" s="282">
        <v>883.6</v>
      </c>
      <c r="AK18" s="94" t="s">
        <v>529</v>
      </c>
      <c r="AL18" s="70">
        <v>43</v>
      </c>
      <c r="AM18" s="70">
        <f t="shared" si="10"/>
        <v>37994.800000000003</v>
      </c>
      <c r="AP18" s="103"/>
      <c r="AQ18" s="15">
        <v>11</v>
      </c>
      <c r="AR18" s="91">
        <v>891.8</v>
      </c>
      <c r="AS18" s="231">
        <v>45174</v>
      </c>
      <c r="AT18" s="91">
        <v>891.8</v>
      </c>
      <c r="AU18" s="94" t="s">
        <v>532</v>
      </c>
      <c r="AV18" s="70">
        <v>43</v>
      </c>
      <c r="AW18" s="70">
        <f t="shared" si="11"/>
        <v>38347.4</v>
      </c>
      <c r="AX18" s="74" t="s">
        <v>514</v>
      </c>
      <c r="AZ18" s="973" t="s">
        <v>190</v>
      </c>
      <c r="BA18" s="15">
        <v>11</v>
      </c>
      <c r="BB18" s="91">
        <v>919</v>
      </c>
      <c r="BC18" s="231">
        <v>45181</v>
      </c>
      <c r="BD18" s="91">
        <v>919</v>
      </c>
      <c r="BE18" s="94" t="s">
        <v>618</v>
      </c>
      <c r="BF18" s="70">
        <v>0</v>
      </c>
      <c r="BG18" s="358">
        <f t="shared" si="12"/>
        <v>0</v>
      </c>
      <c r="BJ18" s="103"/>
      <c r="BK18" s="15">
        <v>11</v>
      </c>
      <c r="BL18" s="91">
        <v>938.93</v>
      </c>
      <c r="BM18" s="231">
        <v>45176</v>
      </c>
      <c r="BN18" s="91">
        <v>938.93</v>
      </c>
      <c r="BO18" s="94" t="s">
        <v>567</v>
      </c>
      <c r="BP18" s="70">
        <v>44</v>
      </c>
      <c r="BQ18" s="434">
        <f t="shared" si="13"/>
        <v>41312.92</v>
      </c>
      <c r="BR18" s="358"/>
      <c r="BT18" s="103"/>
      <c r="BU18" s="15">
        <v>11</v>
      </c>
      <c r="BV18" s="91">
        <v>878.2</v>
      </c>
      <c r="BW18" s="275">
        <v>45175</v>
      </c>
      <c r="BX18" s="91">
        <v>878.2</v>
      </c>
      <c r="BY18" s="499" t="s">
        <v>543</v>
      </c>
      <c r="BZ18" s="276">
        <v>43</v>
      </c>
      <c r="CA18" s="358">
        <f t="shared" si="5"/>
        <v>37762.6</v>
      </c>
      <c r="CD18" s="202"/>
      <c r="CE18" s="15">
        <v>11</v>
      </c>
      <c r="CF18" s="68">
        <v>927.1</v>
      </c>
      <c r="CG18" s="275">
        <v>45175</v>
      </c>
      <c r="CH18" s="68">
        <v>927.1</v>
      </c>
      <c r="CI18" s="277" t="s">
        <v>545</v>
      </c>
      <c r="CJ18" s="276">
        <v>43</v>
      </c>
      <c r="CK18" s="358">
        <f t="shared" si="14"/>
        <v>39865.300000000003</v>
      </c>
      <c r="CN18" s="998"/>
      <c r="CO18" s="15">
        <v>11</v>
      </c>
      <c r="CP18" s="68">
        <v>909.9</v>
      </c>
      <c r="CQ18" s="275">
        <v>45178</v>
      </c>
      <c r="CR18" s="68">
        <v>909</v>
      </c>
      <c r="CS18" s="277" t="s">
        <v>595</v>
      </c>
      <c r="CT18" s="276">
        <v>42.5</v>
      </c>
      <c r="CU18" s="363">
        <f t="shared" si="58"/>
        <v>38632.5</v>
      </c>
      <c r="CX18" s="103"/>
      <c r="CY18" s="15">
        <v>11</v>
      </c>
      <c r="CZ18" s="91">
        <v>914</v>
      </c>
      <c r="DA18" s="231">
        <v>45177</v>
      </c>
      <c r="DB18" s="91">
        <v>914</v>
      </c>
      <c r="DC18" s="94" t="s">
        <v>577</v>
      </c>
      <c r="DD18" s="70">
        <v>45</v>
      </c>
      <c r="DE18" s="358">
        <f t="shared" si="15"/>
        <v>41130</v>
      </c>
      <c r="DH18" s="103"/>
      <c r="DI18" s="15">
        <v>11</v>
      </c>
      <c r="DJ18" s="91">
        <v>889.04</v>
      </c>
      <c r="DK18" s="231">
        <v>45181</v>
      </c>
      <c r="DL18" s="91">
        <v>889.04</v>
      </c>
      <c r="DM18" s="94" t="s">
        <v>612</v>
      </c>
      <c r="DN18" s="70">
        <v>46</v>
      </c>
      <c r="DO18" s="358">
        <f t="shared" si="16"/>
        <v>40895.839999999997</v>
      </c>
      <c r="DR18" s="103"/>
      <c r="DS18" s="15">
        <v>11</v>
      </c>
      <c r="DT18" s="68">
        <v>943.9</v>
      </c>
      <c r="DU18" s="275">
        <v>45180</v>
      </c>
      <c r="DV18" s="68">
        <v>943.9</v>
      </c>
      <c r="DW18" s="277" t="s">
        <v>608</v>
      </c>
      <c r="DX18" s="276">
        <v>46</v>
      </c>
      <c r="DY18" s="358">
        <f t="shared" si="17"/>
        <v>43419.4</v>
      </c>
      <c r="EB18" s="103"/>
      <c r="EC18" s="15">
        <v>11</v>
      </c>
      <c r="ED18" s="68">
        <v>909</v>
      </c>
      <c r="EE18" s="238"/>
      <c r="EF18" s="68"/>
      <c r="EG18" s="1341"/>
      <c r="EH18" s="70"/>
      <c r="EI18" s="358">
        <f t="shared" si="18"/>
        <v>0</v>
      </c>
      <c r="EL18" s="103"/>
      <c r="EM18" s="15">
        <v>11</v>
      </c>
      <c r="EN18" s="68">
        <v>823</v>
      </c>
      <c r="EO18" s="238">
        <v>45183</v>
      </c>
      <c r="EP18" s="68">
        <v>823</v>
      </c>
      <c r="EQ18" s="69" t="s">
        <v>636</v>
      </c>
      <c r="ER18" s="70">
        <v>46</v>
      </c>
      <c r="ES18" s="358">
        <f t="shared" si="19"/>
        <v>37858</v>
      </c>
      <c r="EV18" s="93" t="s">
        <v>190</v>
      </c>
      <c r="EW18" s="15">
        <v>11</v>
      </c>
      <c r="EX18" s="91">
        <v>925.3</v>
      </c>
      <c r="EY18" s="231">
        <v>45182</v>
      </c>
      <c r="EZ18" s="91">
        <v>925.3</v>
      </c>
      <c r="FA18" s="69" t="s">
        <v>644</v>
      </c>
      <c r="FB18" s="70">
        <v>0</v>
      </c>
      <c r="FC18" s="358">
        <f t="shared" si="20"/>
        <v>0</v>
      </c>
      <c r="FF18" s="93"/>
      <c r="FG18" s="15">
        <v>11</v>
      </c>
      <c r="FH18" s="91">
        <v>899.9</v>
      </c>
      <c r="FI18" s="231">
        <v>45185</v>
      </c>
      <c r="FJ18" s="91">
        <v>899.9</v>
      </c>
      <c r="FK18" s="69" t="s">
        <v>665</v>
      </c>
      <c r="FL18" s="70">
        <v>45</v>
      </c>
      <c r="FM18" s="230">
        <f t="shared" si="21"/>
        <v>40495.5</v>
      </c>
      <c r="FP18" s="103"/>
      <c r="FQ18" s="15">
        <v>11</v>
      </c>
      <c r="FR18" s="91">
        <v>913.1</v>
      </c>
      <c r="FS18" s="231">
        <v>45189</v>
      </c>
      <c r="FT18" s="91">
        <v>913.1</v>
      </c>
      <c r="FU18" s="69" t="s">
        <v>680</v>
      </c>
      <c r="FV18" s="70">
        <v>44</v>
      </c>
      <c r="FW18" s="230">
        <f t="shared" si="22"/>
        <v>40176.400000000001</v>
      </c>
      <c r="FX18" s="70"/>
      <c r="FZ18" s="103"/>
      <c r="GA18" s="15">
        <v>11</v>
      </c>
      <c r="GB18" s="91">
        <v>929.41</v>
      </c>
      <c r="GC18" s="231">
        <v>45184</v>
      </c>
      <c r="GD18" s="91">
        <v>929.41</v>
      </c>
      <c r="GE18" s="69" t="s">
        <v>652</v>
      </c>
      <c r="GF18" s="70">
        <v>47</v>
      </c>
      <c r="GG18" s="358">
        <f t="shared" si="23"/>
        <v>43682.27</v>
      </c>
      <c r="GJ18" s="103"/>
      <c r="GK18" s="15">
        <v>11</v>
      </c>
      <c r="GL18" s="331">
        <v>885.4</v>
      </c>
      <c r="GM18" s="231">
        <v>45190</v>
      </c>
      <c r="GN18" s="331">
        <v>885.4</v>
      </c>
      <c r="GO18" s="94" t="s">
        <v>693</v>
      </c>
      <c r="GP18" s="70">
        <v>43</v>
      </c>
      <c r="GQ18" s="358">
        <f t="shared" si="24"/>
        <v>38072.199999999997</v>
      </c>
      <c r="GT18" s="103"/>
      <c r="GU18" s="15">
        <v>11</v>
      </c>
      <c r="GV18" s="91">
        <v>912.6</v>
      </c>
      <c r="GW18" s="231">
        <v>45192</v>
      </c>
      <c r="GX18" s="91">
        <v>923.6</v>
      </c>
      <c r="GY18" s="94" t="s">
        <v>710</v>
      </c>
      <c r="GZ18" s="70">
        <v>43</v>
      </c>
      <c r="HA18" s="358">
        <f t="shared" si="25"/>
        <v>39714.800000000003</v>
      </c>
      <c r="HD18" s="998" t="s">
        <v>190</v>
      </c>
      <c r="HE18" s="15">
        <v>11</v>
      </c>
      <c r="HF18" s="91">
        <v>936.7</v>
      </c>
      <c r="HG18" s="231">
        <v>45195</v>
      </c>
      <c r="HH18" s="91">
        <v>936.7</v>
      </c>
      <c r="HI18" s="94" t="s">
        <v>721</v>
      </c>
      <c r="HJ18" s="70">
        <v>0</v>
      </c>
      <c r="HK18" s="358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1342"/>
      <c r="HT18" s="70"/>
      <c r="HU18" s="230">
        <f t="shared" si="27"/>
        <v>0</v>
      </c>
      <c r="HX18" s="93"/>
      <c r="HY18" s="15">
        <v>11</v>
      </c>
      <c r="HZ18" s="68">
        <v>864.1</v>
      </c>
      <c r="IA18" s="238">
        <v>45194</v>
      </c>
      <c r="IB18" s="68">
        <v>864.1</v>
      </c>
      <c r="IC18" s="69" t="s">
        <v>719</v>
      </c>
      <c r="ID18" s="70">
        <v>43</v>
      </c>
      <c r="IE18" s="358">
        <f t="shared" si="6"/>
        <v>37156.300000000003</v>
      </c>
      <c r="IH18" s="103"/>
      <c r="II18" s="15">
        <v>11</v>
      </c>
      <c r="IJ18" s="68">
        <v>913.5</v>
      </c>
      <c r="IK18" s="238">
        <v>45191</v>
      </c>
      <c r="IL18" s="68">
        <v>913.5</v>
      </c>
      <c r="IM18" s="69" t="s">
        <v>705</v>
      </c>
      <c r="IN18" s="70">
        <v>43</v>
      </c>
      <c r="IO18" s="230">
        <f t="shared" si="28"/>
        <v>39280.5</v>
      </c>
      <c r="IR18" s="103"/>
      <c r="IS18" s="15">
        <v>11</v>
      </c>
      <c r="IT18" s="68">
        <v>937.6</v>
      </c>
      <c r="IU18" s="238">
        <v>45191</v>
      </c>
      <c r="IV18" s="68">
        <v>937.6</v>
      </c>
      <c r="IW18" s="69" t="s">
        <v>684</v>
      </c>
      <c r="IX18" s="70">
        <v>43</v>
      </c>
      <c r="IY18" s="230">
        <f t="shared" si="29"/>
        <v>40316.800000000003</v>
      </c>
      <c r="IZ18" s="91"/>
      <c r="JA18" s="68"/>
      <c r="JB18" s="103"/>
      <c r="JC18" s="15">
        <v>11</v>
      </c>
      <c r="JD18" s="91">
        <v>924.9</v>
      </c>
      <c r="JE18" s="238">
        <v>45196</v>
      </c>
      <c r="JF18" s="91">
        <v>924.9</v>
      </c>
      <c r="JG18" s="69" t="s">
        <v>744</v>
      </c>
      <c r="JH18" s="70">
        <v>41</v>
      </c>
      <c r="JI18" s="358">
        <f t="shared" si="30"/>
        <v>37920.9</v>
      </c>
      <c r="JJ18" s="102"/>
      <c r="JL18" s="103"/>
      <c r="JM18" s="15">
        <v>11</v>
      </c>
      <c r="JN18" s="91">
        <v>908.1</v>
      </c>
      <c r="JO18" s="231"/>
      <c r="JP18" s="91"/>
      <c r="JQ18" s="1591"/>
      <c r="JR18" s="70"/>
      <c r="JS18" s="358">
        <f t="shared" si="31"/>
        <v>0</v>
      </c>
      <c r="JV18" s="103" t="s">
        <v>547</v>
      </c>
      <c r="JW18" s="15">
        <v>11</v>
      </c>
      <c r="JX18" s="68">
        <v>897.2</v>
      </c>
      <c r="JY18" s="238">
        <v>45197</v>
      </c>
      <c r="JZ18" s="68">
        <v>897.2</v>
      </c>
      <c r="KA18" s="69" t="s">
        <v>751</v>
      </c>
      <c r="KB18" s="70">
        <v>0</v>
      </c>
      <c r="KC18" s="358">
        <f t="shared" si="32"/>
        <v>0</v>
      </c>
      <c r="KF18" s="103"/>
      <c r="KG18" s="15">
        <v>11</v>
      </c>
      <c r="KH18" s="68">
        <v>929.4</v>
      </c>
      <c r="KI18" s="238">
        <v>45196</v>
      </c>
      <c r="KJ18" s="68">
        <v>929.4</v>
      </c>
      <c r="KK18" s="69" t="s">
        <v>743</v>
      </c>
      <c r="KL18" s="70">
        <v>41</v>
      </c>
      <c r="KM18" s="358">
        <f t="shared" si="33"/>
        <v>38105.4</v>
      </c>
      <c r="KP18" s="103"/>
      <c r="KQ18" s="15">
        <v>11</v>
      </c>
      <c r="KR18" s="68">
        <v>891.8</v>
      </c>
      <c r="KS18" s="238">
        <v>45197</v>
      </c>
      <c r="KT18" s="68">
        <v>891.8</v>
      </c>
      <c r="KU18" s="69" t="s">
        <v>756</v>
      </c>
      <c r="KV18" s="70">
        <v>41</v>
      </c>
      <c r="KW18" s="358">
        <f t="shared" si="34"/>
        <v>36563.799999999996</v>
      </c>
      <c r="KZ18" s="103"/>
      <c r="LA18" s="15">
        <v>11</v>
      </c>
      <c r="LB18" s="91">
        <v>928</v>
      </c>
      <c r="LC18" s="231">
        <v>45198</v>
      </c>
      <c r="LD18" s="91">
        <v>928</v>
      </c>
      <c r="LE18" s="94" t="s">
        <v>753</v>
      </c>
      <c r="LF18" s="70">
        <v>41</v>
      </c>
      <c r="LG18" s="358">
        <f t="shared" si="35"/>
        <v>38048</v>
      </c>
      <c r="LJ18" s="103"/>
      <c r="LK18" s="15">
        <v>11</v>
      </c>
      <c r="LL18" s="91">
        <v>870</v>
      </c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>
        <v>949.82</v>
      </c>
      <c r="LW18" s="231">
        <v>45199</v>
      </c>
      <c r="LX18" s="91">
        <v>949.82</v>
      </c>
      <c r="LY18" s="94" t="s">
        <v>776</v>
      </c>
      <c r="LZ18" s="70">
        <v>41</v>
      </c>
      <c r="MA18" s="358">
        <f t="shared" si="37"/>
        <v>38942.620000000003</v>
      </c>
      <c r="MB18" s="358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972" t="s">
        <v>262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285</v>
      </c>
      <c r="R19" s="70">
        <v>0</v>
      </c>
      <c r="S19" s="358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287</v>
      </c>
      <c r="AB19" s="70">
        <v>43</v>
      </c>
      <c r="AC19" s="358">
        <f t="shared" si="9"/>
        <v>37526.1</v>
      </c>
      <c r="AF19" s="103"/>
      <c r="AG19" s="15">
        <v>12</v>
      </c>
      <c r="AH19" s="282">
        <v>906.3</v>
      </c>
      <c r="AI19" s="231">
        <v>45173</v>
      </c>
      <c r="AJ19" s="282">
        <v>906.3</v>
      </c>
      <c r="AK19" s="94" t="s">
        <v>524</v>
      </c>
      <c r="AL19" s="70">
        <v>43</v>
      </c>
      <c r="AM19" s="70">
        <f t="shared" si="10"/>
        <v>38970.9</v>
      </c>
      <c r="AN19" s="74" t="s">
        <v>514</v>
      </c>
      <c r="AP19" s="103"/>
      <c r="AQ19" s="15">
        <v>12</v>
      </c>
      <c r="AR19" s="91">
        <v>896.3</v>
      </c>
      <c r="AS19" s="231">
        <v>45175</v>
      </c>
      <c r="AT19" s="91">
        <v>896.3</v>
      </c>
      <c r="AU19" s="94" t="s">
        <v>549</v>
      </c>
      <c r="AV19" s="70">
        <v>43</v>
      </c>
      <c r="AW19" s="70">
        <f t="shared" si="11"/>
        <v>38540.9</v>
      </c>
      <c r="AZ19" s="1272" t="s">
        <v>547</v>
      </c>
      <c r="BA19" s="15">
        <v>12</v>
      </c>
      <c r="BB19" s="91">
        <v>927.1</v>
      </c>
      <c r="BC19" s="231">
        <v>45176</v>
      </c>
      <c r="BD19" s="91">
        <v>927.1</v>
      </c>
      <c r="BE19" s="94" t="s">
        <v>552</v>
      </c>
      <c r="BF19" s="70">
        <v>0</v>
      </c>
      <c r="BG19" s="358">
        <f t="shared" si="12"/>
        <v>0</v>
      </c>
      <c r="BJ19" s="103"/>
      <c r="BK19" s="15">
        <v>12</v>
      </c>
      <c r="BL19" s="91">
        <v>901.74</v>
      </c>
      <c r="BM19" s="231">
        <v>45176</v>
      </c>
      <c r="BN19" s="91">
        <v>901.74</v>
      </c>
      <c r="BO19" s="94" t="s">
        <v>567</v>
      </c>
      <c r="BP19" s="70">
        <v>44</v>
      </c>
      <c r="BQ19" s="434">
        <f t="shared" si="13"/>
        <v>39676.559999999998</v>
      </c>
      <c r="BR19" s="358"/>
      <c r="BT19" s="103"/>
      <c r="BU19" s="15">
        <v>12</v>
      </c>
      <c r="BV19" s="91">
        <v>880</v>
      </c>
      <c r="BW19" s="275">
        <v>45175</v>
      </c>
      <c r="BX19" s="91">
        <v>880</v>
      </c>
      <c r="BY19" s="499" t="s">
        <v>543</v>
      </c>
      <c r="BZ19" s="276">
        <v>43</v>
      </c>
      <c r="CA19" s="358">
        <f t="shared" si="5"/>
        <v>37840</v>
      </c>
      <c r="CD19" s="202"/>
      <c r="CE19" s="15">
        <v>12</v>
      </c>
      <c r="CF19" s="91">
        <v>918.1</v>
      </c>
      <c r="CG19" s="275">
        <v>45175</v>
      </c>
      <c r="CH19" s="91">
        <v>918.1</v>
      </c>
      <c r="CI19" s="277" t="s">
        <v>545</v>
      </c>
      <c r="CJ19" s="276">
        <v>43</v>
      </c>
      <c r="CK19" s="230">
        <f t="shared" si="14"/>
        <v>39478.300000000003</v>
      </c>
      <c r="CN19" s="998"/>
      <c r="CO19" s="15">
        <v>12</v>
      </c>
      <c r="CP19" s="91">
        <v>898.1</v>
      </c>
      <c r="CQ19" s="275">
        <v>45178</v>
      </c>
      <c r="CR19" s="91">
        <v>898.1</v>
      </c>
      <c r="CS19" s="277" t="s">
        <v>593</v>
      </c>
      <c r="CT19" s="276">
        <v>45</v>
      </c>
      <c r="CU19" s="363">
        <f t="shared" si="58"/>
        <v>40414.5</v>
      </c>
      <c r="CX19" s="103"/>
      <c r="CY19" s="15">
        <v>12</v>
      </c>
      <c r="CZ19" s="91">
        <v>889</v>
      </c>
      <c r="DA19" s="231">
        <v>45177</v>
      </c>
      <c r="DB19" s="91">
        <v>889</v>
      </c>
      <c r="DC19" s="94" t="s">
        <v>577</v>
      </c>
      <c r="DD19" s="70">
        <v>45</v>
      </c>
      <c r="DE19" s="358">
        <f t="shared" si="15"/>
        <v>40005</v>
      </c>
      <c r="DH19" s="103"/>
      <c r="DI19" s="15">
        <v>12</v>
      </c>
      <c r="DJ19" s="91">
        <v>956.17</v>
      </c>
      <c r="DK19" s="231">
        <v>45178</v>
      </c>
      <c r="DL19" s="91">
        <v>956.17</v>
      </c>
      <c r="DM19" s="94" t="s">
        <v>596</v>
      </c>
      <c r="DN19" s="70">
        <v>45</v>
      </c>
      <c r="DO19" s="358">
        <f t="shared" si="16"/>
        <v>43027.65</v>
      </c>
      <c r="DR19" s="103"/>
      <c r="DS19" s="15">
        <v>12</v>
      </c>
      <c r="DT19" s="91">
        <v>914.9</v>
      </c>
      <c r="DU19" s="275">
        <v>45180</v>
      </c>
      <c r="DV19" s="91">
        <v>914.9</v>
      </c>
      <c r="DW19" s="277" t="s">
        <v>608</v>
      </c>
      <c r="DX19" s="276">
        <v>46</v>
      </c>
      <c r="DY19" s="358">
        <f t="shared" si="17"/>
        <v>42085.4</v>
      </c>
      <c r="EB19" s="103"/>
      <c r="EC19" s="15">
        <v>12</v>
      </c>
      <c r="ED19" s="68">
        <v>934.4</v>
      </c>
      <c r="EE19" s="238"/>
      <c r="EF19" s="68"/>
      <c r="EG19" s="1341"/>
      <c r="EH19" s="70"/>
      <c r="EI19" s="358">
        <f t="shared" si="18"/>
        <v>0</v>
      </c>
      <c r="EL19" s="103"/>
      <c r="EM19" s="15">
        <v>12</v>
      </c>
      <c r="EN19" s="68">
        <v>781</v>
      </c>
      <c r="EO19" s="238">
        <v>45183</v>
      </c>
      <c r="EP19" s="68">
        <v>781</v>
      </c>
      <c r="EQ19" s="69" t="s">
        <v>642</v>
      </c>
      <c r="ER19" s="70">
        <v>46</v>
      </c>
      <c r="ES19" s="358">
        <f t="shared" si="19"/>
        <v>35926</v>
      </c>
      <c r="EV19" s="1291" t="s">
        <v>649</v>
      </c>
      <c r="EW19" s="15">
        <v>12</v>
      </c>
      <c r="EX19" s="91">
        <v>938.9</v>
      </c>
      <c r="EY19" s="231">
        <v>45183</v>
      </c>
      <c r="EZ19" s="91">
        <v>938.9</v>
      </c>
      <c r="FA19" s="69" t="s">
        <v>648</v>
      </c>
      <c r="FB19" s="70">
        <v>0</v>
      </c>
      <c r="FC19" s="358">
        <f t="shared" si="20"/>
        <v>0</v>
      </c>
      <c r="FF19" s="93"/>
      <c r="FG19" s="15">
        <v>12</v>
      </c>
      <c r="FH19" s="91">
        <v>932.6</v>
      </c>
      <c r="FI19" s="231">
        <v>45185</v>
      </c>
      <c r="FJ19" s="91">
        <v>932.6</v>
      </c>
      <c r="FK19" s="69" t="s">
        <v>660</v>
      </c>
      <c r="FL19" s="70">
        <v>45</v>
      </c>
      <c r="FM19" s="230">
        <f t="shared" si="21"/>
        <v>41967</v>
      </c>
      <c r="FP19" s="103"/>
      <c r="FQ19" s="15">
        <v>12</v>
      </c>
      <c r="FR19" s="91">
        <v>933.5</v>
      </c>
      <c r="FS19" s="231">
        <v>45189</v>
      </c>
      <c r="FT19" s="91">
        <v>933.5</v>
      </c>
      <c r="FU19" s="69" t="s">
        <v>691</v>
      </c>
      <c r="FV19" s="70">
        <v>43</v>
      </c>
      <c r="FW19" s="230">
        <f t="shared" si="22"/>
        <v>40140.5</v>
      </c>
      <c r="FX19" s="70"/>
      <c r="FZ19" s="103"/>
      <c r="GA19" s="15">
        <v>12</v>
      </c>
      <c r="GB19" s="91">
        <v>952.99</v>
      </c>
      <c r="GC19" s="231">
        <v>45184</v>
      </c>
      <c r="GD19" s="91">
        <v>952.99</v>
      </c>
      <c r="GE19" s="69" t="s">
        <v>652</v>
      </c>
      <c r="GF19" s="70">
        <v>47</v>
      </c>
      <c r="GG19" s="358">
        <f t="shared" si="23"/>
        <v>44790.53</v>
      </c>
      <c r="GJ19" s="103"/>
      <c r="GK19" s="15">
        <v>12</v>
      </c>
      <c r="GL19" s="331">
        <v>918.1</v>
      </c>
      <c r="GM19" s="231">
        <v>45190</v>
      </c>
      <c r="GN19" s="331">
        <v>918.1</v>
      </c>
      <c r="GO19" s="94" t="s">
        <v>693</v>
      </c>
      <c r="GP19" s="70">
        <v>43</v>
      </c>
      <c r="GQ19" s="358">
        <f t="shared" si="24"/>
        <v>39478.300000000003</v>
      </c>
      <c r="GT19" s="103"/>
      <c r="GU19" s="15">
        <v>12</v>
      </c>
      <c r="GV19" s="91">
        <v>908.1</v>
      </c>
      <c r="GW19" s="231">
        <v>45192</v>
      </c>
      <c r="GX19" s="91">
        <v>908.1</v>
      </c>
      <c r="GY19" s="94" t="s">
        <v>710</v>
      </c>
      <c r="GZ19" s="70">
        <v>43</v>
      </c>
      <c r="HA19" s="358">
        <f t="shared" si="25"/>
        <v>39048.300000000003</v>
      </c>
      <c r="HD19" s="103" t="s">
        <v>547</v>
      </c>
      <c r="HE19" s="15">
        <v>12</v>
      </c>
      <c r="HF19" s="91">
        <v>930.8</v>
      </c>
      <c r="HG19" s="231">
        <v>45189</v>
      </c>
      <c r="HH19" s="91">
        <v>930.8</v>
      </c>
      <c r="HI19" s="94" t="s">
        <v>679</v>
      </c>
      <c r="HJ19" s="70">
        <v>0</v>
      </c>
      <c r="HK19" s="358">
        <f t="shared" si="26"/>
        <v>0</v>
      </c>
      <c r="HN19" s="103"/>
      <c r="HO19" s="15">
        <v>12</v>
      </c>
      <c r="HP19" s="91">
        <v>889</v>
      </c>
      <c r="HQ19" s="231"/>
      <c r="HR19" s="91"/>
      <c r="HS19" s="1342"/>
      <c r="HT19" s="70"/>
      <c r="HU19" s="230">
        <f t="shared" si="27"/>
        <v>0</v>
      </c>
      <c r="HX19" s="93"/>
      <c r="HY19" s="15">
        <v>12</v>
      </c>
      <c r="HZ19" s="68">
        <v>935.3</v>
      </c>
      <c r="IA19" s="238">
        <v>45194</v>
      </c>
      <c r="IB19" s="68">
        <v>935.3</v>
      </c>
      <c r="IC19" s="69" t="s">
        <v>719</v>
      </c>
      <c r="ID19" s="70">
        <v>43</v>
      </c>
      <c r="IE19" s="358">
        <f t="shared" si="6"/>
        <v>40217.9</v>
      </c>
      <c r="IH19" s="103"/>
      <c r="II19" s="15">
        <v>12</v>
      </c>
      <c r="IJ19" s="68">
        <v>925.8</v>
      </c>
      <c r="IK19" s="238">
        <v>45191</v>
      </c>
      <c r="IL19" s="68">
        <v>925.8</v>
      </c>
      <c r="IM19" s="69" t="s">
        <v>705</v>
      </c>
      <c r="IN19" s="70">
        <v>43</v>
      </c>
      <c r="IO19" s="230">
        <f t="shared" si="28"/>
        <v>39809.4</v>
      </c>
      <c r="IR19" s="103"/>
      <c r="IS19" s="15">
        <v>12</v>
      </c>
      <c r="IT19" s="68">
        <v>938</v>
      </c>
      <c r="IU19" s="238">
        <v>45191</v>
      </c>
      <c r="IV19" s="68">
        <v>938</v>
      </c>
      <c r="IW19" s="69" t="s">
        <v>684</v>
      </c>
      <c r="IX19" s="70">
        <v>43</v>
      </c>
      <c r="IY19" s="230">
        <f t="shared" si="29"/>
        <v>40334</v>
      </c>
      <c r="IZ19" s="91"/>
      <c r="JA19" s="102"/>
      <c r="JB19" s="103"/>
      <c r="JC19" s="15">
        <v>12</v>
      </c>
      <c r="JD19" s="91">
        <v>938.9</v>
      </c>
      <c r="JE19" s="238">
        <v>45197</v>
      </c>
      <c r="JF19" s="91">
        <v>938.9</v>
      </c>
      <c r="JG19" s="69" t="s">
        <v>745</v>
      </c>
      <c r="JH19" s="70">
        <v>41</v>
      </c>
      <c r="JI19" s="358">
        <f t="shared" si="30"/>
        <v>38494.9</v>
      </c>
      <c r="JL19" s="103"/>
      <c r="JM19" s="15">
        <v>12</v>
      </c>
      <c r="JN19" s="91">
        <v>916.3</v>
      </c>
      <c r="JO19" s="231"/>
      <c r="JP19" s="91"/>
      <c r="JQ19" s="1591"/>
      <c r="JR19" s="70"/>
      <c r="JS19" s="358">
        <f t="shared" si="31"/>
        <v>0</v>
      </c>
      <c r="JV19" s="103" t="s">
        <v>547</v>
      </c>
      <c r="JW19" s="15">
        <v>12</v>
      </c>
      <c r="JX19" s="68">
        <v>929</v>
      </c>
      <c r="JY19" s="238">
        <v>45197</v>
      </c>
      <c r="JZ19" s="68">
        <v>929</v>
      </c>
      <c r="KA19" s="69" t="s">
        <v>749</v>
      </c>
      <c r="KB19" s="70">
        <v>0</v>
      </c>
      <c r="KC19" s="358">
        <f t="shared" si="32"/>
        <v>0</v>
      </c>
      <c r="KF19" s="93"/>
      <c r="KG19" s="15">
        <v>12</v>
      </c>
      <c r="KH19" s="68">
        <v>933.5</v>
      </c>
      <c r="KI19" s="238">
        <v>45196</v>
      </c>
      <c r="KJ19" s="68">
        <v>933.5</v>
      </c>
      <c r="KK19" s="69" t="s">
        <v>743</v>
      </c>
      <c r="KL19" s="70">
        <v>41</v>
      </c>
      <c r="KM19" s="358">
        <f t="shared" si="33"/>
        <v>38273.5</v>
      </c>
      <c r="KP19" s="93"/>
      <c r="KQ19" s="15">
        <v>12</v>
      </c>
      <c r="KR19" s="68">
        <v>867.7</v>
      </c>
      <c r="KS19" s="238">
        <v>45197</v>
      </c>
      <c r="KT19" s="68">
        <v>867.7</v>
      </c>
      <c r="KU19" s="69" t="s">
        <v>756</v>
      </c>
      <c r="KV19" s="70">
        <v>41</v>
      </c>
      <c r="KW19" s="358">
        <f t="shared" si="34"/>
        <v>35575.700000000004</v>
      </c>
      <c r="KZ19" s="103"/>
      <c r="LA19" s="15">
        <v>12</v>
      </c>
      <c r="LB19" s="91">
        <v>903.6</v>
      </c>
      <c r="LC19" s="231">
        <v>45198</v>
      </c>
      <c r="LD19" s="91">
        <v>903.6</v>
      </c>
      <c r="LE19" s="94" t="s">
        <v>753</v>
      </c>
      <c r="LF19" s="70">
        <v>41</v>
      </c>
      <c r="LG19" s="358">
        <f t="shared" si="35"/>
        <v>37047.599999999999</v>
      </c>
      <c r="LJ19" s="103"/>
      <c r="LK19" s="15">
        <v>12</v>
      </c>
      <c r="LL19" s="91">
        <v>888.6</v>
      </c>
      <c r="LM19" s="231">
        <v>45199</v>
      </c>
      <c r="LN19" s="91">
        <v>888.6</v>
      </c>
      <c r="LO19" s="94" t="s">
        <v>759</v>
      </c>
      <c r="LP19" s="70">
        <v>41</v>
      </c>
      <c r="LQ19" s="230">
        <f t="shared" si="36"/>
        <v>36432.6</v>
      </c>
      <c r="LT19" s="103"/>
      <c r="LU19" s="15">
        <v>12</v>
      </c>
      <c r="LV19" s="91">
        <v>918.97</v>
      </c>
      <c r="LW19" s="231">
        <v>45199</v>
      </c>
      <c r="LX19" s="91">
        <v>918.97</v>
      </c>
      <c r="LY19" s="94" t="s">
        <v>776</v>
      </c>
      <c r="LZ19" s="70">
        <v>41</v>
      </c>
      <c r="MA19" s="358">
        <f t="shared" si="37"/>
        <v>37677.770000000004</v>
      </c>
      <c r="MB19" s="358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972" t="s">
        <v>262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285</v>
      </c>
      <c r="R20" s="70">
        <v>0</v>
      </c>
      <c r="S20" s="358">
        <f t="shared" si="8"/>
        <v>0</v>
      </c>
      <c r="V20" s="103"/>
      <c r="W20" s="15">
        <v>13</v>
      </c>
      <c r="X20" s="91">
        <v>907.2</v>
      </c>
      <c r="Y20" s="888">
        <v>45173</v>
      </c>
      <c r="Z20" s="889">
        <v>907.2</v>
      </c>
      <c r="AA20" s="890" t="s">
        <v>513</v>
      </c>
      <c r="AB20" s="891">
        <v>43</v>
      </c>
      <c r="AC20" s="892">
        <f t="shared" si="9"/>
        <v>39009.599999999999</v>
      </c>
      <c r="AD20" s="74" t="s">
        <v>514</v>
      </c>
      <c r="AF20" s="103"/>
      <c r="AG20" s="15">
        <v>13</v>
      </c>
      <c r="AH20" s="282">
        <v>934.4</v>
      </c>
      <c r="AI20" s="231">
        <v>45173</v>
      </c>
      <c r="AJ20" s="282">
        <v>934.4</v>
      </c>
      <c r="AK20" s="94" t="s">
        <v>524</v>
      </c>
      <c r="AL20" s="70">
        <v>43</v>
      </c>
      <c r="AM20" s="70">
        <f t="shared" si="10"/>
        <v>40179.199999999997</v>
      </c>
      <c r="AN20" s="74" t="s">
        <v>514</v>
      </c>
      <c r="AP20" s="103"/>
      <c r="AQ20" s="15">
        <v>13</v>
      </c>
      <c r="AR20" s="91">
        <v>919</v>
      </c>
      <c r="AS20" s="231">
        <v>45174</v>
      </c>
      <c r="AT20" s="91">
        <v>919</v>
      </c>
      <c r="AU20" s="94" t="s">
        <v>531</v>
      </c>
      <c r="AV20" s="70">
        <v>43</v>
      </c>
      <c r="AW20" s="70">
        <f t="shared" si="11"/>
        <v>39517</v>
      </c>
      <c r="AZ20" s="1272" t="s">
        <v>547</v>
      </c>
      <c r="BA20" s="15">
        <v>13</v>
      </c>
      <c r="BB20" s="91">
        <v>892.7</v>
      </c>
      <c r="BC20" s="231">
        <v>45176</v>
      </c>
      <c r="BD20" s="91">
        <v>892.7</v>
      </c>
      <c r="BE20" s="94" t="s">
        <v>552</v>
      </c>
      <c r="BF20" s="70">
        <v>0</v>
      </c>
      <c r="BG20" s="358">
        <f t="shared" si="12"/>
        <v>0</v>
      </c>
      <c r="BJ20" s="103"/>
      <c r="BK20" s="15">
        <v>13</v>
      </c>
      <c r="BL20" s="91">
        <v>927.14</v>
      </c>
      <c r="BM20" s="231">
        <v>45178</v>
      </c>
      <c r="BN20" s="91">
        <v>927.14</v>
      </c>
      <c r="BO20" s="94" t="s">
        <v>584</v>
      </c>
      <c r="BP20" s="70">
        <v>41</v>
      </c>
      <c r="BQ20" s="434">
        <f t="shared" si="13"/>
        <v>38012.74</v>
      </c>
      <c r="BR20" s="358"/>
      <c r="BT20" s="103"/>
      <c r="BU20" s="15">
        <v>13</v>
      </c>
      <c r="BV20" s="91">
        <v>899</v>
      </c>
      <c r="BW20" s="275">
        <v>45175</v>
      </c>
      <c r="BX20" s="91">
        <v>899</v>
      </c>
      <c r="BY20" s="499" t="s">
        <v>543</v>
      </c>
      <c r="BZ20" s="276">
        <v>43</v>
      </c>
      <c r="CA20" s="358">
        <f t="shared" si="5"/>
        <v>38657</v>
      </c>
      <c r="CD20" s="202"/>
      <c r="CE20" s="15">
        <v>13</v>
      </c>
      <c r="CF20" s="91">
        <v>935.3</v>
      </c>
      <c r="CG20" s="275">
        <v>45175</v>
      </c>
      <c r="CH20" s="91">
        <v>935.3</v>
      </c>
      <c r="CI20" s="277" t="s">
        <v>545</v>
      </c>
      <c r="CJ20" s="276">
        <v>43</v>
      </c>
      <c r="CK20" s="230">
        <f t="shared" si="14"/>
        <v>40217.9</v>
      </c>
      <c r="CN20" s="998"/>
      <c r="CO20" s="15">
        <v>13</v>
      </c>
      <c r="CP20" s="91">
        <v>909</v>
      </c>
      <c r="CQ20" s="275">
        <v>45178</v>
      </c>
      <c r="CR20" s="91">
        <v>909</v>
      </c>
      <c r="CS20" s="277" t="s">
        <v>593</v>
      </c>
      <c r="CT20" s="276">
        <v>45</v>
      </c>
      <c r="CU20" s="363">
        <f t="shared" si="58"/>
        <v>40905</v>
      </c>
      <c r="CX20" s="103"/>
      <c r="CY20" s="15">
        <v>13</v>
      </c>
      <c r="CZ20" s="91">
        <v>946</v>
      </c>
      <c r="DA20" s="231">
        <v>45177</v>
      </c>
      <c r="DB20" s="91">
        <v>946</v>
      </c>
      <c r="DC20" s="94" t="s">
        <v>580</v>
      </c>
      <c r="DD20" s="70">
        <v>45</v>
      </c>
      <c r="DE20" s="358">
        <f t="shared" si="15"/>
        <v>42570</v>
      </c>
      <c r="DH20" s="103"/>
      <c r="DI20" s="15">
        <v>13</v>
      </c>
      <c r="DJ20" s="91">
        <v>952.54</v>
      </c>
      <c r="DK20" s="231">
        <v>45178</v>
      </c>
      <c r="DL20" s="91">
        <v>952.54</v>
      </c>
      <c r="DM20" s="94" t="s">
        <v>596</v>
      </c>
      <c r="DN20" s="70">
        <v>45</v>
      </c>
      <c r="DO20" s="358">
        <f t="shared" si="16"/>
        <v>42864.299999999996</v>
      </c>
      <c r="DR20" s="103"/>
      <c r="DS20" s="15">
        <v>13</v>
      </c>
      <c r="DT20" s="91">
        <v>876.8</v>
      </c>
      <c r="DU20" s="275">
        <v>45180</v>
      </c>
      <c r="DV20" s="91">
        <v>876.8</v>
      </c>
      <c r="DW20" s="277" t="s">
        <v>608</v>
      </c>
      <c r="DX20" s="276">
        <v>46</v>
      </c>
      <c r="DY20" s="358">
        <f t="shared" si="17"/>
        <v>40332.799999999996</v>
      </c>
      <c r="EB20" s="103"/>
      <c r="EC20" s="15">
        <v>13</v>
      </c>
      <c r="ED20" s="68">
        <v>897.2</v>
      </c>
      <c r="EE20" s="238"/>
      <c r="EF20" s="68"/>
      <c r="EG20" s="1341"/>
      <c r="EH20" s="70"/>
      <c r="EI20" s="358">
        <f t="shared" si="18"/>
        <v>0</v>
      </c>
      <c r="EL20" s="103"/>
      <c r="EM20" s="15">
        <v>13</v>
      </c>
      <c r="EN20" s="68">
        <v>864</v>
      </c>
      <c r="EO20" s="238">
        <v>45183</v>
      </c>
      <c r="EP20" s="68">
        <v>864</v>
      </c>
      <c r="EQ20" s="69" t="s">
        <v>638</v>
      </c>
      <c r="ER20" s="70">
        <v>46</v>
      </c>
      <c r="ES20" s="358">
        <f t="shared" si="19"/>
        <v>39744</v>
      </c>
      <c r="EV20" s="1291" t="s">
        <v>649</v>
      </c>
      <c r="EW20" s="15">
        <v>13</v>
      </c>
      <c r="EX20" s="91">
        <v>935.3</v>
      </c>
      <c r="EY20" s="231">
        <v>45183</v>
      </c>
      <c r="EZ20" s="91">
        <v>935.3</v>
      </c>
      <c r="FA20" s="69" t="s">
        <v>648</v>
      </c>
      <c r="FB20" s="70">
        <v>0</v>
      </c>
      <c r="FC20" s="358">
        <f t="shared" si="20"/>
        <v>0</v>
      </c>
      <c r="FF20" s="93"/>
      <c r="FG20" s="15">
        <v>13</v>
      </c>
      <c r="FH20" s="91">
        <v>940.3</v>
      </c>
      <c r="FI20" s="231">
        <v>45185</v>
      </c>
      <c r="FJ20" s="91">
        <v>940.3</v>
      </c>
      <c r="FK20" s="69" t="s">
        <v>660</v>
      </c>
      <c r="FL20" s="70">
        <v>45</v>
      </c>
      <c r="FM20" s="230">
        <f t="shared" si="21"/>
        <v>42313.5</v>
      </c>
      <c r="FP20" s="103"/>
      <c r="FQ20" s="15">
        <v>13</v>
      </c>
      <c r="FR20" s="91">
        <v>920.3</v>
      </c>
      <c r="FS20" s="231">
        <v>45189</v>
      </c>
      <c r="FT20" s="91">
        <v>920.3</v>
      </c>
      <c r="FU20" s="69" t="s">
        <v>691</v>
      </c>
      <c r="FV20" s="70">
        <v>43</v>
      </c>
      <c r="FW20" s="230">
        <f t="shared" si="22"/>
        <v>39572.9</v>
      </c>
      <c r="FX20" s="70"/>
      <c r="FZ20" s="103"/>
      <c r="GA20" s="15">
        <v>13</v>
      </c>
      <c r="GB20" s="91">
        <v>919.43</v>
      </c>
      <c r="GC20" s="231">
        <v>45184</v>
      </c>
      <c r="GD20" s="91">
        <v>919.43</v>
      </c>
      <c r="GE20" s="69" t="s">
        <v>652</v>
      </c>
      <c r="GF20" s="70">
        <v>47</v>
      </c>
      <c r="GG20" s="358">
        <f t="shared" si="23"/>
        <v>43213.21</v>
      </c>
      <c r="GJ20" s="103"/>
      <c r="GK20" s="15">
        <v>13</v>
      </c>
      <c r="GL20" s="331">
        <v>898.1</v>
      </c>
      <c r="GM20" s="231">
        <v>45190</v>
      </c>
      <c r="GN20" s="331">
        <v>898.1</v>
      </c>
      <c r="GO20" s="94" t="s">
        <v>693</v>
      </c>
      <c r="GP20" s="70">
        <v>43</v>
      </c>
      <c r="GQ20" s="358">
        <f t="shared" si="24"/>
        <v>38618.300000000003</v>
      </c>
      <c r="GT20" s="103"/>
      <c r="GU20" s="15">
        <v>13</v>
      </c>
      <c r="GV20" s="91">
        <v>870.4</v>
      </c>
      <c r="GW20" s="231">
        <v>45192</v>
      </c>
      <c r="GX20" s="91">
        <v>870.4</v>
      </c>
      <c r="GY20" s="94" t="s">
        <v>710</v>
      </c>
      <c r="GZ20" s="70">
        <v>43</v>
      </c>
      <c r="HA20" s="358">
        <f t="shared" si="25"/>
        <v>37427.199999999997</v>
      </c>
      <c r="HD20" s="103" t="s">
        <v>547</v>
      </c>
      <c r="HE20" s="15">
        <v>13</v>
      </c>
      <c r="HF20" s="91">
        <v>936.2</v>
      </c>
      <c r="HG20" s="231">
        <v>45189</v>
      </c>
      <c r="HH20" s="91">
        <v>936.2</v>
      </c>
      <c r="HI20" s="94" t="s">
        <v>679</v>
      </c>
      <c r="HJ20" s="70">
        <v>0</v>
      </c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1342"/>
      <c r="HT20" s="70"/>
      <c r="HU20" s="230">
        <f t="shared" si="27"/>
        <v>0</v>
      </c>
      <c r="HX20" s="93"/>
      <c r="HY20" s="15">
        <v>13</v>
      </c>
      <c r="HZ20" s="68">
        <v>937.6</v>
      </c>
      <c r="IA20" s="238">
        <v>45192</v>
      </c>
      <c r="IB20" s="68">
        <v>937.6</v>
      </c>
      <c r="IC20" s="69" t="s">
        <v>716</v>
      </c>
      <c r="ID20" s="70">
        <v>43</v>
      </c>
      <c r="IE20" s="358">
        <f t="shared" si="6"/>
        <v>40316.800000000003</v>
      </c>
      <c r="IH20" s="103"/>
      <c r="II20" s="15">
        <v>13</v>
      </c>
      <c r="IJ20" s="68">
        <v>933</v>
      </c>
      <c r="IK20" s="238">
        <v>45191</v>
      </c>
      <c r="IL20" s="68">
        <v>933</v>
      </c>
      <c r="IM20" s="69" t="s">
        <v>705</v>
      </c>
      <c r="IN20" s="70">
        <v>43</v>
      </c>
      <c r="IO20" s="230">
        <f t="shared" si="28"/>
        <v>40119</v>
      </c>
      <c r="IR20" s="103"/>
      <c r="IS20" s="15">
        <v>13</v>
      </c>
      <c r="IT20" s="68">
        <v>863.2</v>
      </c>
      <c r="IU20" s="238">
        <v>45191</v>
      </c>
      <c r="IV20" s="68">
        <v>863.2</v>
      </c>
      <c r="IW20" s="69" t="s">
        <v>684</v>
      </c>
      <c r="IX20" s="70">
        <v>43</v>
      </c>
      <c r="IY20" s="230">
        <f t="shared" si="29"/>
        <v>37117.599999999999</v>
      </c>
      <c r="IZ20" s="91"/>
      <c r="JB20" s="103"/>
      <c r="JC20" s="15">
        <v>13</v>
      </c>
      <c r="JD20" s="91">
        <v>919.9</v>
      </c>
      <c r="JE20" s="238">
        <v>45197</v>
      </c>
      <c r="JF20" s="91">
        <v>919.9</v>
      </c>
      <c r="JG20" s="69" t="s">
        <v>746</v>
      </c>
      <c r="JH20" s="70">
        <v>41</v>
      </c>
      <c r="JI20" s="358">
        <f t="shared" si="30"/>
        <v>37715.9</v>
      </c>
      <c r="JL20" s="103"/>
      <c r="JM20" s="15">
        <v>13</v>
      </c>
      <c r="JN20" s="91">
        <v>861.8</v>
      </c>
      <c r="JO20" s="231"/>
      <c r="JP20" s="91"/>
      <c r="JQ20" s="1591"/>
      <c r="JR20" s="70"/>
      <c r="JS20" s="358">
        <f t="shared" si="31"/>
        <v>0</v>
      </c>
      <c r="JV20" s="103" t="s">
        <v>547</v>
      </c>
      <c r="JW20" s="15">
        <v>13</v>
      </c>
      <c r="JX20" s="68">
        <v>913.5</v>
      </c>
      <c r="JY20" s="238">
        <v>45197</v>
      </c>
      <c r="JZ20" s="68">
        <v>913.5</v>
      </c>
      <c r="KA20" s="69" t="s">
        <v>751</v>
      </c>
      <c r="KB20" s="70">
        <v>0</v>
      </c>
      <c r="KC20" s="358">
        <f t="shared" si="32"/>
        <v>0</v>
      </c>
      <c r="KF20" s="93"/>
      <c r="KG20" s="15">
        <v>13</v>
      </c>
      <c r="KH20" s="68">
        <v>914.4</v>
      </c>
      <c r="KI20" s="238">
        <v>45196</v>
      </c>
      <c r="KJ20" s="68">
        <v>914.4</v>
      </c>
      <c r="KK20" s="69" t="s">
        <v>743</v>
      </c>
      <c r="KL20" s="70">
        <v>41</v>
      </c>
      <c r="KM20" s="358">
        <f t="shared" si="33"/>
        <v>37490.400000000001</v>
      </c>
      <c r="KP20" s="93"/>
      <c r="KQ20" s="15">
        <v>13</v>
      </c>
      <c r="KR20" s="68">
        <v>866.4</v>
      </c>
      <c r="KS20" s="238">
        <v>45197</v>
      </c>
      <c r="KT20" s="68">
        <v>866.4</v>
      </c>
      <c r="KU20" s="69" t="s">
        <v>756</v>
      </c>
      <c r="KV20" s="70">
        <v>41</v>
      </c>
      <c r="KW20" s="358">
        <f t="shared" si="34"/>
        <v>35522.400000000001</v>
      </c>
      <c r="KZ20" s="103"/>
      <c r="LA20" s="15">
        <v>13</v>
      </c>
      <c r="LB20" s="68">
        <v>910.4</v>
      </c>
      <c r="LC20" s="231">
        <v>45198</v>
      </c>
      <c r="LD20" s="68">
        <v>910.4</v>
      </c>
      <c r="LE20" s="94" t="s">
        <v>753</v>
      </c>
      <c r="LF20" s="70">
        <v>41</v>
      </c>
      <c r="LG20" s="358">
        <f t="shared" si="35"/>
        <v>37326.400000000001</v>
      </c>
      <c r="LJ20" s="103"/>
      <c r="LK20" s="15">
        <v>13</v>
      </c>
      <c r="LL20" s="91">
        <v>938</v>
      </c>
      <c r="LM20" s="231">
        <v>45199</v>
      </c>
      <c r="LN20" s="91">
        <v>938</v>
      </c>
      <c r="LO20" s="94" t="s">
        <v>759</v>
      </c>
      <c r="LP20" s="70">
        <v>41</v>
      </c>
      <c r="LQ20" s="230">
        <f t="shared" si="36"/>
        <v>38458</v>
      </c>
      <c r="LT20" s="103"/>
      <c r="LU20" s="15">
        <v>13</v>
      </c>
      <c r="LV20" s="91">
        <v>943.47</v>
      </c>
      <c r="LW20" s="231">
        <v>45199</v>
      </c>
      <c r="LX20" s="91">
        <v>943.47</v>
      </c>
      <c r="LY20" s="94" t="s">
        <v>776</v>
      </c>
      <c r="LZ20" s="70">
        <v>41</v>
      </c>
      <c r="MA20" s="358">
        <f t="shared" si="37"/>
        <v>38682.270000000004</v>
      </c>
      <c r="MB20" s="358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972" t="s">
        <v>262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285</v>
      </c>
      <c r="R21" s="70">
        <v>0</v>
      </c>
      <c r="S21" s="358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293</v>
      </c>
      <c r="AB21" s="70">
        <v>43</v>
      </c>
      <c r="AC21" s="358">
        <f t="shared" si="9"/>
        <v>38347.4</v>
      </c>
      <c r="AF21" s="103"/>
      <c r="AG21" s="15">
        <v>14</v>
      </c>
      <c r="AH21" s="282">
        <v>907.2</v>
      </c>
      <c r="AI21" s="231">
        <v>45173</v>
      </c>
      <c r="AJ21" s="282">
        <v>907.2</v>
      </c>
      <c r="AK21" s="94" t="s">
        <v>524</v>
      </c>
      <c r="AL21" s="70">
        <v>43</v>
      </c>
      <c r="AM21" s="70">
        <f t="shared" si="10"/>
        <v>39009.599999999999</v>
      </c>
      <c r="AN21" s="74" t="s">
        <v>514</v>
      </c>
      <c r="AP21" s="103"/>
      <c r="AQ21" s="15">
        <v>14</v>
      </c>
      <c r="AR21" s="91">
        <v>906.3</v>
      </c>
      <c r="AS21" s="231">
        <v>45175</v>
      </c>
      <c r="AT21" s="91">
        <v>906.3</v>
      </c>
      <c r="AU21" s="94" t="s">
        <v>521</v>
      </c>
      <c r="AV21" s="70">
        <v>41</v>
      </c>
      <c r="AW21" s="70">
        <f t="shared" si="11"/>
        <v>37158.299999999996</v>
      </c>
      <c r="AZ21" s="1272" t="s">
        <v>547</v>
      </c>
      <c r="BA21" s="15">
        <v>14</v>
      </c>
      <c r="BB21" s="91">
        <v>919.9</v>
      </c>
      <c r="BC21" s="231">
        <v>45175</v>
      </c>
      <c r="BD21" s="91">
        <v>919.9</v>
      </c>
      <c r="BE21" s="94" t="s">
        <v>548</v>
      </c>
      <c r="BF21" s="70">
        <v>0</v>
      </c>
      <c r="BG21" s="358">
        <f t="shared" si="12"/>
        <v>0</v>
      </c>
      <c r="BJ21" s="103"/>
      <c r="BK21" s="15">
        <v>14</v>
      </c>
      <c r="BL21" s="91">
        <v>926.23</v>
      </c>
      <c r="BM21" s="231">
        <v>45176</v>
      </c>
      <c r="BN21" s="91">
        <v>926.23</v>
      </c>
      <c r="BO21" s="94" t="s">
        <v>567</v>
      </c>
      <c r="BP21" s="70">
        <v>44</v>
      </c>
      <c r="BQ21" s="434">
        <f t="shared" si="13"/>
        <v>40754.120000000003</v>
      </c>
      <c r="BR21" s="358"/>
      <c r="BT21" s="103"/>
      <c r="BU21" s="15">
        <v>14</v>
      </c>
      <c r="BV21" s="91">
        <v>889</v>
      </c>
      <c r="BW21" s="275">
        <v>45175</v>
      </c>
      <c r="BX21" s="91">
        <v>889</v>
      </c>
      <c r="BY21" s="499" t="s">
        <v>543</v>
      </c>
      <c r="BZ21" s="276">
        <v>43</v>
      </c>
      <c r="CA21" s="358">
        <f t="shared" si="5"/>
        <v>38227</v>
      </c>
      <c r="CD21" s="202"/>
      <c r="CE21" s="15">
        <v>14</v>
      </c>
      <c r="CF21" s="91">
        <v>939.8</v>
      </c>
      <c r="CG21" s="275">
        <v>45175</v>
      </c>
      <c r="CH21" s="91">
        <v>939.8</v>
      </c>
      <c r="CI21" s="277" t="s">
        <v>545</v>
      </c>
      <c r="CJ21" s="276">
        <v>43</v>
      </c>
      <c r="CK21" s="230">
        <f t="shared" si="14"/>
        <v>40411.4</v>
      </c>
      <c r="CN21" s="998"/>
      <c r="CO21" s="15">
        <v>14</v>
      </c>
      <c r="CP21" s="91">
        <v>939.8</v>
      </c>
      <c r="CQ21" s="275">
        <v>45178</v>
      </c>
      <c r="CR21" s="91">
        <v>939.8</v>
      </c>
      <c r="CS21" s="277" t="s">
        <v>593</v>
      </c>
      <c r="CT21" s="276">
        <v>45</v>
      </c>
      <c r="CU21" s="363">
        <f t="shared" si="58"/>
        <v>42291</v>
      </c>
      <c r="CX21" s="103"/>
      <c r="CY21" s="15">
        <v>14</v>
      </c>
      <c r="CZ21" s="91">
        <v>943</v>
      </c>
      <c r="DA21" s="231">
        <v>45177</v>
      </c>
      <c r="DB21" s="91">
        <v>943</v>
      </c>
      <c r="DC21" s="94" t="s">
        <v>577</v>
      </c>
      <c r="DD21" s="70">
        <v>45</v>
      </c>
      <c r="DE21" s="358">
        <f t="shared" si="15"/>
        <v>42435</v>
      </c>
      <c r="DH21" s="103"/>
      <c r="DI21" s="15">
        <v>14</v>
      </c>
      <c r="DJ21" s="91">
        <v>930.77</v>
      </c>
      <c r="DK21" s="231">
        <v>45178</v>
      </c>
      <c r="DL21" s="91">
        <v>930.77</v>
      </c>
      <c r="DM21" s="94" t="s">
        <v>596</v>
      </c>
      <c r="DN21" s="70">
        <v>45</v>
      </c>
      <c r="DO21" s="358">
        <f t="shared" si="16"/>
        <v>41884.65</v>
      </c>
      <c r="DR21" s="103"/>
      <c r="DS21" s="15">
        <v>14</v>
      </c>
      <c r="DT21" s="91">
        <v>914.9</v>
      </c>
      <c r="DU21" s="275">
        <v>45180</v>
      </c>
      <c r="DV21" s="91">
        <v>914.9</v>
      </c>
      <c r="DW21" s="277" t="s">
        <v>608</v>
      </c>
      <c r="DX21" s="276">
        <v>46</v>
      </c>
      <c r="DY21" s="358">
        <f t="shared" si="17"/>
        <v>42085.4</v>
      </c>
      <c r="EB21" s="103"/>
      <c r="EC21" s="15">
        <v>14</v>
      </c>
      <c r="ED21" s="68">
        <v>874.5</v>
      </c>
      <c r="EE21" s="238"/>
      <c r="EF21" s="68"/>
      <c r="EG21" s="1341"/>
      <c r="EH21" s="70"/>
      <c r="EI21" s="358">
        <f t="shared" si="18"/>
        <v>0</v>
      </c>
      <c r="EL21" s="103"/>
      <c r="EM21" s="15">
        <v>14</v>
      </c>
      <c r="EN21" s="68">
        <v>842</v>
      </c>
      <c r="EO21" s="238">
        <v>45183</v>
      </c>
      <c r="EP21" s="68">
        <v>842</v>
      </c>
      <c r="EQ21" s="69" t="s">
        <v>642</v>
      </c>
      <c r="ER21" s="70">
        <v>46</v>
      </c>
      <c r="ES21" s="358">
        <f t="shared" si="19"/>
        <v>38732</v>
      </c>
      <c r="EV21" s="1291" t="s">
        <v>649</v>
      </c>
      <c r="EW21" s="15">
        <v>14</v>
      </c>
      <c r="EX21" s="91">
        <v>936.2</v>
      </c>
      <c r="EY21" s="231">
        <v>45183</v>
      </c>
      <c r="EZ21" s="91">
        <v>936.2</v>
      </c>
      <c r="FA21" s="69" t="s">
        <v>648</v>
      </c>
      <c r="FB21" s="70">
        <v>0</v>
      </c>
      <c r="FC21" s="358">
        <f t="shared" si="20"/>
        <v>0</v>
      </c>
      <c r="FF21" s="93"/>
      <c r="FG21" s="15">
        <v>14</v>
      </c>
      <c r="FH21" s="91">
        <v>912.2</v>
      </c>
      <c r="FI21" s="231">
        <v>45185</v>
      </c>
      <c r="FJ21" s="91">
        <v>912.2</v>
      </c>
      <c r="FK21" s="69" t="s">
        <v>665</v>
      </c>
      <c r="FL21" s="70">
        <v>45</v>
      </c>
      <c r="FM21" s="230">
        <f t="shared" si="21"/>
        <v>41049</v>
      </c>
      <c r="FP21" s="103"/>
      <c r="FQ21" s="15">
        <v>14</v>
      </c>
      <c r="FR21" s="91">
        <v>910.4</v>
      </c>
      <c r="FS21" s="231">
        <v>45189</v>
      </c>
      <c r="FT21" s="91">
        <v>910.4</v>
      </c>
      <c r="FU21" s="69" t="s">
        <v>691</v>
      </c>
      <c r="FV21" s="70">
        <v>43</v>
      </c>
      <c r="FW21" s="230">
        <f t="shared" si="22"/>
        <v>39147.199999999997</v>
      </c>
      <c r="FX21" s="70"/>
      <c r="FZ21" s="103"/>
      <c r="GA21" s="15">
        <v>14</v>
      </c>
      <c r="GB21" s="91">
        <v>941.2</v>
      </c>
      <c r="GC21" s="231">
        <v>45184</v>
      </c>
      <c r="GD21" s="91">
        <v>941.2</v>
      </c>
      <c r="GE21" s="69" t="s">
        <v>652</v>
      </c>
      <c r="GF21" s="70">
        <v>47</v>
      </c>
      <c r="GG21" s="358">
        <f t="shared" si="23"/>
        <v>44236.4</v>
      </c>
      <c r="GJ21" s="103"/>
      <c r="GK21" s="15">
        <v>14</v>
      </c>
      <c r="GL21" s="331">
        <v>924</v>
      </c>
      <c r="GM21" s="231">
        <v>45190</v>
      </c>
      <c r="GN21" s="331">
        <v>924</v>
      </c>
      <c r="GO21" s="94" t="s">
        <v>693</v>
      </c>
      <c r="GP21" s="70">
        <v>43</v>
      </c>
      <c r="GQ21" s="358">
        <f t="shared" si="24"/>
        <v>39732</v>
      </c>
      <c r="GT21" s="103"/>
      <c r="GU21" s="15">
        <v>14</v>
      </c>
      <c r="GV21" s="91">
        <v>908.5</v>
      </c>
      <c r="GW21" s="231">
        <v>45192</v>
      </c>
      <c r="GX21" s="91">
        <v>908.5</v>
      </c>
      <c r="GY21" s="94" t="s">
        <v>710</v>
      </c>
      <c r="GZ21" s="70">
        <v>43</v>
      </c>
      <c r="HA21" s="358">
        <f t="shared" si="25"/>
        <v>39065.5</v>
      </c>
      <c r="HD21" s="103" t="s">
        <v>547</v>
      </c>
      <c r="HE21" s="15">
        <v>14</v>
      </c>
      <c r="HF21" s="91">
        <v>915.8</v>
      </c>
      <c r="HG21" s="231">
        <v>45189</v>
      </c>
      <c r="HH21" s="91">
        <v>915.8</v>
      </c>
      <c r="HI21" s="94" t="s">
        <v>679</v>
      </c>
      <c r="HJ21" s="70">
        <v>0</v>
      </c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1342"/>
      <c r="HT21" s="70"/>
      <c r="HU21" s="230">
        <f t="shared" si="27"/>
        <v>0</v>
      </c>
      <c r="HX21" s="93"/>
      <c r="HY21" s="15">
        <v>14</v>
      </c>
      <c r="HZ21" s="68">
        <v>938.9</v>
      </c>
      <c r="IA21" s="238">
        <v>45192</v>
      </c>
      <c r="IB21" s="68">
        <v>938.9</v>
      </c>
      <c r="IC21" s="69" t="s">
        <v>716</v>
      </c>
      <c r="ID21" s="70">
        <v>43</v>
      </c>
      <c r="IE21" s="358">
        <f t="shared" si="6"/>
        <v>40372.699999999997</v>
      </c>
      <c r="IH21" s="103"/>
      <c r="II21" s="15">
        <v>14</v>
      </c>
      <c r="IJ21" s="68">
        <v>910.8</v>
      </c>
      <c r="IK21" s="238">
        <v>45191</v>
      </c>
      <c r="IL21" s="68">
        <v>910.8</v>
      </c>
      <c r="IM21" s="69" t="s">
        <v>705</v>
      </c>
      <c r="IN21" s="70">
        <v>43</v>
      </c>
      <c r="IO21" s="230">
        <f t="shared" si="28"/>
        <v>39164.400000000001</v>
      </c>
      <c r="IR21" s="103"/>
      <c r="IS21" s="15">
        <v>14</v>
      </c>
      <c r="IT21" s="68">
        <v>870</v>
      </c>
      <c r="IU21" s="238">
        <v>45191</v>
      </c>
      <c r="IV21" s="68">
        <v>870</v>
      </c>
      <c r="IW21" s="69" t="s">
        <v>684</v>
      </c>
      <c r="IX21" s="70">
        <v>43</v>
      </c>
      <c r="IY21" s="230">
        <f t="shared" si="29"/>
        <v>37410</v>
      </c>
      <c r="IZ21" s="91"/>
      <c r="JB21" s="103"/>
      <c r="JC21" s="15">
        <v>14</v>
      </c>
      <c r="JD21" s="91">
        <v>933.5</v>
      </c>
      <c r="JE21" s="238">
        <v>45197</v>
      </c>
      <c r="JF21" s="91">
        <v>933.5</v>
      </c>
      <c r="JG21" s="69" t="s">
        <v>745</v>
      </c>
      <c r="JH21" s="70">
        <v>41</v>
      </c>
      <c r="JI21" s="358">
        <f t="shared" si="30"/>
        <v>38273.5</v>
      </c>
      <c r="JL21" s="103"/>
      <c r="JM21" s="15">
        <v>14</v>
      </c>
      <c r="JN21" s="91">
        <v>902.6</v>
      </c>
      <c r="JO21" s="231"/>
      <c r="JP21" s="91"/>
      <c r="JQ21" s="1591"/>
      <c r="JR21" s="70"/>
      <c r="JS21" s="358">
        <f t="shared" si="31"/>
        <v>0</v>
      </c>
      <c r="JV21" s="103" t="s">
        <v>547</v>
      </c>
      <c r="JW21" s="15">
        <v>14</v>
      </c>
      <c r="JX21" s="68">
        <v>915.8</v>
      </c>
      <c r="JY21" s="238">
        <v>45197</v>
      </c>
      <c r="JZ21" s="68">
        <v>915.8</v>
      </c>
      <c r="KA21" s="69" t="s">
        <v>749</v>
      </c>
      <c r="KB21" s="70">
        <v>0</v>
      </c>
      <c r="KC21" s="358">
        <f t="shared" si="32"/>
        <v>0</v>
      </c>
      <c r="KF21" s="93"/>
      <c r="KG21" s="15">
        <v>14</v>
      </c>
      <c r="KH21" s="68">
        <v>882.2</v>
      </c>
      <c r="KI21" s="238">
        <v>45196</v>
      </c>
      <c r="KJ21" s="68">
        <v>882.2</v>
      </c>
      <c r="KK21" s="69" t="s">
        <v>743</v>
      </c>
      <c r="KL21" s="70">
        <v>41</v>
      </c>
      <c r="KM21" s="358">
        <f t="shared" si="33"/>
        <v>36170.200000000004</v>
      </c>
      <c r="KP21" s="93"/>
      <c r="KQ21" s="15">
        <v>14</v>
      </c>
      <c r="KR21" s="68">
        <v>879.5</v>
      </c>
      <c r="KS21" s="238">
        <v>45197</v>
      </c>
      <c r="KT21" s="68">
        <v>879.5</v>
      </c>
      <c r="KU21" s="69" t="s">
        <v>756</v>
      </c>
      <c r="KV21" s="70">
        <v>41</v>
      </c>
      <c r="KW21" s="358">
        <f t="shared" si="34"/>
        <v>36059.5</v>
      </c>
      <c r="KZ21" s="103"/>
      <c r="LA21" s="15">
        <v>14</v>
      </c>
      <c r="LB21" s="91">
        <v>872.3</v>
      </c>
      <c r="LC21" s="231">
        <v>45198</v>
      </c>
      <c r="LD21" s="91">
        <v>872.3</v>
      </c>
      <c r="LE21" s="94" t="s">
        <v>753</v>
      </c>
      <c r="LF21" s="70">
        <v>41</v>
      </c>
      <c r="LG21" s="358">
        <f t="shared" si="35"/>
        <v>35764.299999999996</v>
      </c>
      <c r="LJ21" s="103"/>
      <c r="LK21" s="15">
        <v>14</v>
      </c>
      <c r="LL21" s="91">
        <v>882.7</v>
      </c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>
        <v>923.51</v>
      </c>
      <c r="LW21" s="231">
        <v>45199</v>
      </c>
      <c r="LX21" s="91">
        <v>923.51</v>
      </c>
      <c r="LY21" s="94" t="s">
        <v>776</v>
      </c>
      <c r="LZ21" s="70">
        <v>41</v>
      </c>
      <c r="MA21" s="358">
        <f t="shared" si="37"/>
        <v>37863.909999999996</v>
      </c>
      <c r="MB21" s="358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972" t="s">
        <v>262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283</v>
      </c>
      <c r="R22" s="70">
        <v>0</v>
      </c>
      <c r="S22" s="358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293</v>
      </c>
      <c r="AB22" s="70">
        <v>43</v>
      </c>
      <c r="AC22" s="358">
        <f t="shared" si="9"/>
        <v>40450.1</v>
      </c>
      <c r="AF22" s="103"/>
      <c r="AG22" s="15">
        <v>15</v>
      </c>
      <c r="AH22" s="282">
        <v>925.3</v>
      </c>
      <c r="AI22" s="231">
        <v>45174</v>
      </c>
      <c r="AJ22" s="282">
        <v>925.3</v>
      </c>
      <c r="AK22" s="94" t="s">
        <v>530</v>
      </c>
      <c r="AL22" s="70">
        <v>43</v>
      </c>
      <c r="AM22" s="70">
        <f t="shared" si="10"/>
        <v>39787.9</v>
      </c>
      <c r="AP22" s="103"/>
      <c r="AQ22" s="15">
        <v>15</v>
      </c>
      <c r="AR22" s="91">
        <v>901.7</v>
      </c>
      <c r="AS22" s="231">
        <v>45175</v>
      </c>
      <c r="AT22" s="91">
        <v>901.7</v>
      </c>
      <c r="AU22" s="94" t="s">
        <v>537</v>
      </c>
      <c r="AV22" s="70">
        <v>41</v>
      </c>
      <c r="AW22" s="70">
        <f t="shared" si="11"/>
        <v>36969.700000000004</v>
      </c>
      <c r="AX22" s="74" t="s">
        <v>514</v>
      </c>
      <c r="AZ22" s="1272" t="s">
        <v>547</v>
      </c>
      <c r="BA22" s="15">
        <v>15</v>
      </c>
      <c r="BB22" s="91">
        <v>861.8</v>
      </c>
      <c r="BC22" s="231">
        <v>45175</v>
      </c>
      <c r="BD22" s="91">
        <v>861.8</v>
      </c>
      <c r="BE22" s="94" t="s">
        <v>548</v>
      </c>
      <c r="BF22" s="70">
        <v>0</v>
      </c>
      <c r="BG22" s="358">
        <f t="shared" si="12"/>
        <v>0</v>
      </c>
      <c r="BJ22" s="103"/>
      <c r="BK22" s="15">
        <v>15</v>
      </c>
      <c r="BL22" s="91">
        <v>936.21</v>
      </c>
      <c r="BM22" s="231">
        <v>45176</v>
      </c>
      <c r="BN22" s="91">
        <v>936.21</v>
      </c>
      <c r="BO22" s="94" t="s">
        <v>567</v>
      </c>
      <c r="BP22" s="70">
        <v>44</v>
      </c>
      <c r="BQ22" s="434">
        <f t="shared" si="13"/>
        <v>41193.240000000005</v>
      </c>
      <c r="BR22" s="358"/>
      <c r="BT22" s="103"/>
      <c r="BU22" s="15">
        <v>15</v>
      </c>
      <c r="BV22" s="91">
        <v>894.5</v>
      </c>
      <c r="BW22" s="275">
        <v>45175</v>
      </c>
      <c r="BX22" s="91">
        <v>894.5</v>
      </c>
      <c r="BY22" s="499" t="s">
        <v>543</v>
      </c>
      <c r="BZ22" s="276">
        <v>43</v>
      </c>
      <c r="CA22" s="358">
        <f t="shared" si="5"/>
        <v>38463.5</v>
      </c>
      <c r="CD22" s="202"/>
      <c r="CE22" s="15">
        <v>15</v>
      </c>
      <c r="CF22" s="91">
        <v>933.5</v>
      </c>
      <c r="CG22" s="275">
        <v>45175</v>
      </c>
      <c r="CH22" s="91">
        <v>933.5</v>
      </c>
      <c r="CI22" s="277" t="s">
        <v>545</v>
      </c>
      <c r="CJ22" s="276">
        <v>43</v>
      </c>
      <c r="CK22" s="230">
        <f t="shared" si="14"/>
        <v>40140.5</v>
      </c>
      <c r="CN22" s="998"/>
      <c r="CO22" s="15">
        <v>15</v>
      </c>
      <c r="CP22" s="68">
        <v>929.9</v>
      </c>
      <c r="CQ22" s="275">
        <v>45178</v>
      </c>
      <c r="CR22" s="68">
        <v>929.9</v>
      </c>
      <c r="CS22" s="277" t="s">
        <v>594</v>
      </c>
      <c r="CT22" s="276">
        <v>42.5</v>
      </c>
      <c r="CU22" s="363">
        <f t="shared" si="58"/>
        <v>39520.75</v>
      </c>
      <c r="CX22" s="103"/>
      <c r="CY22" s="15">
        <v>15</v>
      </c>
      <c r="CZ22" s="91">
        <v>924</v>
      </c>
      <c r="DA22" s="231">
        <v>45177</v>
      </c>
      <c r="DB22" s="91">
        <v>924</v>
      </c>
      <c r="DC22" s="94" t="s">
        <v>577</v>
      </c>
      <c r="DD22" s="70">
        <v>45</v>
      </c>
      <c r="DE22" s="358">
        <f t="shared" si="15"/>
        <v>41580</v>
      </c>
      <c r="DH22" s="103"/>
      <c r="DI22" s="15">
        <v>15</v>
      </c>
      <c r="DJ22" s="91">
        <v>953.45</v>
      </c>
      <c r="DK22" s="231">
        <v>45178</v>
      </c>
      <c r="DL22" s="91">
        <v>953.45</v>
      </c>
      <c r="DM22" s="94" t="s">
        <v>596</v>
      </c>
      <c r="DN22" s="70">
        <v>45</v>
      </c>
      <c r="DO22" s="358">
        <f t="shared" si="16"/>
        <v>42905.25</v>
      </c>
      <c r="DR22" s="103"/>
      <c r="DS22" s="15">
        <v>15</v>
      </c>
      <c r="DT22" s="91">
        <v>892.7</v>
      </c>
      <c r="DU22" s="275">
        <v>45180</v>
      </c>
      <c r="DV22" s="91">
        <v>892.7</v>
      </c>
      <c r="DW22" s="277" t="s">
        <v>608</v>
      </c>
      <c r="DX22" s="276">
        <v>46</v>
      </c>
      <c r="DY22" s="358">
        <f t="shared" si="17"/>
        <v>41064.200000000004</v>
      </c>
      <c r="EB22" s="103"/>
      <c r="EC22" s="15">
        <v>15</v>
      </c>
      <c r="ED22" s="68">
        <v>876.3</v>
      </c>
      <c r="EE22" s="238"/>
      <c r="EF22" s="68"/>
      <c r="EG22" s="1341"/>
      <c r="EH22" s="70"/>
      <c r="EI22" s="358">
        <f t="shared" si="18"/>
        <v>0</v>
      </c>
      <c r="EL22" s="103"/>
      <c r="EM22" s="15">
        <v>15</v>
      </c>
      <c r="EN22" s="68">
        <v>858</v>
      </c>
      <c r="EO22" s="238">
        <v>45183</v>
      </c>
      <c r="EP22" s="68">
        <v>858</v>
      </c>
      <c r="EQ22" s="69" t="s">
        <v>642</v>
      </c>
      <c r="ER22" s="70">
        <v>46</v>
      </c>
      <c r="ES22" s="358">
        <f t="shared" si="19"/>
        <v>39468</v>
      </c>
      <c r="EV22" s="1291" t="s">
        <v>649</v>
      </c>
      <c r="EW22" s="15">
        <v>15</v>
      </c>
      <c r="EX22" s="91">
        <v>940.7</v>
      </c>
      <c r="EY22" s="231">
        <v>45183</v>
      </c>
      <c r="EZ22" s="91">
        <v>940.7</v>
      </c>
      <c r="FA22" s="69" t="s">
        <v>648</v>
      </c>
      <c r="FB22" s="70">
        <v>0</v>
      </c>
      <c r="FC22" s="358">
        <f t="shared" si="20"/>
        <v>0</v>
      </c>
      <c r="FF22" s="93"/>
      <c r="FG22" s="15">
        <v>15</v>
      </c>
      <c r="FH22" s="91">
        <v>921.7</v>
      </c>
      <c r="FI22" s="231">
        <v>45185</v>
      </c>
      <c r="FJ22" s="91">
        <v>921.7</v>
      </c>
      <c r="FK22" s="69" t="s">
        <v>660</v>
      </c>
      <c r="FL22" s="70">
        <v>45</v>
      </c>
      <c r="FM22" s="230">
        <f t="shared" si="21"/>
        <v>41476.5</v>
      </c>
      <c r="FP22" s="103"/>
      <c r="FQ22" s="15">
        <v>15</v>
      </c>
      <c r="FR22" s="91">
        <v>909.9</v>
      </c>
      <c r="FS22" s="231">
        <v>45189</v>
      </c>
      <c r="FT22" s="91">
        <v>909.9</v>
      </c>
      <c r="FU22" s="69" t="s">
        <v>691</v>
      </c>
      <c r="FV22" s="70">
        <v>43</v>
      </c>
      <c r="FW22" s="230">
        <f t="shared" si="22"/>
        <v>39125.699999999997</v>
      </c>
      <c r="FX22" s="70"/>
      <c r="FZ22" s="103"/>
      <c r="GA22" s="15">
        <v>15</v>
      </c>
      <c r="GB22" s="91">
        <v>896.75</v>
      </c>
      <c r="GC22" s="231">
        <v>45184</v>
      </c>
      <c r="GD22" s="91">
        <v>896.75</v>
      </c>
      <c r="GE22" s="69" t="s">
        <v>652</v>
      </c>
      <c r="GF22" s="70">
        <v>47</v>
      </c>
      <c r="GG22" s="358">
        <f t="shared" si="23"/>
        <v>42147.25</v>
      </c>
      <c r="GJ22" s="103"/>
      <c r="GK22" s="15">
        <v>15</v>
      </c>
      <c r="GL22" s="331">
        <v>887.2</v>
      </c>
      <c r="GM22" s="231">
        <v>45190</v>
      </c>
      <c r="GN22" s="331">
        <v>887.2</v>
      </c>
      <c r="GO22" s="94" t="s">
        <v>693</v>
      </c>
      <c r="GP22" s="70">
        <v>43</v>
      </c>
      <c r="GQ22" s="358">
        <f t="shared" si="24"/>
        <v>38149.599999999999</v>
      </c>
      <c r="GT22" s="103"/>
      <c r="GU22" s="15">
        <v>15</v>
      </c>
      <c r="GV22" s="91">
        <v>909</v>
      </c>
      <c r="GW22" s="231">
        <v>45192</v>
      </c>
      <c r="GX22" s="91">
        <v>909</v>
      </c>
      <c r="GY22" s="94" t="s">
        <v>715</v>
      </c>
      <c r="GZ22" s="70">
        <v>43</v>
      </c>
      <c r="HA22" s="358">
        <f t="shared" si="25"/>
        <v>39087</v>
      </c>
      <c r="HD22" s="103" t="s">
        <v>547</v>
      </c>
      <c r="HE22" s="15">
        <v>15</v>
      </c>
      <c r="HF22" s="91">
        <v>890.4</v>
      </c>
      <c r="HG22" s="231">
        <v>45189</v>
      </c>
      <c r="HH22" s="91">
        <v>890.4</v>
      </c>
      <c r="HI22" s="94" t="s">
        <v>679</v>
      </c>
      <c r="HJ22" s="70">
        <v>0</v>
      </c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1342"/>
      <c r="HT22" s="70"/>
      <c r="HU22" s="230">
        <f t="shared" si="27"/>
        <v>0</v>
      </c>
      <c r="HX22" s="93"/>
      <c r="HY22" s="15">
        <v>15</v>
      </c>
      <c r="HZ22" s="68">
        <v>922.1</v>
      </c>
      <c r="IA22" s="238">
        <v>45194</v>
      </c>
      <c r="IB22" s="68">
        <v>922.1</v>
      </c>
      <c r="IC22" s="69" t="s">
        <v>719</v>
      </c>
      <c r="ID22" s="70">
        <v>43</v>
      </c>
      <c r="IE22" s="358">
        <f t="shared" si="6"/>
        <v>39650.300000000003</v>
      </c>
      <c r="IH22" s="103"/>
      <c r="II22" s="15">
        <v>15</v>
      </c>
      <c r="IJ22" s="68">
        <v>883.1</v>
      </c>
      <c r="IK22" s="238">
        <v>45191</v>
      </c>
      <c r="IL22" s="68">
        <v>883.1</v>
      </c>
      <c r="IM22" s="69" t="s">
        <v>705</v>
      </c>
      <c r="IN22" s="70">
        <v>43</v>
      </c>
      <c r="IO22" s="230">
        <f t="shared" si="28"/>
        <v>37973.300000000003</v>
      </c>
      <c r="IR22" s="103"/>
      <c r="IS22" s="15">
        <v>15</v>
      </c>
      <c r="IT22" s="68">
        <v>890.4</v>
      </c>
      <c r="IU22" s="238">
        <v>45191</v>
      </c>
      <c r="IV22" s="68">
        <v>890.4</v>
      </c>
      <c r="IW22" s="69" t="s">
        <v>684</v>
      </c>
      <c r="IX22" s="70">
        <v>43</v>
      </c>
      <c r="IY22" s="230">
        <f t="shared" si="29"/>
        <v>38287.199999999997</v>
      </c>
      <c r="IZ22" s="91"/>
      <c r="JB22" s="103"/>
      <c r="JC22" s="15">
        <v>15</v>
      </c>
      <c r="JD22" s="91">
        <v>920.8</v>
      </c>
      <c r="JE22" s="238">
        <v>45197</v>
      </c>
      <c r="JF22" s="91">
        <v>920.8</v>
      </c>
      <c r="JG22" s="69" t="s">
        <v>746</v>
      </c>
      <c r="JH22" s="70">
        <v>41</v>
      </c>
      <c r="JI22" s="358">
        <f t="shared" si="30"/>
        <v>37752.799999999996</v>
      </c>
      <c r="JL22" s="103"/>
      <c r="JM22" s="15">
        <v>15</v>
      </c>
      <c r="JN22" s="91">
        <v>898.1</v>
      </c>
      <c r="JO22" s="231"/>
      <c r="JP22" s="91"/>
      <c r="JQ22" s="1591"/>
      <c r="JR22" s="70"/>
      <c r="JS22" s="358">
        <f t="shared" si="31"/>
        <v>0</v>
      </c>
      <c r="JV22" s="103" t="s">
        <v>547</v>
      </c>
      <c r="JW22" s="15">
        <v>15</v>
      </c>
      <c r="JX22" s="68">
        <v>882.7</v>
      </c>
      <c r="JY22" s="238">
        <v>45197</v>
      </c>
      <c r="JZ22" s="68">
        <v>882.7</v>
      </c>
      <c r="KA22" s="69" t="s">
        <v>751</v>
      </c>
      <c r="KB22" s="70">
        <v>0</v>
      </c>
      <c r="KC22" s="358">
        <f t="shared" si="32"/>
        <v>0</v>
      </c>
      <c r="KF22" s="93"/>
      <c r="KG22" s="15">
        <v>15</v>
      </c>
      <c r="KH22" s="68">
        <v>870.4</v>
      </c>
      <c r="KI22" s="238">
        <v>45196</v>
      </c>
      <c r="KJ22" s="68">
        <v>870.4</v>
      </c>
      <c r="KK22" s="69" t="s">
        <v>743</v>
      </c>
      <c r="KL22" s="70">
        <v>41</v>
      </c>
      <c r="KM22" s="358">
        <f t="shared" si="33"/>
        <v>35686.400000000001</v>
      </c>
      <c r="KP22" s="93"/>
      <c r="KQ22" s="15">
        <v>15</v>
      </c>
      <c r="KR22" s="68">
        <v>881.3</v>
      </c>
      <c r="KS22" s="238">
        <v>45197</v>
      </c>
      <c r="KT22" s="68">
        <v>881.3</v>
      </c>
      <c r="KU22" s="69" t="s">
        <v>756</v>
      </c>
      <c r="KV22" s="70">
        <v>41</v>
      </c>
      <c r="KW22" s="358">
        <f t="shared" si="34"/>
        <v>36133.299999999996</v>
      </c>
      <c r="KZ22" s="103"/>
      <c r="LA22" s="15">
        <v>15</v>
      </c>
      <c r="LB22" s="91">
        <v>879.5</v>
      </c>
      <c r="LC22" s="231">
        <v>45198</v>
      </c>
      <c r="LD22" s="91">
        <v>879.5</v>
      </c>
      <c r="LE22" s="94" t="s">
        <v>753</v>
      </c>
      <c r="LF22" s="70">
        <v>41</v>
      </c>
      <c r="LG22" s="358">
        <f t="shared" si="35"/>
        <v>36059.5</v>
      </c>
      <c r="LJ22" s="103"/>
      <c r="LK22" s="15">
        <v>15</v>
      </c>
      <c r="LL22" s="91">
        <v>933</v>
      </c>
      <c r="LM22" s="231">
        <v>45199</v>
      </c>
      <c r="LN22" s="91">
        <v>933</v>
      </c>
      <c r="LO22" s="94" t="s">
        <v>759</v>
      </c>
      <c r="LP22" s="70">
        <v>41</v>
      </c>
      <c r="LQ22" s="230">
        <f t="shared" si="36"/>
        <v>38253</v>
      </c>
      <c r="LT22" s="103"/>
      <c r="LU22" s="15">
        <v>15</v>
      </c>
      <c r="LV22" s="91">
        <v>891.76</v>
      </c>
      <c r="LW22" s="231">
        <v>45199</v>
      </c>
      <c r="LX22" s="91">
        <v>891.76</v>
      </c>
      <c r="LY22" s="94" t="s">
        <v>776</v>
      </c>
      <c r="LZ22" s="70">
        <v>41</v>
      </c>
      <c r="MA22" s="358">
        <f t="shared" si="37"/>
        <v>36562.159999999996</v>
      </c>
      <c r="MB22" s="358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972" t="s">
        <v>262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285</v>
      </c>
      <c r="R23" s="70">
        <v>0</v>
      </c>
      <c r="S23" s="358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287</v>
      </c>
      <c r="AB23" s="70">
        <v>43</v>
      </c>
      <c r="AC23" s="358">
        <f t="shared" si="9"/>
        <v>37878.699999999997</v>
      </c>
      <c r="AF23" s="103"/>
      <c r="AG23" s="15">
        <v>16</v>
      </c>
      <c r="AH23" s="282">
        <v>915.3</v>
      </c>
      <c r="AI23" s="231">
        <v>45173</v>
      </c>
      <c r="AJ23" s="282">
        <v>915.3</v>
      </c>
      <c r="AK23" s="94" t="s">
        <v>524</v>
      </c>
      <c r="AL23" s="70">
        <v>43</v>
      </c>
      <c r="AM23" s="70">
        <f t="shared" si="10"/>
        <v>39357.9</v>
      </c>
      <c r="AN23" s="74" t="s">
        <v>514</v>
      </c>
      <c r="AP23" s="103"/>
      <c r="AQ23" s="15">
        <v>16</v>
      </c>
      <c r="AR23" s="91">
        <v>934.4</v>
      </c>
      <c r="AS23" s="231">
        <v>45175</v>
      </c>
      <c r="AT23" s="91">
        <v>934.4</v>
      </c>
      <c r="AU23" s="94" t="s">
        <v>541</v>
      </c>
      <c r="AV23" s="70">
        <v>41</v>
      </c>
      <c r="AW23" s="70">
        <f t="shared" si="11"/>
        <v>38310.400000000001</v>
      </c>
      <c r="AZ23" s="1272" t="s">
        <v>547</v>
      </c>
      <c r="BA23" s="15">
        <v>16</v>
      </c>
      <c r="BB23" s="91">
        <v>896.3</v>
      </c>
      <c r="BC23" s="231">
        <v>45175</v>
      </c>
      <c r="BD23" s="91">
        <v>896.3</v>
      </c>
      <c r="BE23" s="94" t="s">
        <v>548</v>
      </c>
      <c r="BF23" s="70">
        <v>0</v>
      </c>
      <c r="BG23" s="358">
        <f t="shared" si="12"/>
        <v>0</v>
      </c>
      <c r="BJ23" s="103"/>
      <c r="BK23" s="15">
        <v>16</v>
      </c>
      <c r="BL23" s="91">
        <v>937.12</v>
      </c>
      <c r="BM23" s="231">
        <v>45176</v>
      </c>
      <c r="BN23" s="91">
        <v>937.12</v>
      </c>
      <c r="BO23" s="94" t="s">
        <v>567</v>
      </c>
      <c r="BP23" s="70">
        <v>44</v>
      </c>
      <c r="BQ23" s="434">
        <f t="shared" si="13"/>
        <v>41233.279999999999</v>
      </c>
      <c r="BR23" s="358"/>
      <c r="BT23" s="103"/>
      <c r="BU23" s="15">
        <v>16</v>
      </c>
      <c r="BV23" s="91">
        <v>870.9</v>
      </c>
      <c r="BW23" s="275">
        <v>45175</v>
      </c>
      <c r="BX23" s="91">
        <v>870.9</v>
      </c>
      <c r="BY23" s="499" t="s">
        <v>543</v>
      </c>
      <c r="BZ23" s="276">
        <v>43</v>
      </c>
      <c r="CA23" s="358">
        <f t="shared" si="5"/>
        <v>37448.699999999997</v>
      </c>
      <c r="CD23" s="202"/>
      <c r="CE23" s="15">
        <v>16</v>
      </c>
      <c r="CF23" s="91">
        <v>895.4</v>
      </c>
      <c r="CG23" s="275">
        <v>45175</v>
      </c>
      <c r="CH23" s="91">
        <v>895.4</v>
      </c>
      <c r="CI23" s="277" t="s">
        <v>545</v>
      </c>
      <c r="CJ23" s="276">
        <v>43</v>
      </c>
      <c r="CK23" s="230">
        <f t="shared" si="14"/>
        <v>38502.199999999997</v>
      </c>
      <c r="CN23" s="998"/>
      <c r="CO23" s="15">
        <v>16</v>
      </c>
      <c r="CP23" s="91">
        <v>925.3</v>
      </c>
      <c r="CQ23" s="275">
        <v>45178</v>
      </c>
      <c r="CR23" s="91">
        <v>925.3</v>
      </c>
      <c r="CS23" s="277" t="s">
        <v>593</v>
      </c>
      <c r="CT23" s="276">
        <v>45</v>
      </c>
      <c r="CU23" s="363">
        <f t="shared" si="58"/>
        <v>41638.5</v>
      </c>
      <c r="CX23" s="103"/>
      <c r="CY23" s="15">
        <v>16</v>
      </c>
      <c r="CZ23" s="91">
        <v>944</v>
      </c>
      <c r="DA23" s="231">
        <v>45177</v>
      </c>
      <c r="DB23" s="91">
        <v>944</v>
      </c>
      <c r="DC23" s="94" t="s">
        <v>580</v>
      </c>
      <c r="DD23" s="70">
        <v>45</v>
      </c>
      <c r="DE23" s="358">
        <f t="shared" si="15"/>
        <v>42480</v>
      </c>
      <c r="DH23" s="103"/>
      <c r="DI23" s="15">
        <v>16</v>
      </c>
      <c r="DJ23" s="91">
        <v>941.65</v>
      </c>
      <c r="DK23" s="231">
        <v>45181</v>
      </c>
      <c r="DL23" s="91">
        <v>941.65</v>
      </c>
      <c r="DM23" s="94" t="s">
        <v>614</v>
      </c>
      <c r="DN23" s="70">
        <v>46</v>
      </c>
      <c r="DO23" s="358">
        <f t="shared" si="16"/>
        <v>43315.9</v>
      </c>
      <c r="DR23" s="103"/>
      <c r="DS23" s="15">
        <v>16</v>
      </c>
      <c r="DT23" s="91">
        <v>914.9</v>
      </c>
      <c r="DU23" s="275">
        <v>45180</v>
      </c>
      <c r="DV23" s="91">
        <v>914.9</v>
      </c>
      <c r="DW23" s="277" t="s">
        <v>608</v>
      </c>
      <c r="DX23" s="276">
        <v>46</v>
      </c>
      <c r="DY23" s="358">
        <f t="shared" si="17"/>
        <v>42085.4</v>
      </c>
      <c r="EB23" s="103"/>
      <c r="EC23" s="15">
        <v>16</v>
      </c>
      <c r="ED23" s="68">
        <v>925.3</v>
      </c>
      <c r="EE23" s="238"/>
      <c r="EF23" s="68"/>
      <c r="EG23" s="1341"/>
      <c r="EH23" s="70"/>
      <c r="EI23" s="358">
        <f t="shared" si="18"/>
        <v>0</v>
      </c>
      <c r="EL23" s="103"/>
      <c r="EM23" s="15">
        <v>16</v>
      </c>
      <c r="EN23" s="68">
        <v>861</v>
      </c>
      <c r="EO23" s="238">
        <v>45183</v>
      </c>
      <c r="EP23" s="68">
        <v>861</v>
      </c>
      <c r="EQ23" s="69" t="s">
        <v>642</v>
      </c>
      <c r="ER23" s="70">
        <v>46</v>
      </c>
      <c r="ES23" s="358">
        <f t="shared" si="19"/>
        <v>39606</v>
      </c>
      <c r="EV23" s="1291" t="s">
        <v>649</v>
      </c>
      <c r="EW23" s="15">
        <v>16</v>
      </c>
      <c r="EX23" s="91">
        <v>911.7</v>
      </c>
      <c r="EY23" s="231">
        <v>45183</v>
      </c>
      <c r="EZ23" s="91">
        <v>911.7</v>
      </c>
      <c r="FA23" s="69" t="s">
        <v>648</v>
      </c>
      <c r="FB23" s="70">
        <v>0</v>
      </c>
      <c r="FC23" s="358">
        <f t="shared" si="20"/>
        <v>0</v>
      </c>
      <c r="FF23" s="93"/>
      <c r="FG23" s="15">
        <v>16</v>
      </c>
      <c r="FH23" s="91">
        <v>925.3</v>
      </c>
      <c r="FI23" s="231">
        <v>45185</v>
      </c>
      <c r="FJ23" s="91">
        <v>925.3</v>
      </c>
      <c r="FK23" s="69" t="s">
        <v>660</v>
      </c>
      <c r="FL23" s="70">
        <v>45</v>
      </c>
      <c r="FM23" s="230">
        <f t="shared" si="21"/>
        <v>41638.5</v>
      </c>
      <c r="FP23" s="103"/>
      <c r="FQ23" s="15">
        <v>16</v>
      </c>
      <c r="FR23" s="91">
        <v>882.7</v>
      </c>
      <c r="FS23" s="231">
        <v>45189</v>
      </c>
      <c r="FT23" s="91">
        <v>882.7</v>
      </c>
      <c r="FU23" s="69" t="s">
        <v>691</v>
      </c>
      <c r="FV23" s="70">
        <v>43</v>
      </c>
      <c r="FW23" s="230">
        <f t="shared" si="22"/>
        <v>37956.1</v>
      </c>
      <c r="FX23" s="70"/>
      <c r="FZ23" s="103"/>
      <c r="GA23" s="15">
        <v>16</v>
      </c>
      <c r="GB23" s="91">
        <v>932.13</v>
      </c>
      <c r="GC23" s="231">
        <v>45184</v>
      </c>
      <c r="GD23" s="91">
        <v>932.13</v>
      </c>
      <c r="GE23" s="69" t="s">
        <v>652</v>
      </c>
      <c r="GF23" s="70">
        <v>47</v>
      </c>
      <c r="GG23" s="358">
        <f t="shared" si="23"/>
        <v>43810.11</v>
      </c>
      <c r="GJ23" s="103"/>
      <c r="GK23" s="15">
        <v>16</v>
      </c>
      <c r="GL23" s="331">
        <v>919.4</v>
      </c>
      <c r="GM23" s="231">
        <v>45190</v>
      </c>
      <c r="GN23" s="331">
        <v>919.4</v>
      </c>
      <c r="GO23" s="94" t="s">
        <v>693</v>
      </c>
      <c r="GP23" s="70">
        <v>43</v>
      </c>
      <c r="GQ23" s="358">
        <f t="shared" si="24"/>
        <v>39534.199999999997</v>
      </c>
      <c r="GT23" s="103"/>
      <c r="GU23" s="15">
        <v>16</v>
      </c>
      <c r="GV23" s="91">
        <v>904.9</v>
      </c>
      <c r="GW23" s="231">
        <v>45192</v>
      </c>
      <c r="GX23" s="91">
        <v>904.9</v>
      </c>
      <c r="GY23" s="94" t="s">
        <v>710</v>
      </c>
      <c r="GZ23" s="70">
        <v>43</v>
      </c>
      <c r="HA23" s="358">
        <f t="shared" si="25"/>
        <v>38910.699999999997</v>
      </c>
      <c r="HD23" s="103" t="s">
        <v>547</v>
      </c>
      <c r="HE23" s="15">
        <v>16</v>
      </c>
      <c r="HF23" s="91">
        <v>901.3</v>
      </c>
      <c r="HG23" s="231">
        <v>45189</v>
      </c>
      <c r="HH23" s="91">
        <v>901.3</v>
      </c>
      <c r="HI23" s="94" t="s">
        <v>679</v>
      </c>
      <c r="HJ23" s="70">
        <v>0</v>
      </c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1342"/>
      <c r="HT23" s="70"/>
      <c r="HU23" s="230">
        <f t="shared" si="27"/>
        <v>0</v>
      </c>
      <c r="HX23" s="93"/>
      <c r="HY23" s="15">
        <v>16</v>
      </c>
      <c r="HZ23" s="68">
        <v>894.5</v>
      </c>
      <c r="IA23" s="238">
        <v>45192</v>
      </c>
      <c r="IB23" s="68">
        <v>894.5</v>
      </c>
      <c r="IC23" s="69" t="s">
        <v>716</v>
      </c>
      <c r="ID23" s="70">
        <v>43</v>
      </c>
      <c r="IE23" s="358">
        <f t="shared" si="6"/>
        <v>38463.5</v>
      </c>
      <c r="IH23" s="103"/>
      <c r="II23" s="15">
        <v>16</v>
      </c>
      <c r="IJ23" s="68">
        <v>930.3</v>
      </c>
      <c r="IK23" s="238">
        <v>45191</v>
      </c>
      <c r="IL23" s="68">
        <v>930.3</v>
      </c>
      <c r="IM23" s="69" t="s">
        <v>705</v>
      </c>
      <c r="IN23" s="70">
        <v>43</v>
      </c>
      <c r="IO23" s="230">
        <f t="shared" si="28"/>
        <v>40002.9</v>
      </c>
      <c r="IR23" s="103"/>
      <c r="IS23" s="15">
        <v>16</v>
      </c>
      <c r="IT23" s="68">
        <v>882.7</v>
      </c>
      <c r="IU23" s="238">
        <v>45191</v>
      </c>
      <c r="IV23" s="68">
        <v>882.7</v>
      </c>
      <c r="IW23" s="69" t="s">
        <v>684</v>
      </c>
      <c r="IX23" s="70">
        <v>43</v>
      </c>
      <c r="IY23" s="230">
        <f t="shared" si="29"/>
        <v>37956.1</v>
      </c>
      <c r="IZ23" s="102"/>
      <c r="JA23" s="68"/>
      <c r="JB23" s="103"/>
      <c r="JC23" s="15">
        <v>16</v>
      </c>
      <c r="JD23" s="91">
        <v>937.6</v>
      </c>
      <c r="JE23" s="238">
        <v>45197</v>
      </c>
      <c r="JF23" s="91">
        <v>937.6</v>
      </c>
      <c r="JG23" s="69" t="s">
        <v>745</v>
      </c>
      <c r="JH23" s="70">
        <v>41</v>
      </c>
      <c r="JI23" s="358">
        <f t="shared" si="30"/>
        <v>38441.599999999999</v>
      </c>
      <c r="JL23" s="103"/>
      <c r="JM23" s="15">
        <v>16</v>
      </c>
      <c r="JN23" s="91">
        <v>902.6</v>
      </c>
      <c r="JO23" s="231"/>
      <c r="JP23" s="91"/>
      <c r="JQ23" s="1591"/>
      <c r="JR23" s="70"/>
      <c r="JS23" s="358">
        <f t="shared" si="31"/>
        <v>0</v>
      </c>
      <c r="JV23" s="103" t="s">
        <v>547</v>
      </c>
      <c r="JW23" s="15">
        <v>16</v>
      </c>
      <c r="JX23" s="68">
        <v>911.3</v>
      </c>
      <c r="JY23" s="238">
        <v>45197</v>
      </c>
      <c r="JZ23" s="68">
        <v>911.3</v>
      </c>
      <c r="KA23" s="69" t="s">
        <v>749</v>
      </c>
      <c r="KB23" s="70">
        <v>0</v>
      </c>
      <c r="KC23" s="358">
        <f t="shared" si="32"/>
        <v>0</v>
      </c>
      <c r="KF23" s="93"/>
      <c r="KG23" s="15">
        <v>16</v>
      </c>
      <c r="KH23" s="68">
        <v>913.1</v>
      </c>
      <c r="KI23" s="238">
        <v>45196</v>
      </c>
      <c r="KJ23" s="68">
        <v>913.1</v>
      </c>
      <c r="KK23" s="69" t="s">
        <v>743</v>
      </c>
      <c r="KL23" s="70">
        <v>41</v>
      </c>
      <c r="KM23" s="358">
        <f t="shared" si="33"/>
        <v>37437.1</v>
      </c>
      <c r="KP23" s="93"/>
      <c r="KQ23" s="15">
        <v>16</v>
      </c>
      <c r="KR23" s="68">
        <v>918.5</v>
      </c>
      <c r="KS23" s="238">
        <v>45197</v>
      </c>
      <c r="KT23" s="68">
        <v>918.5</v>
      </c>
      <c r="KU23" s="69" t="s">
        <v>756</v>
      </c>
      <c r="KV23" s="70">
        <v>41</v>
      </c>
      <c r="KW23" s="358">
        <f t="shared" si="34"/>
        <v>37658.5</v>
      </c>
      <c r="KZ23" s="103"/>
      <c r="LA23" s="15">
        <v>16</v>
      </c>
      <c r="LB23" s="91">
        <v>916.3</v>
      </c>
      <c r="LC23" s="231">
        <v>45198</v>
      </c>
      <c r="LD23" s="91">
        <v>916.3</v>
      </c>
      <c r="LE23" s="94" t="s">
        <v>753</v>
      </c>
      <c r="LF23" s="70">
        <v>41</v>
      </c>
      <c r="LG23" s="358">
        <f t="shared" si="35"/>
        <v>37568.299999999996</v>
      </c>
      <c r="LJ23" s="103"/>
      <c r="LK23" s="15">
        <v>16</v>
      </c>
      <c r="LL23" s="91">
        <v>885.4</v>
      </c>
      <c r="LM23" s="231">
        <v>45199</v>
      </c>
      <c r="LN23" s="91">
        <v>885.4</v>
      </c>
      <c r="LO23" s="94" t="s">
        <v>759</v>
      </c>
      <c r="LP23" s="70">
        <v>41</v>
      </c>
      <c r="LQ23" s="230">
        <f t="shared" si="36"/>
        <v>36301.4</v>
      </c>
      <c r="LT23" s="103"/>
      <c r="LU23" s="15">
        <v>16</v>
      </c>
      <c r="LV23" s="91">
        <v>922.6</v>
      </c>
      <c r="LW23" s="231">
        <v>45199</v>
      </c>
      <c r="LX23" s="91">
        <v>922.6</v>
      </c>
      <c r="LY23" s="94" t="s">
        <v>776</v>
      </c>
      <c r="LZ23" s="70">
        <v>41</v>
      </c>
      <c r="MA23" s="358">
        <f t="shared" si="37"/>
        <v>37826.6</v>
      </c>
      <c r="MB23" s="358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972" t="s">
        <v>262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285</v>
      </c>
      <c r="R24" s="70">
        <v>0</v>
      </c>
      <c r="S24" s="358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293</v>
      </c>
      <c r="AB24" s="70">
        <v>43</v>
      </c>
      <c r="AC24" s="358">
        <f t="shared" si="9"/>
        <v>38579.599999999999</v>
      </c>
      <c r="AF24" s="103"/>
      <c r="AG24" s="15">
        <v>17</v>
      </c>
      <c r="AH24" s="282">
        <v>871.8</v>
      </c>
      <c r="AI24" s="231">
        <v>45173</v>
      </c>
      <c r="AJ24" s="282">
        <v>871.8</v>
      </c>
      <c r="AK24" s="94" t="s">
        <v>520</v>
      </c>
      <c r="AL24" s="70">
        <v>43</v>
      </c>
      <c r="AM24" s="70">
        <f t="shared" si="10"/>
        <v>37487.4</v>
      </c>
      <c r="AP24" s="103"/>
      <c r="AQ24" s="15">
        <v>17</v>
      </c>
      <c r="AR24" s="91">
        <v>940.7</v>
      </c>
      <c r="AS24" s="231">
        <v>45174</v>
      </c>
      <c r="AT24" s="91">
        <v>940.7</v>
      </c>
      <c r="AU24" s="94" t="s">
        <v>531</v>
      </c>
      <c r="AV24" s="70">
        <v>43</v>
      </c>
      <c r="AW24" s="70">
        <f t="shared" si="11"/>
        <v>40450.1</v>
      </c>
      <c r="AZ24" s="1272" t="s">
        <v>547</v>
      </c>
      <c r="BA24" s="15">
        <v>17</v>
      </c>
      <c r="BB24" s="91">
        <v>912.6</v>
      </c>
      <c r="BC24" s="231">
        <v>45175</v>
      </c>
      <c r="BD24" s="91">
        <v>912.6</v>
      </c>
      <c r="BE24" s="94" t="s">
        <v>546</v>
      </c>
      <c r="BF24" s="70">
        <v>0</v>
      </c>
      <c r="BG24" s="358">
        <f t="shared" si="12"/>
        <v>0</v>
      </c>
      <c r="BJ24" s="103"/>
      <c r="BK24" s="15">
        <v>17</v>
      </c>
      <c r="BL24" s="91">
        <v>922.6</v>
      </c>
      <c r="BM24" s="231">
        <v>45176</v>
      </c>
      <c r="BN24" s="91">
        <v>922.6</v>
      </c>
      <c r="BO24" s="94" t="s">
        <v>567</v>
      </c>
      <c r="BP24" s="70">
        <v>44</v>
      </c>
      <c r="BQ24" s="434">
        <f t="shared" si="13"/>
        <v>40594.400000000001</v>
      </c>
      <c r="BR24" s="358"/>
      <c r="BT24" s="103"/>
      <c r="BU24" s="15">
        <v>17</v>
      </c>
      <c r="BV24" s="91">
        <v>894.5</v>
      </c>
      <c r="BW24" s="275">
        <v>45175</v>
      </c>
      <c r="BX24" s="91">
        <v>894.5</v>
      </c>
      <c r="BY24" s="499" t="s">
        <v>543</v>
      </c>
      <c r="BZ24" s="276">
        <v>43</v>
      </c>
      <c r="CA24" s="358">
        <f t="shared" si="5"/>
        <v>38463.5</v>
      </c>
      <c r="CD24" s="202"/>
      <c r="CE24" s="15">
        <v>17</v>
      </c>
      <c r="CF24" s="91">
        <v>907.2</v>
      </c>
      <c r="CG24" s="275">
        <v>45175</v>
      </c>
      <c r="CH24" s="91">
        <v>907.2</v>
      </c>
      <c r="CI24" s="277" t="s">
        <v>545</v>
      </c>
      <c r="CJ24" s="276">
        <v>43</v>
      </c>
      <c r="CK24" s="230">
        <f t="shared" si="14"/>
        <v>39009.599999999999</v>
      </c>
      <c r="CN24" s="998"/>
      <c r="CO24" s="15">
        <v>17</v>
      </c>
      <c r="CP24" s="91">
        <v>938</v>
      </c>
      <c r="CQ24" s="275">
        <v>45178</v>
      </c>
      <c r="CR24" s="91">
        <v>938</v>
      </c>
      <c r="CS24" s="277" t="s">
        <v>594</v>
      </c>
      <c r="CT24" s="276">
        <v>42.5</v>
      </c>
      <c r="CU24" s="363">
        <f t="shared" si="58"/>
        <v>39865</v>
      </c>
      <c r="CX24" s="103"/>
      <c r="CY24" s="15">
        <v>17</v>
      </c>
      <c r="CZ24" s="91">
        <v>915</v>
      </c>
      <c r="DA24" s="231">
        <v>45177</v>
      </c>
      <c r="DB24" s="91">
        <v>915</v>
      </c>
      <c r="DC24" s="94" t="s">
        <v>577</v>
      </c>
      <c r="DD24" s="70">
        <v>45</v>
      </c>
      <c r="DE24" s="358">
        <f t="shared" si="15"/>
        <v>41175</v>
      </c>
      <c r="DH24" s="103"/>
      <c r="DI24" s="15">
        <v>17</v>
      </c>
      <c r="DJ24" s="91">
        <v>922.6</v>
      </c>
      <c r="DK24" s="231">
        <v>45178</v>
      </c>
      <c r="DL24" s="91">
        <v>922.6</v>
      </c>
      <c r="DM24" s="94" t="s">
        <v>613</v>
      </c>
      <c r="DN24" s="70">
        <v>46</v>
      </c>
      <c r="DO24" s="358">
        <f t="shared" si="16"/>
        <v>42439.6</v>
      </c>
      <c r="DR24" s="103"/>
      <c r="DS24" s="15">
        <v>17</v>
      </c>
      <c r="DT24" s="91">
        <v>890.4</v>
      </c>
      <c r="DU24" s="275">
        <v>45180</v>
      </c>
      <c r="DV24" s="91">
        <v>890.4</v>
      </c>
      <c r="DW24" s="277" t="s">
        <v>608</v>
      </c>
      <c r="DX24" s="276">
        <v>46</v>
      </c>
      <c r="DY24" s="358">
        <f t="shared" si="17"/>
        <v>40958.400000000001</v>
      </c>
      <c r="EB24" s="103"/>
      <c r="EC24" s="15">
        <v>17</v>
      </c>
      <c r="ED24" s="68">
        <v>925.3</v>
      </c>
      <c r="EE24" s="238"/>
      <c r="EF24" s="68"/>
      <c r="EG24" s="1341"/>
      <c r="EH24" s="70"/>
      <c r="EI24" s="358">
        <f t="shared" si="18"/>
        <v>0</v>
      </c>
      <c r="EL24" s="103"/>
      <c r="EM24" s="15">
        <v>17</v>
      </c>
      <c r="EN24" s="68">
        <v>875</v>
      </c>
      <c r="EO24" s="238">
        <v>45183</v>
      </c>
      <c r="EP24" s="68">
        <v>875</v>
      </c>
      <c r="EQ24" s="69" t="s">
        <v>636</v>
      </c>
      <c r="ER24" s="70">
        <v>46</v>
      </c>
      <c r="ES24" s="358">
        <f t="shared" si="19"/>
        <v>40250</v>
      </c>
      <c r="EV24" s="1291" t="s">
        <v>649</v>
      </c>
      <c r="EW24" s="15">
        <v>17</v>
      </c>
      <c r="EX24" s="91">
        <v>928</v>
      </c>
      <c r="EY24" s="231">
        <v>45182</v>
      </c>
      <c r="EZ24" s="91">
        <v>928</v>
      </c>
      <c r="FA24" s="69" t="s">
        <v>648</v>
      </c>
      <c r="FB24" s="70">
        <v>0</v>
      </c>
      <c r="FC24" s="358">
        <f t="shared" si="20"/>
        <v>0</v>
      </c>
      <c r="FF24" s="93"/>
      <c r="FG24" s="15">
        <v>17</v>
      </c>
      <c r="FH24" s="91">
        <v>911.7</v>
      </c>
      <c r="FI24" s="231">
        <v>45185</v>
      </c>
      <c r="FJ24" s="91">
        <v>911.7</v>
      </c>
      <c r="FK24" s="69" t="s">
        <v>660</v>
      </c>
      <c r="FL24" s="70">
        <v>45</v>
      </c>
      <c r="FM24" s="230">
        <f t="shared" si="21"/>
        <v>41026.5</v>
      </c>
      <c r="FP24" s="103"/>
      <c r="FQ24" s="15">
        <v>17</v>
      </c>
      <c r="FR24" s="91">
        <v>925.3</v>
      </c>
      <c r="FS24" s="231">
        <v>45188</v>
      </c>
      <c r="FT24" s="91">
        <v>925.3</v>
      </c>
      <c r="FU24" s="69" t="s">
        <v>691</v>
      </c>
      <c r="FV24" s="70">
        <v>43</v>
      </c>
      <c r="FW24" s="230">
        <f t="shared" si="22"/>
        <v>39787.9</v>
      </c>
      <c r="FX24" s="70"/>
      <c r="FZ24" s="103"/>
      <c r="GA24" s="15">
        <v>17</v>
      </c>
      <c r="GB24" s="91">
        <v>928.04</v>
      </c>
      <c r="GC24" s="231">
        <v>45184</v>
      </c>
      <c r="GD24" s="91">
        <v>928.04</v>
      </c>
      <c r="GE24" s="69" t="s">
        <v>652</v>
      </c>
      <c r="GF24" s="70">
        <v>47</v>
      </c>
      <c r="GG24" s="358">
        <f t="shared" si="23"/>
        <v>43617.88</v>
      </c>
      <c r="GJ24" s="103"/>
      <c r="GK24" s="15">
        <v>17</v>
      </c>
      <c r="GL24" s="331">
        <v>872.7</v>
      </c>
      <c r="GM24" s="231">
        <v>45190</v>
      </c>
      <c r="GN24" s="331">
        <v>872.7</v>
      </c>
      <c r="GO24" s="94" t="s">
        <v>693</v>
      </c>
      <c r="GP24" s="70">
        <v>43</v>
      </c>
      <c r="GQ24" s="358">
        <f t="shared" si="24"/>
        <v>37526.1</v>
      </c>
      <c r="GT24" s="103"/>
      <c r="GU24" s="15">
        <v>17</v>
      </c>
      <c r="GV24" s="91">
        <v>928.5</v>
      </c>
      <c r="GW24" s="231">
        <v>45192</v>
      </c>
      <c r="GX24" s="91">
        <v>928.5</v>
      </c>
      <c r="GY24" s="94" t="s">
        <v>710</v>
      </c>
      <c r="GZ24" s="70">
        <v>43</v>
      </c>
      <c r="HA24" s="358">
        <f t="shared" si="25"/>
        <v>39925.5</v>
      </c>
      <c r="HD24" s="103" t="s">
        <v>547</v>
      </c>
      <c r="HE24" s="15">
        <v>17</v>
      </c>
      <c r="HF24" s="91">
        <v>889.5</v>
      </c>
      <c r="HG24" s="231">
        <v>45189</v>
      </c>
      <c r="HH24" s="91">
        <v>889.5</v>
      </c>
      <c r="HI24" s="94" t="s">
        <v>679</v>
      </c>
      <c r="HJ24" s="70">
        <v>0</v>
      </c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1342"/>
      <c r="HT24" s="70"/>
      <c r="HU24" s="230">
        <f t="shared" si="27"/>
        <v>0</v>
      </c>
      <c r="HX24" s="103"/>
      <c r="HY24" s="15">
        <v>17</v>
      </c>
      <c r="HZ24" s="68">
        <v>896.3</v>
      </c>
      <c r="IA24" s="238">
        <v>45194</v>
      </c>
      <c r="IB24" s="68">
        <v>896.3</v>
      </c>
      <c r="IC24" s="69" t="s">
        <v>719</v>
      </c>
      <c r="ID24" s="70">
        <v>43</v>
      </c>
      <c r="IE24" s="358">
        <f t="shared" si="6"/>
        <v>38540.9</v>
      </c>
      <c r="IH24" s="103"/>
      <c r="II24" s="15">
        <v>17</v>
      </c>
      <c r="IJ24" s="68">
        <v>928</v>
      </c>
      <c r="IK24" s="238">
        <v>45191</v>
      </c>
      <c r="IL24" s="68">
        <v>928</v>
      </c>
      <c r="IM24" s="69" t="s">
        <v>705</v>
      </c>
      <c r="IN24" s="70">
        <v>43</v>
      </c>
      <c r="IO24" s="230">
        <f t="shared" si="28"/>
        <v>39904</v>
      </c>
      <c r="IR24" s="103"/>
      <c r="IS24" s="15">
        <v>17</v>
      </c>
      <c r="IT24" s="68">
        <v>926.7</v>
      </c>
      <c r="IU24" s="238">
        <v>45191</v>
      </c>
      <c r="IV24" s="68">
        <v>926.7</v>
      </c>
      <c r="IW24" s="69" t="s">
        <v>684</v>
      </c>
      <c r="IX24" s="70">
        <v>43</v>
      </c>
      <c r="IY24" s="230">
        <f t="shared" si="29"/>
        <v>39848.1</v>
      </c>
      <c r="JA24" s="68"/>
      <c r="JB24" s="103"/>
      <c r="JC24" s="15">
        <v>17</v>
      </c>
      <c r="JD24" s="91">
        <v>932.1</v>
      </c>
      <c r="JE24" s="238">
        <v>45197</v>
      </c>
      <c r="JF24" s="91">
        <v>932.1</v>
      </c>
      <c r="JG24" s="69" t="s">
        <v>745</v>
      </c>
      <c r="JH24" s="70">
        <v>41</v>
      </c>
      <c r="JI24" s="230">
        <f t="shared" si="30"/>
        <v>38216.1</v>
      </c>
      <c r="JL24" s="103"/>
      <c r="JM24" s="15">
        <v>17</v>
      </c>
      <c r="JN24" s="91">
        <v>889</v>
      </c>
      <c r="JO24" s="231"/>
      <c r="JP24" s="91"/>
      <c r="JQ24" s="1591"/>
      <c r="JR24" s="70"/>
      <c r="JS24" s="358">
        <f t="shared" si="31"/>
        <v>0</v>
      </c>
      <c r="JV24" s="103" t="s">
        <v>547</v>
      </c>
      <c r="JW24" s="15">
        <v>17</v>
      </c>
      <c r="JX24" s="68">
        <v>898.6</v>
      </c>
      <c r="JY24" s="238">
        <v>45197</v>
      </c>
      <c r="JZ24" s="68">
        <v>898.6</v>
      </c>
      <c r="KA24" s="69" t="s">
        <v>751</v>
      </c>
      <c r="KB24" s="70">
        <v>0</v>
      </c>
      <c r="KC24" s="358">
        <f t="shared" si="32"/>
        <v>0</v>
      </c>
      <c r="KF24" s="93"/>
      <c r="KG24" s="15">
        <v>17</v>
      </c>
      <c r="KH24" s="68">
        <v>880.9</v>
      </c>
      <c r="KI24" s="238">
        <v>45196</v>
      </c>
      <c r="KJ24" s="68">
        <v>880.9</v>
      </c>
      <c r="KK24" s="69" t="s">
        <v>743</v>
      </c>
      <c r="KL24" s="70">
        <v>41</v>
      </c>
      <c r="KM24" s="358">
        <f t="shared" si="33"/>
        <v>36116.9</v>
      </c>
      <c r="KP24" s="93"/>
      <c r="KQ24" s="15">
        <v>17</v>
      </c>
      <c r="KR24" s="68">
        <v>912.6</v>
      </c>
      <c r="KS24" s="238">
        <v>45197</v>
      </c>
      <c r="KT24" s="68">
        <v>912.6</v>
      </c>
      <c r="KU24" s="69" t="s">
        <v>756</v>
      </c>
      <c r="KV24" s="70">
        <v>41</v>
      </c>
      <c r="KW24" s="358">
        <f t="shared" si="34"/>
        <v>37416.6</v>
      </c>
      <c r="KZ24" s="103"/>
      <c r="LA24" s="15">
        <v>17</v>
      </c>
      <c r="LB24" s="91">
        <v>904.5</v>
      </c>
      <c r="LC24" s="231">
        <v>45198</v>
      </c>
      <c r="LD24" s="91">
        <v>904.5</v>
      </c>
      <c r="LE24" s="94" t="s">
        <v>753</v>
      </c>
      <c r="LF24" s="70">
        <v>41</v>
      </c>
      <c r="LG24" s="358">
        <f t="shared" si="35"/>
        <v>37084.5</v>
      </c>
      <c r="LJ24" s="103"/>
      <c r="LK24" s="15">
        <v>17</v>
      </c>
      <c r="LL24" s="91">
        <v>891.8</v>
      </c>
      <c r="LM24" s="231">
        <v>45199</v>
      </c>
      <c r="LN24" s="91">
        <v>891.8</v>
      </c>
      <c r="LO24" s="94" t="s">
        <v>759</v>
      </c>
      <c r="LP24" s="70">
        <v>41</v>
      </c>
      <c r="LQ24" s="230">
        <f t="shared" si="36"/>
        <v>36563.799999999996</v>
      </c>
      <c r="LT24" s="103"/>
      <c r="LU24" s="15">
        <v>17</v>
      </c>
      <c r="LV24" s="91">
        <v>926.23</v>
      </c>
      <c r="LW24" s="231">
        <v>45199</v>
      </c>
      <c r="LX24" s="91">
        <v>926.23</v>
      </c>
      <c r="LY24" s="94" t="s">
        <v>776</v>
      </c>
      <c r="LZ24" s="70">
        <v>41</v>
      </c>
      <c r="MA24" s="358">
        <f t="shared" si="37"/>
        <v>37975.43</v>
      </c>
      <c r="MB24" s="358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972" t="s">
        <v>262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285</v>
      </c>
      <c r="R25" s="70">
        <v>0</v>
      </c>
      <c r="S25" s="358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287</v>
      </c>
      <c r="AB25" s="70">
        <v>43</v>
      </c>
      <c r="AC25" s="358">
        <f t="shared" si="9"/>
        <v>39357.9</v>
      </c>
      <c r="AF25" s="93"/>
      <c r="AG25" s="15">
        <v>18</v>
      </c>
      <c r="AH25" s="282">
        <v>893.6</v>
      </c>
      <c r="AI25" s="231">
        <v>45173</v>
      </c>
      <c r="AJ25" s="282">
        <v>893.6</v>
      </c>
      <c r="AK25" s="94" t="s">
        <v>520</v>
      </c>
      <c r="AL25" s="70">
        <v>43</v>
      </c>
      <c r="AM25" s="70">
        <f t="shared" si="10"/>
        <v>38424.800000000003</v>
      </c>
      <c r="AP25" s="93"/>
      <c r="AQ25" s="15">
        <v>18</v>
      </c>
      <c r="AR25" s="91">
        <v>925.3</v>
      </c>
      <c r="AS25" s="231">
        <v>45175</v>
      </c>
      <c r="AT25" s="91">
        <v>925.3</v>
      </c>
      <c r="AU25" s="94" t="s">
        <v>549</v>
      </c>
      <c r="AV25" s="70">
        <v>43</v>
      </c>
      <c r="AW25" s="70">
        <f t="shared" si="11"/>
        <v>39787.9</v>
      </c>
      <c r="AZ25" s="1273" t="s">
        <v>547</v>
      </c>
      <c r="BA25" s="15">
        <v>18</v>
      </c>
      <c r="BB25" s="91">
        <v>890.9</v>
      </c>
      <c r="BC25" s="231">
        <v>45175</v>
      </c>
      <c r="BD25" s="91">
        <v>890.9</v>
      </c>
      <c r="BE25" s="94" t="s">
        <v>548</v>
      </c>
      <c r="BF25" s="70">
        <v>0</v>
      </c>
      <c r="BG25" s="358">
        <f t="shared" si="12"/>
        <v>0</v>
      </c>
      <c r="BJ25" s="93"/>
      <c r="BK25" s="15">
        <v>18</v>
      </c>
      <c r="BL25" s="91">
        <v>918.97</v>
      </c>
      <c r="BM25" s="231">
        <v>45176</v>
      </c>
      <c r="BN25" s="91">
        <v>918.97</v>
      </c>
      <c r="BO25" s="94" t="s">
        <v>567</v>
      </c>
      <c r="BP25" s="70">
        <v>44</v>
      </c>
      <c r="BQ25" s="434">
        <f t="shared" si="13"/>
        <v>40434.68</v>
      </c>
      <c r="BR25" s="358"/>
      <c r="BT25" s="103"/>
      <c r="BU25" s="15">
        <v>18</v>
      </c>
      <c r="BV25" s="282">
        <v>882.7</v>
      </c>
      <c r="BW25" s="275">
        <v>45175</v>
      </c>
      <c r="BX25" s="282">
        <v>882.7</v>
      </c>
      <c r="BY25" s="499" t="s">
        <v>543</v>
      </c>
      <c r="BZ25" s="276">
        <v>43</v>
      </c>
      <c r="CA25" s="358">
        <f t="shared" si="5"/>
        <v>37956.1</v>
      </c>
      <c r="CD25" s="202"/>
      <c r="CE25" s="15">
        <v>18</v>
      </c>
      <c r="CF25" s="91">
        <v>940.7</v>
      </c>
      <c r="CG25" s="275">
        <v>45175</v>
      </c>
      <c r="CH25" s="91">
        <v>940.7</v>
      </c>
      <c r="CI25" s="277" t="s">
        <v>545</v>
      </c>
      <c r="CJ25" s="276">
        <v>43</v>
      </c>
      <c r="CK25" s="358">
        <f t="shared" si="14"/>
        <v>40450.1</v>
      </c>
      <c r="CN25" s="998"/>
      <c r="CO25" s="15">
        <v>18</v>
      </c>
      <c r="CP25" s="91">
        <v>938.9</v>
      </c>
      <c r="CQ25" s="275">
        <v>45178</v>
      </c>
      <c r="CR25" s="91">
        <v>938.9</v>
      </c>
      <c r="CS25" s="277" t="s">
        <v>593</v>
      </c>
      <c r="CT25" s="276">
        <v>45</v>
      </c>
      <c r="CU25" s="363">
        <f t="shared" si="58"/>
        <v>42250.5</v>
      </c>
      <c r="CX25" s="103"/>
      <c r="CY25" s="15">
        <v>18</v>
      </c>
      <c r="CZ25" s="91">
        <v>890</v>
      </c>
      <c r="DA25" s="231">
        <v>45177</v>
      </c>
      <c r="DB25" s="91">
        <v>890</v>
      </c>
      <c r="DC25" s="94" t="s">
        <v>577</v>
      </c>
      <c r="DD25" s="70">
        <v>45</v>
      </c>
      <c r="DE25" s="358">
        <f t="shared" si="15"/>
        <v>40050</v>
      </c>
      <c r="DH25" s="103"/>
      <c r="DI25" s="15">
        <v>18</v>
      </c>
      <c r="DJ25" s="91">
        <v>971.59</v>
      </c>
      <c r="DK25" s="231">
        <v>45181</v>
      </c>
      <c r="DL25" s="91">
        <v>971.59</v>
      </c>
      <c r="DM25" s="94" t="s">
        <v>613</v>
      </c>
      <c r="DN25" s="70">
        <v>46</v>
      </c>
      <c r="DO25" s="358">
        <f t="shared" si="16"/>
        <v>44693.14</v>
      </c>
      <c r="DR25" s="93"/>
      <c r="DS25" s="15">
        <v>18</v>
      </c>
      <c r="DT25" s="91">
        <v>901.3</v>
      </c>
      <c r="DU25" s="275">
        <v>45180</v>
      </c>
      <c r="DV25" s="91">
        <v>901.3</v>
      </c>
      <c r="DW25" s="277" t="s">
        <v>608</v>
      </c>
      <c r="DX25" s="276">
        <v>46</v>
      </c>
      <c r="DY25" s="358">
        <f t="shared" si="17"/>
        <v>41459.799999999996</v>
      </c>
      <c r="EB25" s="93"/>
      <c r="EC25" s="15">
        <v>18</v>
      </c>
      <c r="ED25" s="68">
        <v>876.3</v>
      </c>
      <c r="EE25" s="238"/>
      <c r="EF25" s="68"/>
      <c r="EG25" s="1341"/>
      <c r="EH25" s="70"/>
      <c r="EI25" s="358">
        <f t="shared" si="18"/>
        <v>0</v>
      </c>
      <c r="EL25" s="93"/>
      <c r="EM25" s="15">
        <v>18</v>
      </c>
      <c r="EN25" s="68">
        <v>892</v>
      </c>
      <c r="EO25" s="238">
        <v>45183</v>
      </c>
      <c r="EP25" s="68">
        <v>892</v>
      </c>
      <c r="EQ25" s="69" t="s">
        <v>638</v>
      </c>
      <c r="ER25" s="70">
        <v>46</v>
      </c>
      <c r="ES25" s="358">
        <f t="shared" si="19"/>
        <v>41032</v>
      </c>
      <c r="EV25" s="1291" t="s">
        <v>649</v>
      </c>
      <c r="EW25" s="15">
        <v>18</v>
      </c>
      <c r="EX25" s="91">
        <v>936.2</v>
      </c>
      <c r="EY25" s="231">
        <v>45183</v>
      </c>
      <c r="EZ25" s="91">
        <v>936.2</v>
      </c>
      <c r="FA25" s="69" t="s">
        <v>648</v>
      </c>
      <c r="FB25" s="70">
        <v>0</v>
      </c>
      <c r="FC25" s="358">
        <f t="shared" si="20"/>
        <v>0</v>
      </c>
      <c r="FF25" s="93"/>
      <c r="FG25" s="15">
        <v>18</v>
      </c>
      <c r="FH25" s="91">
        <v>940.3</v>
      </c>
      <c r="FI25" s="231">
        <v>45185</v>
      </c>
      <c r="FJ25" s="1297">
        <v>940.7</v>
      </c>
      <c r="FK25" s="69" t="s">
        <v>660</v>
      </c>
      <c r="FL25" s="70">
        <v>45</v>
      </c>
      <c r="FM25" s="230">
        <f t="shared" si="21"/>
        <v>42331.5</v>
      </c>
      <c r="FP25" s="93"/>
      <c r="FQ25" s="15">
        <v>18</v>
      </c>
      <c r="FR25" s="91">
        <v>926.7</v>
      </c>
      <c r="FS25" s="231">
        <v>45189</v>
      </c>
      <c r="FT25" s="91">
        <v>926.7</v>
      </c>
      <c r="FU25" s="69" t="s">
        <v>691</v>
      </c>
      <c r="FV25" s="70">
        <v>43</v>
      </c>
      <c r="FW25" s="230">
        <f t="shared" si="22"/>
        <v>39848.1</v>
      </c>
      <c r="FX25" s="70"/>
      <c r="FZ25" s="93"/>
      <c r="GA25" s="15">
        <v>18</v>
      </c>
      <c r="GB25" s="91">
        <v>962.52</v>
      </c>
      <c r="GC25" s="231">
        <v>45184</v>
      </c>
      <c r="GD25" s="91">
        <v>962.52</v>
      </c>
      <c r="GE25" s="69" t="s">
        <v>652</v>
      </c>
      <c r="GF25" s="70">
        <v>47</v>
      </c>
      <c r="GG25" s="358">
        <f t="shared" si="23"/>
        <v>45238.44</v>
      </c>
      <c r="GJ25" s="93"/>
      <c r="GK25" s="15">
        <v>18</v>
      </c>
      <c r="GL25" s="331">
        <v>890.9</v>
      </c>
      <c r="GM25" s="231">
        <v>45190</v>
      </c>
      <c r="GN25" s="331">
        <v>890.9</v>
      </c>
      <c r="GO25" s="94" t="s">
        <v>693</v>
      </c>
      <c r="GP25" s="70">
        <v>43</v>
      </c>
      <c r="GQ25" s="358">
        <f t="shared" si="24"/>
        <v>38308.699999999997</v>
      </c>
      <c r="GT25" s="93"/>
      <c r="GU25" s="15">
        <v>18</v>
      </c>
      <c r="GV25" s="91">
        <v>888.1</v>
      </c>
      <c r="GW25" s="231">
        <v>45192</v>
      </c>
      <c r="GX25" s="91">
        <v>888.1</v>
      </c>
      <c r="GY25" s="94" t="s">
        <v>710</v>
      </c>
      <c r="GZ25" s="70">
        <v>43</v>
      </c>
      <c r="HA25" s="358">
        <f t="shared" si="25"/>
        <v>38188.300000000003</v>
      </c>
      <c r="HD25" s="999" t="s">
        <v>547</v>
      </c>
      <c r="HE25" s="15">
        <v>18</v>
      </c>
      <c r="HF25" s="91">
        <v>866.8</v>
      </c>
      <c r="HG25" s="231">
        <v>45189</v>
      </c>
      <c r="HH25" s="91">
        <v>866.8</v>
      </c>
      <c r="HI25" s="94" t="s">
        <v>679</v>
      </c>
      <c r="HJ25" s="70">
        <v>0</v>
      </c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1342"/>
      <c r="HT25" s="70"/>
      <c r="HU25" s="230">
        <f t="shared" si="27"/>
        <v>0</v>
      </c>
      <c r="HX25" s="103"/>
      <c r="HY25" s="15">
        <v>18</v>
      </c>
      <c r="HZ25" s="68">
        <v>936.7</v>
      </c>
      <c r="IA25" s="238">
        <v>45192</v>
      </c>
      <c r="IB25" s="68">
        <v>936.7</v>
      </c>
      <c r="IC25" s="69" t="s">
        <v>716</v>
      </c>
      <c r="ID25" s="70">
        <v>43</v>
      </c>
      <c r="IE25" s="358">
        <f t="shared" si="6"/>
        <v>40278.1</v>
      </c>
      <c r="IH25" s="93"/>
      <c r="II25" s="15">
        <v>18</v>
      </c>
      <c r="IJ25" s="68">
        <v>870.9</v>
      </c>
      <c r="IK25" s="238">
        <v>45191</v>
      </c>
      <c r="IL25" s="68">
        <v>870.9</v>
      </c>
      <c r="IM25" s="69" t="s">
        <v>705</v>
      </c>
      <c r="IN25" s="70">
        <v>43</v>
      </c>
      <c r="IO25" s="230">
        <f t="shared" si="28"/>
        <v>37448.699999999997</v>
      </c>
      <c r="IR25" s="999"/>
      <c r="IS25" s="15">
        <v>18</v>
      </c>
      <c r="IT25" s="68">
        <v>912.6</v>
      </c>
      <c r="IU25" s="238">
        <v>45191</v>
      </c>
      <c r="IV25" s="68">
        <v>912.6</v>
      </c>
      <c r="IW25" s="69" t="s">
        <v>684</v>
      </c>
      <c r="IX25" s="70">
        <v>43</v>
      </c>
      <c r="IY25" s="230">
        <f t="shared" si="29"/>
        <v>39241.800000000003</v>
      </c>
      <c r="JA25" s="68"/>
      <c r="JB25" s="93"/>
      <c r="JC25" s="15">
        <v>18</v>
      </c>
      <c r="JD25" s="91">
        <v>868.2</v>
      </c>
      <c r="JE25" s="238">
        <v>45197</v>
      </c>
      <c r="JF25" s="91">
        <v>868.2</v>
      </c>
      <c r="JG25" s="69" t="s">
        <v>746</v>
      </c>
      <c r="JH25" s="70">
        <v>41</v>
      </c>
      <c r="JI25" s="358">
        <f t="shared" si="30"/>
        <v>35596.200000000004</v>
      </c>
      <c r="JL25" s="93"/>
      <c r="JM25" s="15">
        <v>18</v>
      </c>
      <c r="JN25" s="91">
        <v>929.9</v>
      </c>
      <c r="JO25" s="231"/>
      <c r="JP25" s="91"/>
      <c r="JQ25" s="1591"/>
      <c r="JR25" s="70"/>
      <c r="JS25" s="358">
        <f t="shared" si="31"/>
        <v>0</v>
      </c>
      <c r="JV25" s="103" t="s">
        <v>547</v>
      </c>
      <c r="JW25" s="15">
        <v>18</v>
      </c>
      <c r="JX25" s="68">
        <v>931.7</v>
      </c>
      <c r="JY25" s="238">
        <v>45195</v>
      </c>
      <c r="JZ25" s="68">
        <v>931.7</v>
      </c>
      <c r="KA25" s="69" t="s">
        <v>728</v>
      </c>
      <c r="KB25" s="70">
        <v>0</v>
      </c>
      <c r="KC25" s="358">
        <f t="shared" si="32"/>
        <v>0</v>
      </c>
      <c r="KF25" s="93"/>
      <c r="KG25" s="15">
        <v>18</v>
      </c>
      <c r="KH25" s="68">
        <v>928.5</v>
      </c>
      <c r="KI25" s="238">
        <v>45196</v>
      </c>
      <c r="KJ25" s="68">
        <v>928.5</v>
      </c>
      <c r="KK25" s="69" t="s">
        <v>743</v>
      </c>
      <c r="KL25" s="70">
        <v>41</v>
      </c>
      <c r="KM25" s="358">
        <f t="shared" si="33"/>
        <v>38068.5</v>
      </c>
      <c r="KP25" s="93"/>
      <c r="KQ25" s="15">
        <v>18</v>
      </c>
      <c r="KR25" s="68">
        <v>877.2</v>
      </c>
      <c r="KS25" s="238">
        <v>45197</v>
      </c>
      <c r="KT25" s="68">
        <v>877.2</v>
      </c>
      <c r="KU25" s="69" t="s">
        <v>756</v>
      </c>
      <c r="KV25" s="70">
        <v>41</v>
      </c>
      <c r="KW25" s="358">
        <f t="shared" si="34"/>
        <v>35965.200000000004</v>
      </c>
      <c r="KZ25" s="93"/>
      <c r="LA25" s="15">
        <v>18</v>
      </c>
      <c r="LB25" s="91">
        <v>892.7</v>
      </c>
      <c r="LC25" s="231">
        <v>45198</v>
      </c>
      <c r="LD25" s="91">
        <v>892.7</v>
      </c>
      <c r="LE25" s="94" t="s">
        <v>753</v>
      </c>
      <c r="LF25" s="70">
        <v>41</v>
      </c>
      <c r="LG25" s="358">
        <f t="shared" si="35"/>
        <v>36600.700000000004</v>
      </c>
      <c r="LJ25" s="93"/>
      <c r="LK25" s="15">
        <v>18</v>
      </c>
      <c r="LL25" s="91">
        <v>916.7</v>
      </c>
      <c r="LM25" s="231">
        <v>45199</v>
      </c>
      <c r="LN25" s="91">
        <v>916.7</v>
      </c>
      <c r="LO25" s="94" t="s">
        <v>759</v>
      </c>
      <c r="LP25" s="70">
        <v>41</v>
      </c>
      <c r="LQ25" s="230">
        <f t="shared" si="36"/>
        <v>37584.700000000004</v>
      </c>
      <c r="LT25" s="93"/>
      <c r="LU25" s="15">
        <v>18</v>
      </c>
      <c r="LV25" s="91">
        <v>913.53</v>
      </c>
      <c r="LW25" s="231">
        <v>45199</v>
      </c>
      <c r="LX25" s="91">
        <v>913.53</v>
      </c>
      <c r="LY25" s="94" t="s">
        <v>776</v>
      </c>
      <c r="LZ25" s="70">
        <v>41</v>
      </c>
      <c r="MA25" s="358">
        <f t="shared" si="37"/>
        <v>37454.729999999996</v>
      </c>
      <c r="MB25" s="358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972" t="s">
        <v>262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283</v>
      </c>
      <c r="R26" s="70">
        <v>0</v>
      </c>
      <c r="S26" s="358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293</v>
      </c>
      <c r="AB26" s="70">
        <v>43</v>
      </c>
      <c r="AC26" s="358">
        <f t="shared" si="9"/>
        <v>39125.699999999997</v>
      </c>
      <c r="AF26" s="103"/>
      <c r="AG26" s="15">
        <v>19</v>
      </c>
      <c r="AH26" s="282">
        <v>925.3</v>
      </c>
      <c r="AI26" s="231">
        <v>45174</v>
      </c>
      <c r="AJ26" s="282">
        <v>925.3</v>
      </c>
      <c r="AK26" s="94" t="s">
        <v>530</v>
      </c>
      <c r="AL26" s="70">
        <v>43</v>
      </c>
      <c r="AM26" s="70">
        <f t="shared" si="10"/>
        <v>39787.9</v>
      </c>
      <c r="AP26" s="103"/>
      <c r="AQ26" s="15">
        <v>19</v>
      </c>
      <c r="AR26" s="91">
        <v>926.2</v>
      </c>
      <c r="AS26" s="231">
        <v>45175</v>
      </c>
      <c r="AT26" s="91">
        <v>926.2</v>
      </c>
      <c r="AU26" s="94" t="s">
        <v>537</v>
      </c>
      <c r="AV26" s="70">
        <v>41</v>
      </c>
      <c r="AW26" s="70">
        <f t="shared" si="11"/>
        <v>37974.200000000004</v>
      </c>
      <c r="AX26" s="74" t="s">
        <v>514</v>
      </c>
      <c r="AZ26" s="1272" t="s">
        <v>547</v>
      </c>
      <c r="BA26" s="15">
        <v>19</v>
      </c>
      <c r="BB26" s="91">
        <v>913.5</v>
      </c>
      <c r="BC26" s="231">
        <v>45175</v>
      </c>
      <c r="BD26" s="91">
        <v>913.5</v>
      </c>
      <c r="BE26" s="94" t="s">
        <v>546</v>
      </c>
      <c r="BF26" s="70">
        <v>0</v>
      </c>
      <c r="BG26" s="358">
        <f t="shared" si="12"/>
        <v>0</v>
      </c>
      <c r="BJ26" s="103"/>
      <c r="BK26" s="15">
        <v>19</v>
      </c>
      <c r="BL26" s="91">
        <v>914.44</v>
      </c>
      <c r="BM26" s="231">
        <v>45176</v>
      </c>
      <c r="BN26" s="91">
        <v>914.44</v>
      </c>
      <c r="BO26" s="94" t="s">
        <v>567</v>
      </c>
      <c r="BP26" s="70">
        <v>44</v>
      </c>
      <c r="BQ26" s="434">
        <f t="shared" si="13"/>
        <v>40235.360000000001</v>
      </c>
      <c r="BR26" s="358"/>
      <c r="BT26" s="103"/>
      <c r="BU26" s="15">
        <v>19</v>
      </c>
      <c r="BV26" s="282">
        <v>865.4</v>
      </c>
      <c r="BW26" s="275">
        <v>45175</v>
      </c>
      <c r="BX26" s="282">
        <v>865.4</v>
      </c>
      <c r="BY26" s="499" t="s">
        <v>543</v>
      </c>
      <c r="BZ26" s="276">
        <v>43</v>
      </c>
      <c r="CA26" s="358">
        <f t="shared" si="5"/>
        <v>37212.199999999997</v>
      </c>
      <c r="CD26" s="202"/>
      <c r="CE26" s="15">
        <v>19</v>
      </c>
      <c r="CF26" s="91">
        <v>927.1</v>
      </c>
      <c r="CG26" s="275">
        <v>45175</v>
      </c>
      <c r="CH26" s="91">
        <v>927.1</v>
      </c>
      <c r="CI26" s="277" t="s">
        <v>545</v>
      </c>
      <c r="CJ26" s="276">
        <v>43</v>
      </c>
      <c r="CK26" s="358">
        <f t="shared" si="14"/>
        <v>39865.300000000003</v>
      </c>
      <c r="CN26" s="998"/>
      <c r="CO26" s="15">
        <v>19</v>
      </c>
      <c r="CP26" s="91">
        <v>893.6</v>
      </c>
      <c r="CQ26" s="275">
        <v>45178</v>
      </c>
      <c r="CR26" s="91">
        <v>893.6</v>
      </c>
      <c r="CS26" s="277" t="s">
        <v>593</v>
      </c>
      <c r="CT26" s="276">
        <v>45</v>
      </c>
      <c r="CU26" s="363">
        <f t="shared" si="58"/>
        <v>40212</v>
      </c>
      <c r="CX26" s="103"/>
      <c r="CY26" s="15">
        <v>19</v>
      </c>
      <c r="CZ26" s="91">
        <v>926</v>
      </c>
      <c r="DA26" s="231">
        <v>45177</v>
      </c>
      <c r="DB26" s="91">
        <v>926</v>
      </c>
      <c r="DC26" s="94" t="s">
        <v>577</v>
      </c>
      <c r="DD26" s="70">
        <v>45</v>
      </c>
      <c r="DE26" s="358">
        <f t="shared" si="15"/>
        <v>41670</v>
      </c>
      <c r="DH26" s="103"/>
      <c r="DI26" s="15">
        <v>19</v>
      </c>
      <c r="DJ26" s="91">
        <v>932.58</v>
      </c>
      <c r="DK26" s="231">
        <v>45178</v>
      </c>
      <c r="DL26" s="91">
        <v>932.58</v>
      </c>
      <c r="DM26" s="94" t="s">
        <v>596</v>
      </c>
      <c r="DN26" s="70">
        <v>45</v>
      </c>
      <c r="DO26" s="358">
        <f t="shared" si="16"/>
        <v>41966.1</v>
      </c>
      <c r="DR26" s="103"/>
      <c r="DS26" s="15">
        <v>19</v>
      </c>
      <c r="DT26" s="91">
        <v>922.1</v>
      </c>
      <c r="DU26" s="275">
        <v>45180</v>
      </c>
      <c r="DV26" s="91">
        <v>922.1</v>
      </c>
      <c r="DW26" s="277" t="s">
        <v>608</v>
      </c>
      <c r="DX26" s="276">
        <v>46</v>
      </c>
      <c r="DY26" s="358">
        <f t="shared" si="17"/>
        <v>42416.6</v>
      </c>
      <c r="EB26" s="103"/>
      <c r="EC26" s="15">
        <v>19</v>
      </c>
      <c r="ED26" s="68">
        <v>897.2</v>
      </c>
      <c r="EE26" s="238"/>
      <c r="EF26" s="68"/>
      <c r="EG26" s="1341"/>
      <c r="EH26" s="70"/>
      <c r="EI26" s="358">
        <f t="shared" si="18"/>
        <v>0</v>
      </c>
      <c r="EL26" s="103"/>
      <c r="EM26" s="15">
        <v>19</v>
      </c>
      <c r="EN26" s="68">
        <v>797</v>
      </c>
      <c r="EO26" s="238">
        <v>45183</v>
      </c>
      <c r="EP26" s="68">
        <v>797</v>
      </c>
      <c r="EQ26" s="69" t="s">
        <v>636</v>
      </c>
      <c r="ER26" s="70">
        <v>46</v>
      </c>
      <c r="ES26" s="358">
        <f t="shared" si="19"/>
        <v>36662</v>
      </c>
      <c r="EV26" s="1291" t="s">
        <v>649</v>
      </c>
      <c r="EW26" s="15">
        <v>19</v>
      </c>
      <c r="EX26" s="91">
        <v>935.3</v>
      </c>
      <c r="EY26" s="231">
        <v>45183</v>
      </c>
      <c r="EZ26" s="91">
        <v>935.3</v>
      </c>
      <c r="FA26" s="69" t="s">
        <v>648</v>
      </c>
      <c r="FB26" s="70">
        <v>0</v>
      </c>
      <c r="FC26" s="358">
        <f t="shared" si="20"/>
        <v>0</v>
      </c>
      <c r="FF26" s="93"/>
      <c r="FG26" s="15">
        <v>19</v>
      </c>
      <c r="FH26" s="91">
        <v>906.3</v>
      </c>
      <c r="FI26" s="231">
        <v>45185</v>
      </c>
      <c r="FJ26" s="91">
        <v>906.3</v>
      </c>
      <c r="FK26" s="69" t="s">
        <v>660</v>
      </c>
      <c r="FL26" s="70">
        <v>45</v>
      </c>
      <c r="FM26" s="230">
        <f t="shared" si="21"/>
        <v>40783.5</v>
      </c>
      <c r="FP26" s="93"/>
      <c r="FQ26" s="15">
        <v>19</v>
      </c>
      <c r="FR26" s="91">
        <v>938.5</v>
      </c>
      <c r="FS26" s="231">
        <v>45189</v>
      </c>
      <c r="FT26" s="91">
        <v>938.5</v>
      </c>
      <c r="FU26" s="69" t="s">
        <v>680</v>
      </c>
      <c r="FV26" s="70">
        <v>44</v>
      </c>
      <c r="FW26" s="230">
        <f t="shared" si="22"/>
        <v>41294</v>
      </c>
      <c r="FX26" s="70"/>
      <c r="FZ26" s="103"/>
      <c r="GA26" s="15">
        <v>19</v>
      </c>
      <c r="GB26" s="91">
        <v>929.41</v>
      </c>
      <c r="GC26" s="231">
        <v>45184</v>
      </c>
      <c r="GD26" s="91">
        <v>929.41</v>
      </c>
      <c r="GE26" s="69" t="s">
        <v>652</v>
      </c>
      <c r="GF26" s="70">
        <v>47</v>
      </c>
      <c r="GG26" s="358">
        <f t="shared" si="23"/>
        <v>43682.27</v>
      </c>
      <c r="GJ26" s="103"/>
      <c r="GK26" s="15">
        <v>19</v>
      </c>
      <c r="GL26" s="331">
        <v>937.1</v>
      </c>
      <c r="GM26" s="231">
        <v>45190</v>
      </c>
      <c r="GN26" s="331">
        <v>937.1</v>
      </c>
      <c r="GO26" s="94" t="s">
        <v>693</v>
      </c>
      <c r="GP26" s="70">
        <v>43</v>
      </c>
      <c r="GQ26" s="358">
        <f t="shared" si="24"/>
        <v>40295.300000000003</v>
      </c>
      <c r="GT26" s="103"/>
      <c r="GU26" s="15">
        <v>19</v>
      </c>
      <c r="GV26" s="91">
        <v>938.9</v>
      </c>
      <c r="GW26" s="231">
        <v>45192</v>
      </c>
      <c r="GX26" s="91">
        <v>938.9</v>
      </c>
      <c r="GY26" s="94" t="s">
        <v>710</v>
      </c>
      <c r="GZ26" s="70">
        <v>43</v>
      </c>
      <c r="HA26" s="358">
        <f t="shared" si="25"/>
        <v>40372.699999999997</v>
      </c>
      <c r="HD26" s="103" t="s">
        <v>547</v>
      </c>
      <c r="HE26" s="15">
        <v>19</v>
      </c>
      <c r="HF26" s="91">
        <v>924.9</v>
      </c>
      <c r="HG26" s="231">
        <v>45189</v>
      </c>
      <c r="HH26" s="91">
        <v>924.9</v>
      </c>
      <c r="HI26" s="94" t="s">
        <v>679</v>
      </c>
      <c r="HJ26" s="70">
        <v>0</v>
      </c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1342"/>
      <c r="HT26" s="70"/>
      <c r="HU26" s="230">
        <f t="shared" si="27"/>
        <v>0</v>
      </c>
      <c r="HX26" s="103"/>
      <c r="HY26" s="15">
        <v>19</v>
      </c>
      <c r="HZ26" s="68">
        <v>917.2</v>
      </c>
      <c r="IA26" s="238">
        <v>45192</v>
      </c>
      <c r="IB26" s="68">
        <v>917.2</v>
      </c>
      <c r="IC26" s="69" t="s">
        <v>716</v>
      </c>
      <c r="ID26" s="70">
        <v>43</v>
      </c>
      <c r="IE26" s="358">
        <f t="shared" si="6"/>
        <v>39439.599999999999</v>
      </c>
      <c r="IH26" s="103"/>
      <c r="II26" s="15">
        <v>19</v>
      </c>
      <c r="IJ26" s="68">
        <v>933</v>
      </c>
      <c r="IK26" s="238">
        <v>45191</v>
      </c>
      <c r="IL26" s="68">
        <v>933</v>
      </c>
      <c r="IM26" s="69" t="s">
        <v>705</v>
      </c>
      <c r="IN26" s="70">
        <v>43</v>
      </c>
      <c r="IO26" s="230">
        <f t="shared" si="28"/>
        <v>40119</v>
      </c>
      <c r="IR26" s="103"/>
      <c r="IS26" s="15">
        <v>19</v>
      </c>
      <c r="IT26" s="68">
        <v>922.1</v>
      </c>
      <c r="IU26" s="238">
        <v>45191</v>
      </c>
      <c r="IV26" s="68">
        <v>922.1</v>
      </c>
      <c r="IW26" s="69" t="s">
        <v>684</v>
      </c>
      <c r="IX26" s="70">
        <v>43</v>
      </c>
      <c r="IY26" s="230">
        <f t="shared" si="29"/>
        <v>39650.300000000003</v>
      </c>
      <c r="JA26" s="68"/>
      <c r="JB26" s="103"/>
      <c r="JC26" s="15">
        <v>19</v>
      </c>
      <c r="JD26" s="91">
        <v>918.1</v>
      </c>
      <c r="JE26" s="238">
        <v>45197</v>
      </c>
      <c r="JF26" s="91">
        <v>918.1</v>
      </c>
      <c r="JG26" s="69" t="s">
        <v>747</v>
      </c>
      <c r="JH26" s="70">
        <v>41</v>
      </c>
      <c r="JI26" s="358">
        <f t="shared" si="30"/>
        <v>37642.1</v>
      </c>
      <c r="JL26" s="103"/>
      <c r="JM26" s="15">
        <v>19</v>
      </c>
      <c r="JN26" s="91">
        <v>903.6</v>
      </c>
      <c r="JO26" s="231"/>
      <c r="JP26" s="91"/>
      <c r="JQ26" s="1591"/>
      <c r="JR26" s="70"/>
      <c r="JS26" s="358">
        <f t="shared" si="31"/>
        <v>0</v>
      </c>
      <c r="JV26" s="103" t="s">
        <v>547</v>
      </c>
      <c r="JW26" s="15">
        <v>19</v>
      </c>
      <c r="JX26" s="68">
        <v>922.1</v>
      </c>
      <c r="JY26" s="238">
        <v>45195</v>
      </c>
      <c r="JZ26" s="68">
        <v>922.1</v>
      </c>
      <c r="KA26" s="69" t="s">
        <v>728</v>
      </c>
      <c r="KB26" s="70">
        <v>0</v>
      </c>
      <c r="KC26" s="358">
        <f t="shared" si="32"/>
        <v>0</v>
      </c>
      <c r="KF26" s="93"/>
      <c r="KG26" s="15">
        <v>19</v>
      </c>
      <c r="KH26" s="68">
        <v>869.5</v>
      </c>
      <c r="KI26" s="238">
        <v>45196</v>
      </c>
      <c r="KJ26" s="68">
        <v>869.5</v>
      </c>
      <c r="KK26" s="69" t="s">
        <v>743</v>
      </c>
      <c r="KL26" s="70">
        <v>41</v>
      </c>
      <c r="KM26" s="358">
        <f t="shared" si="33"/>
        <v>35649.5</v>
      </c>
      <c r="KP26" s="93"/>
      <c r="KQ26" s="15">
        <v>19</v>
      </c>
      <c r="KR26" s="68">
        <v>898.6</v>
      </c>
      <c r="KS26" s="238">
        <v>45197</v>
      </c>
      <c r="KT26" s="68">
        <v>898.6</v>
      </c>
      <c r="KU26" s="69" t="s">
        <v>756</v>
      </c>
      <c r="KV26" s="70">
        <v>41</v>
      </c>
      <c r="KW26" s="358">
        <f t="shared" si="34"/>
        <v>36842.6</v>
      </c>
      <c r="KZ26" s="103"/>
      <c r="LA26" s="15">
        <v>19</v>
      </c>
      <c r="LB26" s="91">
        <v>912.2</v>
      </c>
      <c r="LC26" s="231">
        <v>45198</v>
      </c>
      <c r="LD26" s="91">
        <v>912.2</v>
      </c>
      <c r="LE26" s="94" t="s">
        <v>753</v>
      </c>
      <c r="LF26" s="70">
        <v>41</v>
      </c>
      <c r="LG26" s="358">
        <f t="shared" si="35"/>
        <v>37400.200000000004</v>
      </c>
      <c r="LJ26" s="103"/>
      <c r="LK26" s="15">
        <v>19</v>
      </c>
      <c r="LL26" s="91">
        <v>870.9</v>
      </c>
      <c r="LM26" s="231"/>
      <c r="LN26" s="91"/>
      <c r="LO26" s="94"/>
      <c r="LP26" s="70"/>
      <c r="LQ26" s="358">
        <f t="shared" si="36"/>
        <v>0</v>
      </c>
      <c r="LT26" s="103"/>
      <c r="LU26" s="15">
        <v>19</v>
      </c>
      <c r="LV26" s="91">
        <v>928.95</v>
      </c>
      <c r="LW26" s="231">
        <v>45199</v>
      </c>
      <c r="LX26" s="91">
        <v>928.95</v>
      </c>
      <c r="LY26" s="94" t="s">
        <v>776</v>
      </c>
      <c r="LZ26" s="70">
        <v>41</v>
      </c>
      <c r="MA26" s="358">
        <f t="shared" si="37"/>
        <v>38086.950000000004</v>
      </c>
      <c r="MB26" s="358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973" t="s">
        <v>190</v>
      </c>
      <c r="M27" s="15">
        <v>20</v>
      </c>
      <c r="N27" s="68">
        <v>896.3</v>
      </c>
      <c r="O27" s="983">
        <v>45176</v>
      </c>
      <c r="P27" s="985">
        <v>896.3</v>
      </c>
      <c r="Q27" s="984" t="s">
        <v>555</v>
      </c>
      <c r="R27" s="891">
        <v>0</v>
      </c>
      <c r="S27" s="358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287</v>
      </c>
      <c r="AB27" s="70">
        <v>43</v>
      </c>
      <c r="AC27" s="358">
        <f t="shared" si="9"/>
        <v>39241.800000000003</v>
      </c>
      <c r="AF27" s="103"/>
      <c r="AG27" s="15">
        <v>20</v>
      </c>
      <c r="AH27" s="282">
        <v>893.6</v>
      </c>
      <c r="AI27" s="231">
        <v>45174</v>
      </c>
      <c r="AJ27" s="282">
        <v>893.6</v>
      </c>
      <c r="AK27" s="94" t="s">
        <v>530</v>
      </c>
      <c r="AL27" s="70">
        <v>43</v>
      </c>
      <c r="AM27" s="70">
        <f t="shared" si="10"/>
        <v>38424.800000000003</v>
      </c>
      <c r="AP27" s="103"/>
      <c r="AQ27" s="15">
        <v>20</v>
      </c>
      <c r="AR27" s="91">
        <v>890.9</v>
      </c>
      <c r="AS27" s="231">
        <v>45175</v>
      </c>
      <c r="AT27" s="91">
        <v>890.9</v>
      </c>
      <c r="AU27" s="94" t="s">
        <v>521</v>
      </c>
      <c r="AV27" s="70">
        <v>41</v>
      </c>
      <c r="AW27" s="70">
        <f t="shared" si="11"/>
        <v>36526.9</v>
      </c>
      <c r="AZ27" s="1272" t="s">
        <v>547</v>
      </c>
      <c r="BA27" s="15">
        <v>20</v>
      </c>
      <c r="BB27" s="91">
        <v>902.6</v>
      </c>
      <c r="BC27" s="231">
        <v>45175</v>
      </c>
      <c r="BD27" s="91">
        <v>902.6</v>
      </c>
      <c r="BE27" s="94" t="s">
        <v>546</v>
      </c>
      <c r="BF27" s="70">
        <v>0</v>
      </c>
      <c r="BG27" s="358">
        <f t="shared" si="12"/>
        <v>0</v>
      </c>
      <c r="BJ27" s="103"/>
      <c r="BK27" s="15">
        <v>20</v>
      </c>
      <c r="BL27" s="91">
        <v>908.99</v>
      </c>
      <c r="BM27" s="231">
        <v>45176</v>
      </c>
      <c r="BN27" s="91">
        <v>908.99</v>
      </c>
      <c r="BO27" s="94" t="s">
        <v>567</v>
      </c>
      <c r="BP27" s="70">
        <v>44</v>
      </c>
      <c r="BQ27" s="434">
        <f t="shared" si="13"/>
        <v>39995.56</v>
      </c>
      <c r="BR27" s="358"/>
      <c r="BT27" s="103"/>
      <c r="BU27" s="15">
        <v>20</v>
      </c>
      <c r="BV27" s="282">
        <v>907.2</v>
      </c>
      <c r="BW27" s="275">
        <v>45175</v>
      </c>
      <c r="BX27" s="282">
        <v>907.2</v>
      </c>
      <c r="BY27" s="499" t="s">
        <v>543</v>
      </c>
      <c r="BZ27" s="276">
        <v>43</v>
      </c>
      <c r="CA27" s="358">
        <f t="shared" si="5"/>
        <v>39009.599999999999</v>
      </c>
      <c r="CD27" s="202"/>
      <c r="CE27" s="15">
        <v>20</v>
      </c>
      <c r="CF27" s="91">
        <v>934.4</v>
      </c>
      <c r="CG27" s="275">
        <v>45175</v>
      </c>
      <c r="CH27" s="91">
        <v>934.4</v>
      </c>
      <c r="CI27" s="277" t="s">
        <v>545</v>
      </c>
      <c r="CJ27" s="276">
        <v>43</v>
      </c>
      <c r="CK27" s="358">
        <f t="shared" si="14"/>
        <v>40179.199999999997</v>
      </c>
      <c r="CN27" s="998"/>
      <c r="CO27" s="15">
        <v>20</v>
      </c>
      <c r="CP27" s="91">
        <v>920.8</v>
      </c>
      <c r="CQ27" s="275">
        <v>45178</v>
      </c>
      <c r="CR27" s="91">
        <v>920.8</v>
      </c>
      <c r="CS27" s="277" t="s">
        <v>593</v>
      </c>
      <c r="CT27" s="276">
        <v>45</v>
      </c>
      <c r="CU27" s="363">
        <f t="shared" si="58"/>
        <v>41436</v>
      </c>
      <c r="CX27" s="103"/>
      <c r="CY27" s="15">
        <v>20</v>
      </c>
      <c r="CZ27" s="91">
        <v>928</v>
      </c>
      <c r="DA27" s="231">
        <v>45177</v>
      </c>
      <c r="DB27" s="91">
        <v>928</v>
      </c>
      <c r="DC27" s="94" t="s">
        <v>577</v>
      </c>
      <c r="DD27" s="70">
        <v>45</v>
      </c>
      <c r="DE27" s="358">
        <f t="shared" si="15"/>
        <v>41760</v>
      </c>
      <c r="DH27" s="103"/>
      <c r="DI27" s="15">
        <v>20</v>
      </c>
      <c r="DJ27" s="91">
        <v>952.54</v>
      </c>
      <c r="DK27" s="231">
        <v>45178</v>
      </c>
      <c r="DL27" s="91">
        <v>952.54</v>
      </c>
      <c r="DM27" s="94" t="s">
        <v>596</v>
      </c>
      <c r="DN27" s="70">
        <v>45</v>
      </c>
      <c r="DO27" s="358">
        <f t="shared" si="16"/>
        <v>42864.299999999996</v>
      </c>
      <c r="DR27" s="103"/>
      <c r="DS27" s="15">
        <v>20</v>
      </c>
      <c r="DT27" s="91">
        <v>894.9</v>
      </c>
      <c r="DU27" s="275">
        <v>45180</v>
      </c>
      <c r="DV27" s="91">
        <v>894.9</v>
      </c>
      <c r="DW27" s="277" t="s">
        <v>608</v>
      </c>
      <c r="DX27" s="276">
        <v>46</v>
      </c>
      <c r="DY27" s="358">
        <f t="shared" si="17"/>
        <v>41165.4</v>
      </c>
      <c r="EB27" s="103"/>
      <c r="EC27" s="15">
        <v>20</v>
      </c>
      <c r="ED27" s="68">
        <v>926.2</v>
      </c>
      <c r="EE27" s="238"/>
      <c r="EF27" s="68"/>
      <c r="EG27" s="1341"/>
      <c r="EH27" s="70"/>
      <c r="EI27" s="358">
        <f t="shared" si="18"/>
        <v>0</v>
      </c>
      <c r="EL27" s="103"/>
      <c r="EM27" s="15">
        <v>20</v>
      </c>
      <c r="EN27" s="68">
        <v>801</v>
      </c>
      <c r="EO27" s="238">
        <v>45183</v>
      </c>
      <c r="EP27" s="68">
        <v>801</v>
      </c>
      <c r="EQ27" s="69" t="s">
        <v>638</v>
      </c>
      <c r="ER27" s="70">
        <v>46</v>
      </c>
      <c r="ES27" s="358">
        <f t="shared" si="19"/>
        <v>36846</v>
      </c>
      <c r="EV27" s="1291" t="s">
        <v>649</v>
      </c>
      <c r="EW27" s="15">
        <v>20</v>
      </c>
      <c r="EX27" s="91">
        <v>931.7</v>
      </c>
      <c r="EY27" s="231">
        <v>45183</v>
      </c>
      <c r="EZ27" s="91">
        <v>931.7</v>
      </c>
      <c r="FA27" s="69" t="s">
        <v>648</v>
      </c>
      <c r="FB27" s="70">
        <v>0</v>
      </c>
      <c r="FC27" s="358">
        <f t="shared" si="20"/>
        <v>0</v>
      </c>
      <c r="FF27" s="93"/>
      <c r="FG27" s="15">
        <v>20</v>
      </c>
      <c r="FH27" s="91">
        <v>938.9</v>
      </c>
      <c r="FI27" s="231">
        <v>45185</v>
      </c>
      <c r="FJ27" s="91">
        <v>938.9</v>
      </c>
      <c r="FK27" s="69" t="s">
        <v>660</v>
      </c>
      <c r="FL27" s="70">
        <v>45</v>
      </c>
      <c r="FM27" s="230">
        <f t="shared" si="21"/>
        <v>42250.5</v>
      </c>
      <c r="FP27" s="93"/>
      <c r="FQ27" s="15">
        <v>20</v>
      </c>
      <c r="FR27" s="91">
        <v>929.4</v>
      </c>
      <c r="FS27" s="231">
        <v>45189</v>
      </c>
      <c r="FT27" s="91">
        <v>929.4</v>
      </c>
      <c r="FU27" s="69" t="s">
        <v>680</v>
      </c>
      <c r="FV27" s="70">
        <v>44</v>
      </c>
      <c r="FW27" s="230">
        <f t="shared" si="22"/>
        <v>40893.599999999999</v>
      </c>
      <c r="FX27" s="70"/>
      <c r="FZ27" s="103"/>
      <c r="GA27" s="15">
        <v>20</v>
      </c>
      <c r="GB27" s="91">
        <v>945.28</v>
      </c>
      <c r="GC27" s="231">
        <v>45184</v>
      </c>
      <c r="GD27" s="91">
        <v>945.28</v>
      </c>
      <c r="GE27" s="69" t="s">
        <v>652</v>
      </c>
      <c r="GF27" s="70">
        <v>47</v>
      </c>
      <c r="GG27" s="358">
        <f t="shared" si="23"/>
        <v>44428.159999999996</v>
      </c>
      <c r="GJ27" s="103"/>
      <c r="GK27" s="15">
        <v>20</v>
      </c>
      <c r="GL27" s="331">
        <v>925.3</v>
      </c>
      <c r="GM27" s="231">
        <v>45190</v>
      </c>
      <c r="GN27" s="331">
        <v>925.3</v>
      </c>
      <c r="GO27" s="94" t="s">
        <v>694</v>
      </c>
      <c r="GP27" s="70">
        <v>43</v>
      </c>
      <c r="GQ27" s="358">
        <f t="shared" si="24"/>
        <v>39787.9</v>
      </c>
      <c r="GT27" s="103"/>
      <c r="GU27" s="15">
        <v>20</v>
      </c>
      <c r="GV27" s="91">
        <v>935.8</v>
      </c>
      <c r="GW27" s="231">
        <v>45192</v>
      </c>
      <c r="GX27" s="91">
        <v>935.8</v>
      </c>
      <c r="GY27" s="94" t="s">
        <v>715</v>
      </c>
      <c r="GZ27" s="70">
        <v>43</v>
      </c>
      <c r="HA27" s="358">
        <f t="shared" si="25"/>
        <v>40239.4</v>
      </c>
      <c r="HD27" s="103" t="s">
        <v>547</v>
      </c>
      <c r="HE27" s="15">
        <v>20</v>
      </c>
      <c r="HF27" s="91">
        <v>893.1</v>
      </c>
      <c r="HG27" s="231">
        <v>45189</v>
      </c>
      <c r="HH27" s="91">
        <v>893.1</v>
      </c>
      <c r="HI27" s="94" t="s">
        <v>679</v>
      </c>
      <c r="HJ27" s="70">
        <v>0</v>
      </c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1342"/>
      <c r="HT27" s="70"/>
      <c r="HU27" s="230">
        <f t="shared" si="27"/>
        <v>0</v>
      </c>
      <c r="HX27" s="103"/>
      <c r="HY27" s="15">
        <v>20</v>
      </c>
      <c r="HZ27" s="68">
        <v>880.9</v>
      </c>
      <c r="IA27" s="238">
        <v>45194</v>
      </c>
      <c r="IB27" s="68">
        <v>880.9</v>
      </c>
      <c r="IC27" s="69" t="s">
        <v>719</v>
      </c>
      <c r="ID27" s="70">
        <v>43</v>
      </c>
      <c r="IE27" s="358">
        <f t="shared" si="6"/>
        <v>37878.699999999997</v>
      </c>
      <c r="IH27" s="103"/>
      <c r="II27" s="15">
        <v>20</v>
      </c>
      <c r="IJ27" s="68">
        <v>933.5</v>
      </c>
      <c r="IK27" s="238">
        <v>45191</v>
      </c>
      <c r="IL27" s="68">
        <v>933.5</v>
      </c>
      <c r="IM27" s="69" t="s">
        <v>705</v>
      </c>
      <c r="IN27" s="70">
        <v>43</v>
      </c>
      <c r="IO27" s="230">
        <f t="shared" si="28"/>
        <v>40140.5</v>
      </c>
      <c r="IR27" s="103"/>
      <c r="IS27" s="15">
        <v>20</v>
      </c>
      <c r="IT27" s="68">
        <v>916.3</v>
      </c>
      <c r="IU27" s="238">
        <v>45191</v>
      </c>
      <c r="IV27" s="68">
        <v>916.3</v>
      </c>
      <c r="IW27" s="69" t="s">
        <v>684</v>
      </c>
      <c r="IX27" s="70">
        <v>43</v>
      </c>
      <c r="IY27" s="230">
        <f t="shared" si="29"/>
        <v>39400.9</v>
      </c>
      <c r="JA27" s="68"/>
      <c r="JB27" s="103"/>
      <c r="JC27" s="15">
        <v>20</v>
      </c>
      <c r="JD27" s="91">
        <v>911.3</v>
      </c>
      <c r="JE27" s="238">
        <v>45197</v>
      </c>
      <c r="JF27" s="91">
        <v>911.3</v>
      </c>
      <c r="JG27" s="69" t="s">
        <v>745</v>
      </c>
      <c r="JH27" s="70">
        <v>41</v>
      </c>
      <c r="JI27" s="358">
        <f t="shared" si="30"/>
        <v>37363.299999999996</v>
      </c>
      <c r="JL27" s="103"/>
      <c r="JM27" s="15">
        <v>20</v>
      </c>
      <c r="JN27" s="91"/>
      <c r="JO27" s="231"/>
      <c r="JP27" s="91"/>
      <c r="JQ27" s="69"/>
      <c r="JR27" s="70"/>
      <c r="JS27" s="358">
        <f t="shared" si="31"/>
        <v>0</v>
      </c>
      <c r="JV27" s="103" t="s">
        <v>547</v>
      </c>
      <c r="JW27" s="15">
        <v>20</v>
      </c>
      <c r="JX27" s="68">
        <v>890.9</v>
      </c>
      <c r="JY27" s="238">
        <v>45195</v>
      </c>
      <c r="JZ27" s="68">
        <v>890.9</v>
      </c>
      <c r="KA27" s="69" t="s">
        <v>728</v>
      </c>
      <c r="KB27" s="70">
        <v>0</v>
      </c>
      <c r="KC27" s="358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8">
        <f t="shared" si="33"/>
        <v>0</v>
      </c>
      <c r="KP27" s="93"/>
      <c r="KQ27" s="15">
        <v>20</v>
      </c>
      <c r="KR27" s="68">
        <v>876.3</v>
      </c>
      <c r="KS27" s="238">
        <v>45197</v>
      </c>
      <c r="KT27" s="68">
        <v>876.3</v>
      </c>
      <c r="KU27" s="69" t="s">
        <v>756</v>
      </c>
      <c r="KV27" s="70">
        <v>41</v>
      </c>
      <c r="KW27" s="358">
        <f t="shared" si="34"/>
        <v>35928.299999999996</v>
      </c>
      <c r="KZ27" s="103"/>
      <c r="LA27" s="15">
        <v>20</v>
      </c>
      <c r="LB27" s="91">
        <v>893.1</v>
      </c>
      <c r="LC27" s="231">
        <v>45198</v>
      </c>
      <c r="LD27" s="91">
        <v>893.1</v>
      </c>
      <c r="LE27" s="94" t="s">
        <v>753</v>
      </c>
      <c r="LF27" s="70">
        <v>41</v>
      </c>
      <c r="LG27" s="358">
        <f t="shared" si="35"/>
        <v>36617.1</v>
      </c>
      <c r="LJ27" s="103"/>
      <c r="LK27" s="15">
        <v>20</v>
      </c>
      <c r="LL27" s="91">
        <v>932.1</v>
      </c>
      <c r="LM27" s="231"/>
      <c r="LN27" s="91"/>
      <c r="LO27" s="94"/>
      <c r="LP27" s="70"/>
      <c r="LQ27" s="358">
        <f t="shared" si="36"/>
        <v>0</v>
      </c>
      <c r="LT27" s="103"/>
      <c r="LU27" s="15">
        <v>20</v>
      </c>
      <c r="LV27" s="91">
        <v>931.67</v>
      </c>
      <c r="LW27" s="231">
        <v>45199</v>
      </c>
      <c r="LX27" s="91">
        <v>931.67</v>
      </c>
      <c r="LY27" s="94" t="s">
        <v>776</v>
      </c>
      <c r="LZ27" s="70">
        <v>41</v>
      </c>
      <c r="MA27" s="358">
        <f t="shared" si="37"/>
        <v>38198.47</v>
      </c>
      <c r="MB27" s="358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972" t="s">
        <v>262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285</v>
      </c>
      <c r="R28" s="70">
        <v>0</v>
      </c>
      <c r="S28" s="358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287</v>
      </c>
      <c r="AB28" s="70">
        <v>43</v>
      </c>
      <c r="AC28" s="358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301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>
        <v>45175</v>
      </c>
      <c r="AT28" s="91">
        <v>889</v>
      </c>
      <c r="AU28" s="94" t="s">
        <v>541</v>
      </c>
      <c r="AV28" s="70">
        <v>43</v>
      </c>
      <c r="AW28" s="70">
        <f t="shared" si="11"/>
        <v>38227</v>
      </c>
      <c r="AZ28" s="1272" t="s">
        <v>547</v>
      </c>
      <c r="BA28" s="15">
        <v>21</v>
      </c>
      <c r="BB28" s="91">
        <v>912.6</v>
      </c>
      <c r="BC28" s="231">
        <v>45175</v>
      </c>
      <c r="BD28" s="91">
        <v>912.6</v>
      </c>
      <c r="BE28" s="94" t="s">
        <v>546</v>
      </c>
      <c r="BF28" s="70">
        <v>0</v>
      </c>
      <c r="BG28" s="358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68">
        <f t="shared" si="13"/>
        <v>0</v>
      </c>
      <c r="BR28" s="358"/>
      <c r="BT28" s="103"/>
      <c r="BU28" s="15">
        <v>21</v>
      </c>
      <c r="BV28" s="168">
        <v>906.3</v>
      </c>
      <c r="BW28" s="275">
        <v>45175</v>
      </c>
      <c r="BX28" s="168">
        <v>906.3</v>
      </c>
      <c r="BY28" s="499" t="s">
        <v>543</v>
      </c>
      <c r="BZ28" s="276">
        <v>43</v>
      </c>
      <c r="CA28" s="358">
        <f t="shared" si="5"/>
        <v>38970.9</v>
      </c>
      <c r="CD28" s="442"/>
      <c r="CE28" s="15">
        <v>21</v>
      </c>
      <c r="CF28" s="91">
        <v>907.2</v>
      </c>
      <c r="CG28" s="275">
        <v>45175</v>
      </c>
      <c r="CH28" s="91">
        <v>907.2</v>
      </c>
      <c r="CI28" s="277" t="s">
        <v>545</v>
      </c>
      <c r="CJ28" s="276">
        <v>43</v>
      </c>
      <c r="CK28" s="358">
        <f t="shared" si="14"/>
        <v>39009.599999999999</v>
      </c>
      <c r="CN28" s="372"/>
      <c r="CO28" s="15">
        <v>21</v>
      </c>
      <c r="CP28" s="91">
        <v>902.6</v>
      </c>
      <c r="CQ28" s="275">
        <v>45178</v>
      </c>
      <c r="CR28" s="91">
        <v>902.6</v>
      </c>
      <c r="CS28" s="277" t="s">
        <v>593</v>
      </c>
      <c r="CT28" s="276">
        <v>45</v>
      </c>
      <c r="CU28" s="363">
        <f t="shared" si="58"/>
        <v>40617</v>
      </c>
      <c r="CX28" s="103"/>
      <c r="CY28" s="15">
        <v>21</v>
      </c>
      <c r="CZ28" s="91"/>
      <c r="DA28" s="231"/>
      <c r="DB28" s="91"/>
      <c r="DC28" s="94"/>
      <c r="DD28" s="70"/>
      <c r="DE28" s="358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8">
        <f t="shared" si="16"/>
        <v>0</v>
      </c>
      <c r="DR28" s="103"/>
      <c r="DS28" s="15">
        <v>21</v>
      </c>
      <c r="DT28" s="91">
        <v>891.3</v>
      </c>
      <c r="DU28" s="275">
        <v>45180</v>
      </c>
      <c r="DV28" s="91">
        <v>891.3</v>
      </c>
      <c r="DW28" s="277" t="s">
        <v>608</v>
      </c>
      <c r="DX28" s="276">
        <v>46</v>
      </c>
      <c r="DY28" s="358">
        <f t="shared" si="17"/>
        <v>40999.799999999996</v>
      </c>
      <c r="EB28" s="103"/>
      <c r="EC28" s="15">
        <v>21</v>
      </c>
      <c r="ED28" s="68">
        <v>932.6</v>
      </c>
      <c r="EE28" s="238"/>
      <c r="EF28" s="68"/>
      <c r="EG28" s="1341"/>
      <c r="EH28" s="70"/>
      <c r="EI28" s="358">
        <f t="shared" si="18"/>
        <v>0</v>
      </c>
      <c r="EL28" s="103"/>
      <c r="EM28" s="15">
        <v>21</v>
      </c>
      <c r="EN28" s="68">
        <v>793</v>
      </c>
      <c r="EO28" s="238">
        <v>45183</v>
      </c>
      <c r="EP28" s="68">
        <v>793</v>
      </c>
      <c r="EQ28" s="69" t="s">
        <v>636</v>
      </c>
      <c r="ER28" s="70">
        <v>46</v>
      </c>
      <c r="ES28" s="358">
        <f t="shared" si="19"/>
        <v>36478</v>
      </c>
      <c r="EV28" s="93"/>
      <c r="EW28" s="15">
        <v>21</v>
      </c>
      <c r="EX28" s="91"/>
      <c r="EY28" s="231"/>
      <c r="EZ28" s="91"/>
      <c r="FA28" s="69"/>
      <c r="FB28" s="70"/>
      <c r="FC28" s="358">
        <f t="shared" si="20"/>
        <v>0</v>
      </c>
      <c r="FF28" s="93"/>
      <c r="FG28" s="15">
        <v>21</v>
      </c>
      <c r="FH28" s="91">
        <v>929.4</v>
      </c>
      <c r="FI28" s="231">
        <v>45185</v>
      </c>
      <c r="FJ28" s="91">
        <v>929.4</v>
      </c>
      <c r="FK28" s="69" t="s">
        <v>660</v>
      </c>
      <c r="FL28" s="70">
        <v>45</v>
      </c>
      <c r="FM28" s="230">
        <f t="shared" si="21"/>
        <v>41823</v>
      </c>
      <c r="FP28" s="93"/>
      <c r="FQ28" s="15">
        <v>21</v>
      </c>
      <c r="FR28" s="91">
        <v>932.1</v>
      </c>
      <c r="FS28" s="231">
        <v>45189</v>
      </c>
      <c r="FT28" s="91">
        <v>932.1</v>
      </c>
      <c r="FU28" s="69" t="s">
        <v>680</v>
      </c>
      <c r="FV28" s="70">
        <v>44</v>
      </c>
      <c r="FW28" s="230">
        <f t="shared" si="22"/>
        <v>41012.400000000001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8">
        <f t="shared" si="23"/>
        <v>0</v>
      </c>
      <c r="GJ28" s="103"/>
      <c r="GK28" s="15">
        <v>21</v>
      </c>
      <c r="GL28" s="331">
        <v>910.4</v>
      </c>
      <c r="GM28" s="231">
        <v>45190</v>
      </c>
      <c r="GN28" s="331">
        <v>910.4</v>
      </c>
      <c r="GO28" s="94" t="s">
        <v>693</v>
      </c>
      <c r="GP28" s="70">
        <v>43</v>
      </c>
      <c r="GQ28" s="358">
        <f t="shared" si="24"/>
        <v>39147.199999999997</v>
      </c>
      <c r="GT28" s="103"/>
      <c r="GU28" s="15">
        <v>21</v>
      </c>
      <c r="GV28" s="91">
        <v>929</v>
      </c>
      <c r="GW28" s="231">
        <v>45192</v>
      </c>
      <c r="GX28" s="91">
        <v>929</v>
      </c>
      <c r="GY28" s="94" t="s">
        <v>710</v>
      </c>
      <c r="GZ28" s="70">
        <v>43</v>
      </c>
      <c r="HA28" s="358">
        <f t="shared" si="25"/>
        <v>39947</v>
      </c>
      <c r="HD28" s="103" t="s">
        <v>547</v>
      </c>
      <c r="HE28" s="15">
        <v>21</v>
      </c>
      <c r="HF28" s="91">
        <v>894</v>
      </c>
      <c r="HG28" s="231">
        <v>45189</v>
      </c>
      <c r="HH28" s="91">
        <v>894</v>
      </c>
      <c r="HI28" s="94" t="s">
        <v>679</v>
      </c>
      <c r="HJ28" s="70">
        <v>0</v>
      </c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1342"/>
      <c r="HT28" s="70"/>
      <c r="HU28" s="358">
        <f t="shared" si="27"/>
        <v>0</v>
      </c>
      <c r="HX28" s="103"/>
      <c r="HY28" s="15">
        <v>21</v>
      </c>
      <c r="HZ28" s="68">
        <v>884</v>
      </c>
      <c r="IA28" s="238">
        <v>45192</v>
      </c>
      <c r="IB28" s="68">
        <v>884</v>
      </c>
      <c r="IC28" s="69" t="s">
        <v>716</v>
      </c>
      <c r="ID28" s="70">
        <v>43</v>
      </c>
      <c r="IE28" s="358">
        <f t="shared" si="6"/>
        <v>38012</v>
      </c>
      <c r="IH28" s="103"/>
      <c r="II28" s="15">
        <v>21</v>
      </c>
      <c r="IJ28" s="68">
        <v>913.5</v>
      </c>
      <c r="IK28" s="238">
        <v>45191</v>
      </c>
      <c r="IL28" s="68">
        <v>913.5</v>
      </c>
      <c r="IM28" s="69" t="s">
        <v>705</v>
      </c>
      <c r="IN28" s="70">
        <v>43</v>
      </c>
      <c r="IO28" s="230">
        <f t="shared" si="28"/>
        <v>39280.5</v>
      </c>
      <c r="IR28" s="103"/>
      <c r="IS28" s="15">
        <v>21</v>
      </c>
      <c r="IT28" s="68">
        <v>869.5</v>
      </c>
      <c r="IU28" s="238">
        <v>45191</v>
      </c>
      <c r="IV28" s="68">
        <v>869.5</v>
      </c>
      <c r="IW28" s="69" t="s">
        <v>684</v>
      </c>
      <c r="IX28" s="70">
        <v>43</v>
      </c>
      <c r="IY28" s="230">
        <f t="shared" si="29"/>
        <v>37388.5</v>
      </c>
      <c r="JA28" s="68"/>
      <c r="JB28" s="103"/>
      <c r="JC28" s="15">
        <v>21</v>
      </c>
      <c r="JD28" s="68">
        <v>897.2</v>
      </c>
      <c r="JE28" s="238">
        <v>45197</v>
      </c>
      <c r="JF28" s="68">
        <v>897.2</v>
      </c>
      <c r="JG28" s="69" t="s">
        <v>745</v>
      </c>
      <c r="JH28" s="70">
        <v>41</v>
      </c>
      <c r="JI28" s="358">
        <f t="shared" si="30"/>
        <v>36785.200000000004</v>
      </c>
      <c r="JL28" s="103"/>
      <c r="JM28" s="15">
        <v>21</v>
      </c>
      <c r="JN28" s="91"/>
      <c r="JO28" s="231"/>
      <c r="JP28" s="91"/>
      <c r="JQ28" s="69"/>
      <c r="JR28" s="70"/>
      <c r="JS28" s="358">
        <f>JR28*JP28</f>
        <v>0</v>
      </c>
      <c r="JV28" s="103" t="s">
        <v>547</v>
      </c>
      <c r="JW28" s="15">
        <v>21</v>
      </c>
      <c r="JX28" s="68">
        <v>865.9</v>
      </c>
      <c r="JY28" s="238">
        <v>45197</v>
      </c>
      <c r="JZ28" s="68">
        <v>865.9</v>
      </c>
      <c r="KA28" s="69" t="s">
        <v>751</v>
      </c>
      <c r="KB28" s="70">
        <v>0</v>
      </c>
      <c r="KC28" s="358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8">
        <f t="shared" si="33"/>
        <v>0</v>
      </c>
      <c r="KP28" s="93"/>
      <c r="KQ28" s="15">
        <v>21</v>
      </c>
      <c r="KR28" s="68">
        <v>933.5</v>
      </c>
      <c r="KS28" s="238">
        <v>45197</v>
      </c>
      <c r="KT28" s="68">
        <v>933.5</v>
      </c>
      <c r="KU28" s="69" t="s">
        <v>756</v>
      </c>
      <c r="KV28" s="70">
        <v>41</v>
      </c>
      <c r="KW28" s="358">
        <f t="shared" si="34"/>
        <v>38273.5</v>
      </c>
      <c r="KZ28" s="103"/>
      <c r="LA28" s="15">
        <v>21</v>
      </c>
      <c r="LB28" s="91">
        <v>875</v>
      </c>
      <c r="LC28" s="231">
        <v>45198</v>
      </c>
      <c r="LD28" s="91">
        <v>875</v>
      </c>
      <c r="LE28" s="94" t="s">
        <v>753</v>
      </c>
      <c r="LF28" s="70">
        <v>41</v>
      </c>
      <c r="LG28" s="358">
        <f t="shared" si="35"/>
        <v>35875</v>
      </c>
      <c r="LJ28" s="103"/>
      <c r="LK28" s="15">
        <v>21</v>
      </c>
      <c r="LL28" s="91">
        <v>891.8</v>
      </c>
      <c r="LM28" s="231">
        <v>45199</v>
      </c>
      <c r="LN28" s="91">
        <v>891.8</v>
      </c>
      <c r="LO28" s="94" t="s">
        <v>759</v>
      </c>
      <c r="LP28" s="70">
        <v>41</v>
      </c>
      <c r="LQ28" s="358">
        <f t="shared" si="36"/>
        <v>36563.799999999996</v>
      </c>
      <c r="LT28" s="103"/>
      <c r="LU28" s="15">
        <v>21</v>
      </c>
      <c r="LV28" s="91"/>
      <c r="LW28" s="231"/>
      <c r="LX28" s="91"/>
      <c r="LY28" s="94"/>
      <c r="LZ28" s="70"/>
      <c r="MA28" s="358">
        <f t="shared" si="37"/>
        <v>0</v>
      </c>
      <c r="MB28" s="358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58">
        <f>SUM(S8:S28)</f>
        <v>0</v>
      </c>
      <c r="V29" s="103"/>
      <c r="W29" s="15"/>
      <c r="X29" s="91"/>
      <c r="Y29" s="231"/>
      <c r="Z29" s="91"/>
      <c r="AA29" s="94"/>
      <c r="AB29" s="70"/>
      <c r="AC29" s="358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816613.00000000023</v>
      </c>
      <c r="AP29" s="93"/>
      <c r="AQ29" s="15"/>
      <c r="AR29" s="91"/>
      <c r="AS29" s="231"/>
      <c r="AT29" s="91"/>
      <c r="AU29" s="94"/>
      <c r="AV29" s="70"/>
      <c r="AW29" s="70">
        <f>SUM(AW8:AW28)</f>
        <v>802661</v>
      </c>
      <c r="AZ29" s="103"/>
      <c r="BA29" s="15"/>
      <c r="BB29" s="91"/>
      <c r="BC29" s="231"/>
      <c r="BD29" s="91"/>
      <c r="BE29" s="94"/>
      <c r="BF29" s="70"/>
      <c r="BG29" s="358">
        <f t="shared" si="12"/>
        <v>0</v>
      </c>
      <c r="BJ29" s="103"/>
      <c r="BK29" s="15"/>
      <c r="BL29" s="91"/>
      <c r="BM29" s="231"/>
      <c r="BN29" s="91"/>
      <c r="BO29" s="94"/>
      <c r="BP29" s="70"/>
      <c r="BQ29" s="368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8">
        <v>0</v>
      </c>
      <c r="CD29" s="103"/>
      <c r="CE29" s="15">
        <v>22</v>
      </c>
      <c r="CF29" s="91"/>
      <c r="CG29" s="275"/>
      <c r="CH29" s="91"/>
      <c r="CI29" s="284"/>
      <c r="CJ29" s="276"/>
      <c r="CK29" s="358">
        <f t="shared" si="14"/>
        <v>0</v>
      </c>
      <c r="CN29" s="372"/>
      <c r="CO29" s="15">
        <v>22</v>
      </c>
      <c r="CP29" s="91"/>
      <c r="CQ29" s="275"/>
      <c r="CR29" s="91"/>
      <c r="CS29" s="277"/>
      <c r="CT29" s="276"/>
      <c r="CU29" s="363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8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8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8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58">
        <f>SUM(EI8:EI28)</f>
        <v>0</v>
      </c>
      <c r="EL29" s="103"/>
      <c r="EM29" s="15">
        <v>22</v>
      </c>
      <c r="EN29" s="68">
        <v>853</v>
      </c>
      <c r="EO29" s="238">
        <v>45183</v>
      </c>
      <c r="EP29" s="68">
        <v>853</v>
      </c>
      <c r="EQ29" s="69" t="s">
        <v>636</v>
      </c>
      <c r="ER29" s="70">
        <v>46</v>
      </c>
      <c r="ES29" s="358">
        <f>SUM(ES8:ES28)</f>
        <v>806748</v>
      </c>
      <c r="EV29" s="93"/>
      <c r="EW29" s="15">
        <v>22</v>
      </c>
      <c r="EX29" s="91"/>
      <c r="EY29" s="231"/>
      <c r="EZ29" s="91"/>
      <c r="FA29" s="69"/>
      <c r="FB29" s="70"/>
      <c r="FC29" s="358">
        <f t="shared" si="20"/>
        <v>0</v>
      </c>
      <c r="FF29" s="93"/>
      <c r="FG29" s="15">
        <v>22</v>
      </c>
      <c r="FH29" s="91"/>
      <c r="FI29" s="231"/>
      <c r="FJ29" s="91"/>
      <c r="FK29" s="69"/>
      <c r="FL29" s="70"/>
      <c r="FM29" s="358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8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8">
        <f t="shared" si="23"/>
        <v>0</v>
      </c>
      <c r="GJ29" s="103"/>
      <c r="GK29" s="15"/>
      <c r="GL29" s="331"/>
      <c r="GM29" s="231"/>
      <c r="GN29" s="91"/>
      <c r="GO29" s="94"/>
      <c r="GP29" s="70"/>
      <c r="GQ29" s="358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8">
        <f>SUM(HA8:HA28)</f>
        <v>821936.39999999991</v>
      </c>
      <c r="HD29" s="103"/>
      <c r="HE29" s="15"/>
      <c r="HF29" s="91"/>
      <c r="HG29" s="231"/>
      <c r="HH29" s="91"/>
      <c r="HI29" s="94"/>
      <c r="HJ29" s="70"/>
      <c r="HK29" s="358">
        <f>SUM(HK8:HK28)</f>
        <v>0</v>
      </c>
      <c r="HN29" s="103"/>
      <c r="HO29" s="15">
        <v>22</v>
      </c>
      <c r="HP29" s="91"/>
      <c r="HQ29" s="231"/>
      <c r="HR29" s="91"/>
      <c r="HS29" s="1341"/>
      <c r="HT29" s="70"/>
      <c r="HU29" s="358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8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8">
        <f t="shared" si="30"/>
        <v>0</v>
      </c>
      <c r="JL29" s="103"/>
      <c r="JM29" s="15"/>
      <c r="JN29" s="91"/>
      <c r="JO29" s="231"/>
      <c r="JP29" s="91"/>
      <c r="JQ29" s="69"/>
      <c r="JR29" s="70"/>
      <c r="JS29" s="358">
        <f>SUM(JS8:JS28)</f>
        <v>0</v>
      </c>
      <c r="JV29" s="103"/>
      <c r="JW29" s="15"/>
      <c r="JX29" s="68"/>
      <c r="JY29" s="238"/>
      <c r="JZ29" s="68"/>
      <c r="KA29" s="69"/>
      <c r="KB29" s="70"/>
      <c r="KC29" s="358">
        <f>SUM(KC8:KC28)</f>
        <v>0</v>
      </c>
      <c r="KF29" s="103"/>
      <c r="KG29" s="15"/>
      <c r="KH29" s="68"/>
      <c r="KI29" s="238"/>
      <c r="KJ29" s="68"/>
      <c r="KK29" s="69"/>
      <c r="KL29" s="70"/>
      <c r="KM29" s="358">
        <f>SUM(KM8:KM28)</f>
        <v>698340.70000000007</v>
      </c>
      <c r="KP29" s="103"/>
      <c r="KQ29" s="15"/>
      <c r="KR29" s="68"/>
      <c r="KS29" s="238"/>
      <c r="KT29" s="68"/>
      <c r="KU29" s="69"/>
      <c r="KV29" s="70"/>
      <c r="KW29" s="358">
        <f>SUM(KW8:KW28)</f>
        <v>769754.49999999988</v>
      </c>
      <c r="KZ29" s="103"/>
      <c r="LA29" s="15"/>
      <c r="LB29" s="91"/>
      <c r="LC29" s="231"/>
      <c r="LD29" s="91"/>
      <c r="LE29" s="94"/>
      <c r="LF29" s="70"/>
      <c r="LG29" s="358">
        <f>LF29*LD29</f>
        <v>0</v>
      </c>
      <c r="LJ29" s="103"/>
      <c r="LK29" s="15"/>
      <c r="LL29" s="91"/>
      <c r="LM29" s="231"/>
      <c r="LN29" s="91"/>
      <c r="LO29" s="94"/>
      <c r="LP29" s="70"/>
      <c r="LQ29" s="358">
        <f t="shared" si="36"/>
        <v>0</v>
      </c>
      <c r="LT29" s="103"/>
      <c r="LU29" s="15"/>
      <c r="LV29" s="91"/>
      <c r="LW29" s="231"/>
      <c r="LX29" s="91"/>
      <c r="LY29" s="94"/>
      <c r="LZ29" s="70"/>
      <c r="MA29" s="358">
        <f t="shared" si="37"/>
        <v>0</v>
      </c>
      <c r="MB29" s="358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8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8">
        <v>0</v>
      </c>
      <c r="PN29" s="231"/>
      <c r="PO29" s="91"/>
      <c r="PP29" s="94"/>
      <c r="PQ29" s="70"/>
      <c r="PT29" s="103"/>
      <c r="PU29" s="15"/>
      <c r="PV29" s="91"/>
      <c r="PW29" s="231"/>
      <c r="PX29" s="626">
        <f>SUM(PX8:PX28)</f>
        <v>0</v>
      </c>
      <c r="PY29" s="91"/>
      <c r="PZ29" s="94"/>
      <c r="QA29" s="70"/>
      <c r="QD29" s="103"/>
      <c r="QE29" s="15"/>
      <c r="QF29" s="91"/>
      <c r="QG29" s="131"/>
      <c r="QH29" s="358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58"/>
      <c r="V30" s="103"/>
      <c r="W30" s="15"/>
      <c r="X30" s="91"/>
      <c r="Y30" s="231"/>
      <c r="Z30" s="91"/>
      <c r="AA30" s="94"/>
      <c r="AB30" s="70"/>
      <c r="AC30" s="358">
        <f>SUM(AC8:AC29)</f>
        <v>805531.89999999991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58">
        <f>SUM(BG8:BG29)</f>
        <v>0</v>
      </c>
      <c r="BJ30" s="103"/>
      <c r="BK30" s="15"/>
      <c r="BL30" s="91"/>
      <c r="BM30" s="231"/>
      <c r="BN30" s="91"/>
      <c r="BO30" s="94"/>
      <c r="BP30" s="70"/>
      <c r="BQ30" s="358">
        <f>SUM(BQ8:BQ29)</f>
        <v>802039.04249999998</v>
      </c>
      <c r="BT30" s="103"/>
      <c r="BU30" s="15"/>
      <c r="BV30" s="282"/>
      <c r="BW30" s="78"/>
      <c r="BX30" s="68"/>
      <c r="BY30" s="94"/>
      <c r="BZ30" s="70"/>
      <c r="CA30" s="358">
        <f>SUM(CA8:CA29)</f>
        <v>807871.09999999986</v>
      </c>
      <c r="CD30" s="103"/>
      <c r="CE30" s="15">
        <v>23</v>
      </c>
      <c r="CF30" s="68"/>
      <c r="CG30" s="275"/>
      <c r="CH30" s="68"/>
      <c r="CI30" s="284"/>
      <c r="CJ30" s="276"/>
      <c r="CK30" s="358">
        <f>SUM(CK8:CK29)</f>
        <v>829783.89999999979</v>
      </c>
      <c r="CN30" s="103"/>
      <c r="CO30" s="15"/>
      <c r="CP30" s="68"/>
      <c r="CQ30" s="231"/>
      <c r="CR30" s="68"/>
      <c r="CS30" s="94"/>
      <c r="CT30" s="70"/>
      <c r="CU30" s="363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8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8">
        <f t="shared" si="16"/>
        <v>0</v>
      </c>
      <c r="DR30" s="103"/>
      <c r="DS30" s="15"/>
      <c r="DT30" s="68"/>
      <c r="DU30" s="231"/>
      <c r="DV30" s="68"/>
      <c r="DW30" s="94"/>
      <c r="DX30" s="70"/>
      <c r="DY30" s="358">
        <f>SUM(DY8:DY29)</f>
        <v>873825.20000000019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8">
        <f>SUM(FC8:FC29)</f>
        <v>0</v>
      </c>
      <c r="FF30" s="93"/>
      <c r="FG30" s="15"/>
      <c r="FH30" s="91"/>
      <c r="FI30" s="231"/>
      <c r="FJ30" s="102"/>
      <c r="FK30" s="69"/>
      <c r="FL30" s="70"/>
      <c r="FM30" s="358">
        <f>SUM(FM8:FM29)</f>
        <v>864036</v>
      </c>
      <c r="FP30" s="93"/>
      <c r="FQ30" s="15"/>
      <c r="FR30" s="91"/>
      <c r="FS30" s="231"/>
      <c r="FT30" s="102"/>
      <c r="FU30" s="69"/>
      <c r="FV30" s="70"/>
      <c r="FW30" s="358">
        <f>SUM(FW8:FW29)</f>
        <v>836544.7</v>
      </c>
      <c r="FZ30" s="103"/>
      <c r="GA30" s="15"/>
      <c r="GB30" s="91"/>
      <c r="GC30" s="231"/>
      <c r="GD30" s="91"/>
      <c r="GE30" s="69"/>
      <c r="GF30" s="70"/>
      <c r="GG30" s="358">
        <f>SUM(GG8:GG29)</f>
        <v>882446.15</v>
      </c>
      <c r="GJ30" s="103"/>
      <c r="GK30" s="15"/>
      <c r="GL30" s="331"/>
      <c r="GM30" s="231"/>
      <c r="GN30" s="68"/>
      <c r="GO30" s="94"/>
      <c r="GP30" s="70"/>
      <c r="GQ30" s="358">
        <f>SUM(GQ8:GQ29)</f>
        <v>817176.29999999981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3"/>
      <c r="HN30" s="103"/>
      <c r="HO30" s="15"/>
      <c r="HP30" s="91"/>
      <c r="HQ30" s="231"/>
      <c r="HR30" s="102"/>
      <c r="HS30" s="69"/>
      <c r="HT30" s="70"/>
      <c r="HU30" s="358">
        <f>SUM(HU8:HU29)</f>
        <v>0</v>
      </c>
      <c r="HX30" s="103"/>
      <c r="HY30" s="15"/>
      <c r="HZ30" s="68"/>
      <c r="IA30" s="238"/>
      <c r="IB30" s="102"/>
      <c r="IC30" s="69"/>
      <c r="ID30" s="70"/>
      <c r="IE30" s="358">
        <f>SUM(IE8:IE29)</f>
        <v>826907.2</v>
      </c>
      <c r="IH30" s="103"/>
      <c r="II30" s="15"/>
      <c r="IJ30" s="68"/>
      <c r="IK30" s="238"/>
      <c r="IL30" s="102"/>
      <c r="IM30" s="69"/>
      <c r="IN30" s="70"/>
      <c r="IO30" s="358">
        <f>SUM(IO8:IO29)</f>
        <v>819326.3</v>
      </c>
      <c r="IR30" s="103"/>
      <c r="IS30" s="15"/>
      <c r="IT30" s="68"/>
      <c r="IU30" s="238"/>
      <c r="IV30" s="102"/>
      <c r="IW30" s="69"/>
      <c r="IX30" s="70"/>
      <c r="IY30" s="358">
        <f>SUM(IY8:IY29)</f>
        <v>819769.2</v>
      </c>
      <c r="JB30" s="103"/>
      <c r="JC30" s="15">
        <v>23</v>
      </c>
      <c r="JD30" s="68"/>
      <c r="JE30" s="238"/>
      <c r="JF30" s="91"/>
      <c r="JG30" s="69"/>
      <c r="JH30" s="70"/>
      <c r="JI30" s="358">
        <f>SUM(JI8:JI29)</f>
        <v>787716.6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8">
        <f>SUM(LG8:LG29)</f>
        <v>769877.49999999988</v>
      </c>
      <c r="LJ30" s="103"/>
      <c r="LK30" s="15"/>
      <c r="LL30" s="91"/>
      <c r="LM30" s="231"/>
      <c r="LN30" s="91"/>
      <c r="LO30" s="94"/>
      <c r="LP30" s="70"/>
      <c r="LQ30" s="358">
        <f>SUM(LQ8:LQ29)</f>
        <v>406519.10000000003</v>
      </c>
      <c r="LT30" s="103"/>
      <c r="LU30" s="15"/>
      <c r="LV30" s="68"/>
      <c r="LW30" s="231"/>
      <c r="LX30" s="68"/>
      <c r="LY30" s="94"/>
      <c r="LZ30" s="70"/>
      <c r="MA30" s="358">
        <f>SUM(MA8:MA29)</f>
        <v>761759.09</v>
      </c>
      <c r="MB30" s="358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2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2"/>
      <c r="V31" s="175"/>
      <c r="W31" s="37"/>
      <c r="X31" s="294"/>
      <c r="Y31" s="287"/>
      <c r="Z31" s="294"/>
      <c r="AA31" s="301"/>
      <c r="AB31" s="189"/>
      <c r="AC31" s="362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2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3">
        <f>SUM(CU8:CU30)</f>
        <v>842933.25</v>
      </c>
      <c r="CX31" s="175"/>
      <c r="CY31" s="37">
        <v>24</v>
      </c>
      <c r="CZ31" s="286"/>
      <c r="DA31" s="293"/>
      <c r="DB31" s="286"/>
      <c r="DC31" s="301"/>
      <c r="DD31" s="189"/>
      <c r="DE31" s="884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884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2"/>
      <c r="EL31" s="175"/>
      <c r="EM31" s="37"/>
      <c r="EN31" s="286"/>
      <c r="EO31" s="287"/>
      <c r="EP31" s="193"/>
      <c r="EQ31" s="135"/>
      <c r="ER31" s="189"/>
      <c r="ES31" s="362"/>
      <c r="EV31" s="175"/>
      <c r="EW31" s="37"/>
      <c r="EX31" s="286"/>
      <c r="EY31" s="287"/>
      <c r="EZ31" s="193"/>
      <c r="FA31" s="135"/>
      <c r="FB31" s="189"/>
      <c r="FC31" s="362"/>
      <c r="FF31" s="295"/>
      <c r="FG31" s="37"/>
      <c r="FH31" s="286"/>
      <c r="FI31" s="192"/>
      <c r="FJ31" s="286"/>
      <c r="FK31" s="135"/>
      <c r="FL31" s="189"/>
      <c r="FM31" s="362"/>
      <c r="FP31" s="295"/>
      <c r="FQ31" s="37"/>
      <c r="FR31" s="286"/>
      <c r="FS31" s="192"/>
      <c r="FT31" s="286"/>
      <c r="FU31" s="135"/>
      <c r="FV31" s="189"/>
      <c r="FW31" s="362"/>
      <c r="FZ31" s="175"/>
      <c r="GA31" s="37"/>
      <c r="GB31" s="294"/>
      <c r="GC31" s="287"/>
      <c r="GD31" s="294"/>
      <c r="GE31" s="135"/>
      <c r="GF31" s="189"/>
      <c r="GG31" s="362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5"/>
      <c r="HD31" s="248"/>
      <c r="HE31" s="52"/>
      <c r="HF31" s="296"/>
      <c r="HG31" s="297"/>
      <c r="HH31" s="298"/>
      <c r="HI31" s="299"/>
      <c r="HJ31" s="300"/>
      <c r="HK31" s="365"/>
      <c r="HN31" s="175"/>
      <c r="HO31" s="37"/>
      <c r="HP31" s="294"/>
      <c r="HQ31" s="287"/>
      <c r="HR31" s="193"/>
      <c r="HS31" s="135"/>
      <c r="HT31" s="189"/>
      <c r="HU31" s="362"/>
      <c r="HX31" s="175"/>
      <c r="HY31" s="37"/>
      <c r="HZ31" s="286"/>
      <c r="IA31" s="287"/>
      <c r="IB31" s="193"/>
      <c r="IC31" s="135"/>
      <c r="ID31" s="189"/>
      <c r="IE31" s="362"/>
      <c r="IH31" s="175"/>
      <c r="II31" s="37"/>
      <c r="IJ31" s="286"/>
      <c r="IK31" s="287"/>
      <c r="IL31" s="193"/>
      <c r="IM31" s="135"/>
      <c r="IN31" s="189"/>
      <c r="IO31" s="362"/>
      <c r="IR31" s="175"/>
      <c r="IS31" s="37"/>
      <c r="IT31" s="286"/>
      <c r="IU31" s="287"/>
      <c r="IV31" s="193"/>
      <c r="IW31" s="135"/>
      <c r="IX31" s="189"/>
      <c r="IY31" s="362"/>
      <c r="JB31" s="175"/>
      <c r="JC31" s="37"/>
      <c r="JD31" s="286"/>
      <c r="JE31" s="287"/>
      <c r="JF31" s="193"/>
      <c r="JG31" s="135"/>
      <c r="JH31" s="189"/>
      <c r="JI31" s="362"/>
      <c r="JL31" s="175"/>
      <c r="JM31" s="37"/>
      <c r="JN31" s="294"/>
      <c r="JO31" s="287"/>
      <c r="JP31" s="193"/>
      <c r="JQ31" s="135"/>
      <c r="JR31" s="189"/>
      <c r="JS31" s="362"/>
      <c r="JV31" s="175"/>
      <c r="JW31" s="37"/>
      <c r="JX31" s="286"/>
      <c r="JY31" s="287"/>
      <c r="JZ31" s="193"/>
      <c r="KA31" s="135"/>
      <c r="KB31" s="189"/>
      <c r="KC31" s="362"/>
      <c r="KF31" s="175"/>
      <c r="KG31" s="37"/>
      <c r="KH31" s="286"/>
      <c r="KI31" s="287"/>
      <c r="KJ31" s="193"/>
      <c r="KK31" s="135"/>
      <c r="KL31" s="189"/>
      <c r="KM31" s="362"/>
      <c r="KP31" s="175"/>
      <c r="KQ31" s="37"/>
      <c r="KR31" s="286"/>
      <c r="KS31" s="287"/>
      <c r="KT31" s="193"/>
      <c r="KU31" s="135"/>
      <c r="KV31" s="189"/>
      <c r="KW31" s="362"/>
      <c r="KZ31" s="175"/>
      <c r="LA31" s="291"/>
      <c r="LB31" s="286"/>
      <c r="LC31" s="192"/>
      <c r="LD31" s="286"/>
      <c r="LE31" s="301"/>
      <c r="LF31" s="189"/>
      <c r="LG31" s="362"/>
      <c r="LJ31" s="175"/>
      <c r="LK31" s="37"/>
      <c r="LL31" s="294"/>
      <c r="LM31" s="287"/>
      <c r="LN31" s="294"/>
      <c r="LO31" s="301"/>
      <c r="LP31" s="189"/>
      <c r="LQ31" s="362"/>
      <c r="LT31" s="175"/>
      <c r="LU31" s="37"/>
      <c r="LV31" s="193"/>
      <c r="LW31" s="192"/>
      <c r="LX31" s="286"/>
      <c r="LY31" s="301"/>
      <c r="LZ31" s="302"/>
      <c r="MA31" s="362"/>
      <c r="MB31" s="362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19097</v>
      </c>
      <c r="S32" s="358"/>
      <c r="X32" s="85">
        <f>SUM(X8:X31)</f>
        <v>18733.300000000003</v>
      </c>
      <c r="Z32" s="102">
        <f>SUM(Z8:Z31)</f>
        <v>18733.300000000003</v>
      </c>
      <c r="AH32" s="102">
        <f>SUM(AH8:AH31)</f>
        <v>18990.999999999996</v>
      </c>
      <c r="AJ32" s="102">
        <f>SUM(AJ8:AJ31)</f>
        <v>18990.999999999996</v>
      </c>
      <c r="AR32" s="85">
        <f>SUM(AR8:AR31)</f>
        <v>19090.800000000003</v>
      </c>
      <c r="AT32" s="85">
        <f>SUM(AT8:AT31)</f>
        <v>19090.800000000003</v>
      </c>
      <c r="AW32" s="74"/>
      <c r="AZ32" s="74"/>
      <c r="BB32" s="85">
        <f>SUM(BB8:BB31)</f>
        <v>18950.999999999996</v>
      </c>
      <c r="BD32" s="102">
        <f>SUM(BD8:BD31)</f>
        <v>18950.999999999996</v>
      </c>
      <c r="BL32" s="85">
        <f>SUM(BL8:BL31)</f>
        <v>18555.460000000003</v>
      </c>
      <c r="BN32" s="102">
        <f>SUM(BN8:BN31)</f>
        <v>18555.467000000001</v>
      </c>
      <c r="BV32" s="102">
        <f>SUM(BV8:BV31)</f>
        <v>18787.7</v>
      </c>
      <c r="BX32" s="102">
        <f>SUM(BX8:BX31)</f>
        <v>18787.7</v>
      </c>
      <c r="CE32" s="15"/>
      <c r="CF32" s="102">
        <f>SUM(CF8:CF31)</f>
        <v>19297.3</v>
      </c>
      <c r="CH32" s="102">
        <f>SUM(CH8:CH31)</f>
        <v>19297.3</v>
      </c>
      <c r="CP32" s="102">
        <f>SUM(CP8:CP31)</f>
        <v>19036.099999999995</v>
      </c>
      <c r="CR32" s="102">
        <f>SUM(CR8:CR31)</f>
        <v>19035.199999999997</v>
      </c>
      <c r="CZ32" s="102">
        <f>SUM(CZ8:CZ31)</f>
        <v>18484</v>
      </c>
      <c r="DB32" s="102">
        <f>SUM(DB8:DB31)</f>
        <v>18484</v>
      </c>
      <c r="DE32" s="358">
        <f>SUM(DE8:DE31)</f>
        <v>831780</v>
      </c>
      <c r="DJ32" s="102">
        <f>SUM(DJ8:DJ31)</f>
        <v>18770.470000000005</v>
      </c>
      <c r="DL32" s="102">
        <f>SUM(DL8:DL31)</f>
        <v>18770.470000000005</v>
      </c>
      <c r="DO32" s="358">
        <f>SUM(DO8:DO31)</f>
        <v>856838.25000000012</v>
      </c>
      <c r="DT32" s="102">
        <f>SUM(DT8:DT31)</f>
        <v>18996.199999999997</v>
      </c>
      <c r="DV32" s="102">
        <f>SUM(DV8:DV31)</f>
        <v>18996.199999999997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18391</v>
      </c>
      <c r="EX32" s="102">
        <f>SUM(EX8:EX31)</f>
        <v>18500.899999999998</v>
      </c>
      <c r="EZ32" s="102">
        <f>SUM(EZ8:EZ31)</f>
        <v>18500.899999999998</v>
      </c>
      <c r="FH32" s="128">
        <f>SUM(FH8:FH31)</f>
        <v>19200.400000000005</v>
      </c>
      <c r="FJ32" s="102">
        <f>SUM(FJ8:FJ31)</f>
        <v>19200.800000000003</v>
      </c>
      <c r="FR32" s="128">
        <f>SUM(FR8:FR31)</f>
        <v>19240.399999999998</v>
      </c>
      <c r="FT32" s="102">
        <f>SUM(FT8:FT31)</f>
        <v>19240.399999999998</v>
      </c>
      <c r="GB32" s="102">
        <f>SUM(GB8:GB31)</f>
        <v>18775.45</v>
      </c>
      <c r="GC32" s="102"/>
      <c r="GD32" s="102">
        <f>SUM(GD8:GD31)</f>
        <v>18775.45</v>
      </c>
      <c r="GE32" s="74" t="s">
        <v>36</v>
      </c>
      <c r="GL32" s="102">
        <f>SUM(GL8:GL31)</f>
        <v>19004.100000000002</v>
      </c>
      <c r="GN32" s="102">
        <f>SUM(GN8:GN31)</f>
        <v>19004.100000000002</v>
      </c>
      <c r="GV32" s="102">
        <f>SUM(GV8:GV31)</f>
        <v>19103.8</v>
      </c>
      <c r="GX32" s="102">
        <f>SUM(GX8:GX31)</f>
        <v>19114.8</v>
      </c>
      <c r="HF32" s="102">
        <f>SUM(HF8:HF31)</f>
        <v>19053.599999999999</v>
      </c>
      <c r="HH32" s="102">
        <f>SUM(HH8:HH31)</f>
        <v>19053.599999999999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19230.400000000001</v>
      </c>
      <c r="IJ32" s="102">
        <f>SUM(IJ8:IJ31)</f>
        <v>19054.099999999999</v>
      </c>
      <c r="IL32" s="102">
        <f>SUM(IL8:IL31)</f>
        <v>19054.099999999999</v>
      </c>
      <c r="IT32" s="102">
        <f>SUM(IT8:IT31)</f>
        <v>19064.400000000001</v>
      </c>
      <c r="IV32" s="102">
        <f>SUM(IV8:IV31)</f>
        <v>19064.400000000001</v>
      </c>
      <c r="JD32" s="102">
        <f>SUM(JD8:JD31)</f>
        <v>19212.599999999999</v>
      </c>
      <c r="JF32" s="102">
        <f>SUM(JF8:JF31)</f>
        <v>19212.599999999999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18903.400000000005</v>
      </c>
      <c r="KH32" s="102">
        <f>SUM(KH8:KH31)</f>
        <v>17032.699999999997</v>
      </c>
      <c r="KJ32" s="102">
        <f>SUM(KJ8:KJ31)</f>
        <v>17032.699999999997</v>
      </c>
      <c r="KR32" s="102">
        <f>SUM(KR8:KR31)</f>
        <v>18774.5</v>
      </c>
      <c r="KT32" s="102">
        <f>SUM(KT8:KT31)</f>
        <v>18774.5</v>
      </c>
      <c r="LB32" s="102">
        <f>SUM(LB8:LB31)</f>
        <v>18777.5</v>
      </c>
      <c r="LD32" s="102">
        <f>SUM(LD8:LD31)</f>
        <v>18777.5</v>
      </c>
      <c r="LL32" s="85">
        <f>SUM(LL8:LL31)</f>
        <v>18816.400000000001</v>
      </c>
      <c r="LN32" s="102">
        <f>SUM(LN8:LN31)</f>
        <v>9915.0999999999985</v>
      </c>
      <c r="LU32" s="136"/>
      <c r="LV32" s="85">
        <f>SUM(LV8:LV31)</f>
        <v>18579.489999999998</v>
      </c>
      <c r="LW32" s="85"/>
      <c r="LX32" s="85">
        <f>SUM(LX8:LX31)</f>
        <v>18579.489999999998</v>
      </c>
      <c r="MA32" s="358"/>
      <c r="MB32" s="35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246" t="s">
        <v>21</v>
      </c>
      <c r="O33" s="247"/>
      <c r="P33" s="137">
        <f>Q5-P32</f>
        <v>0</v>
      </c>
      <c r="S33" s="358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-7.0000000014260877E-3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0.89999999999781721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-0.39999999999781721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-11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8901.3000000000029</v>
      </c>
      <c r="MA33" s="358"/>
      <c r="MB33" s="358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89" t="s">
        <v>21</v>
      </c>
      <c r="SB33" s="1590"/>
      <c r="SC33" s="137">
        <f>SUM(SD5-SC32)</f>
        <v>0</v>
      </c>
      <c r="SK33" s="1589" t="s">
        <v>21</v>
      </c>
      <c r="SL33" s="1590"/>
      <c r="SM33" s="137">
        <f>SUM(SN5-SM32)</f>
        <v>0</v>
      </c>
      <c r="SU33" s="1589" t="s">
        <v>21</v>
      </c>
      <c r="SV33" s="1590"/>
      <c r="SW33" s="205">
        <f>SUM(SX5-SW32)</f>
        <v>0</v>
      </c>
      <c r="TE33" s="1589" t="s">
        <v>21</v>
      </c>
      <c r="TF33" s="1590"/>
      <c r="TG33" s="137">
        <f>SUM(TH5-TG32)</f>
        <v>0</v>
      </c>
      <c r="TO33" s="1589" t="s">
        <v>21</v>
      </c>
      <c r="TP33" s="1590"/>
      <c r="TQ33" s="137">
        <f>SUM(TR5-TQ32)</f>
        <v>0</v>
      </c>
      <c r="TY33" s="1589" t="s">
        <v>21</v>
      </c>
      <c r="TZ33" s="1590"/>
      <c r="UA33" s="137">
        <f>SUM(UB5-UA32)</f>
        <v>0</v>
      </c>
      <c r="UH33" s="1589" t="s">
        <v>21</v>
      </c>
      <c r="UI33" s="1590"/>
      <c r="UJ33" s="137">
        <f>SUM(UK5-UJ32)</f>
        <v>0</v>
      </c>
      <c r="UQ33" s="1589" t="s">
        <v>21</v>
      </c>
      <c r="UR33" s="1590"/>
      <c r="US33" s="137">
        <f>SUM(UT5-US32)</f>
        <v>0</v>
      </c>
      <c r="UZ33" s="1589" t="s">
        <v>21</v>
      </c>
      <c r="VA33" s="159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89" t="s">
        <v>21</v>
      </c>
      <c r="WB33" s="1590"/>
      <c r="WC33" s="137">
        <f>WD5-WC32</f>
        <v>-22</v>
      </c>
      <c r="WJ33" s="1589" t="s">
        <v>21</v>
      </c>
      <c r="WK33" s="1590"/>
      <c r="WL33" s="137">
        <f>WM5-WL32</f>
        <v>-22</v>
      </c>
      <c r="WS33" s="1589" t="s">
        <v>21</v>
      </c>
      <c r="WT33" s="1590"/>
      <c r="WU33" s="137">
        <f>WV5-WU32</f>
        <v>-22</v>
      </c>
      <c r="XB33" s="1589" t="s">
        <v>21</v>
      </c>
      <c r="XC33" s="1590"/>
      <c r="XD33" s="137">
        <f>XE5-XD32</f>
        <v>-22</v>
      </c>
      <c r="XK33" s="1589" t="s">
        <v>21</v>
      </c>
      <c r="XL33" s="1590"/>
      <c r="XM33" s="137">
        <f>XN5-XM32</f>
        <v>-22</v>
      </c>
      <c r="XT33" s="1589" t="s">
        <v>21</v>
      </c>
      <c r="XU33" s="1590"/>
      <c r="XV33" s="137">
        <f>XW5-XV32</f>
        <v>-22</v>
      </c>
      <c r="YC33" s="1589" t="s">
        <v>21</v>
      </c>
      <c r="YD33" s="1590"/>
      <c r="YE33" s="137">
        <f>YF5-YE32</f>
        <v>-22</v>
      </c>
      <c r="YL33" s="1589" t="s">
        <v>21</v>
      </c>
      <c r="YM33" s="1590"/>
      <c r="YN33" s="137">
        <f>YO5-YN32</f>
        <v>-22</v>
      </c>
      <c r="YU33" s="1589" t="s">
        <v>21</v>
      </c>
      <c r="YV33" s="1590"/>
      <c r="YW33" s="137">
        <f>YX5-YW32</f>
        <v>-22</v>
      </c>
      <c r="ZD33" s="1589" t="s">
        <v>21</v>
      </c>
      <c r="ZE33" s="1590"/>
      <c r="ZF33" s="137">
        <f>ZG5-ZF32</f>
        <v>-22</v>
      </c>
      <c r="ZM33" s="1589" t="s">
        <v>21</v>
      </c>
      <c r="ZN33" s="1590"/>
      <c r="ZO33" s="137">
        <f>ZP5-ZO32</f>
        <v>-22</v>
      </c>
      <c r="ZV33" s="1589" t="s">
        <v>21</v>
      </c>
      <c r="ZW33" s="1590"/>
      <c r="ZX33" s="137">
        <f>ZY5-ZX32</f>
        <v>-22</v>
      </c>
      <c r="AAE33" s="1589" t="s">
        <v>21</v>
      </c>
      <c r="AAF33" s="1590"/>
      <c r="AAG33" s="137">
        <f>AAH5-AAG32</f>
        <v>-22</v>
      </c>
      <c r="AAN33" s="1589" t="s">
        <v>21</v>
      </c>
      <c r="AAO33" s="1590"/>
      <c r="AAP33" s="137">
        <f>AAQ5-AAP32</f>
        <v>-22</v>
      </c>
      <c r="AAW33" s="1589" t="s">
        <v>21</v>
      </c>
      <c r="AAX33" s="1590"/>
      <c r="AAY33" s="137">
        <f>AAZ5-AAY32</f>
        <v>-22</v>
      </c>
      <c r="ABF33" s="1589" t="s">
        <v>21</v>
      </c>
      <c r="ABG33" s="1590"/>
      <c r="ABH33" s="137">
        <f>ABH32-ABF32</f>
        <v>22</v>
      </c>
      <c r="ABO33" s="1589" t="s">
        <v>21</v>
      </c>
      <c r="ABP33" s="1590"/>
      <c r="ABQ33" s="137">
        <f>ABR5-ABQ32</f>
        <v>-22</v>
      </c>
      <c r="ABX33" s="1589" t="s">
        <v>21</v>
      </c>
      <c r="ABY33" s="1590"/>
      <c r="ABZ33" s="137">
        <f>ACA5-ABZ32</f>
        <v>-22</v>
      </c>
      <c r="ACG33" s="1589" t="s">
        <v>21</v>
      </c>
      <c r="ACH33" s="1590"/>
      <c r="ACI33" s="137">
        <f>ACJ5-ACI32</f>
        <v>-22</v>
      </c>
      <c r="ACP33" s="1589" t="s">
        <v>21</v>
      </c>
      <c r="ACQ33" s="1590"/>
      <c r="ACR33" s="137">
        <f>ACS5-ACR32</f>
        <v>-22</v>
      </c>
      <c r="ACY33" s="1589" t="s">
        <v>21</v>
      </c>
      <c r="ACZ33" s="1590"/>
      <c r="ADA33" s="137">
        <f>ADB5-ADA32</f>
        <v>-22</v>
      </c>
      <c r="ADH33" s="1589" t="s">
        <v>21</v>
      </c>
      <c r="ADI33" s="1590"/>
      <c r="ADJ33" s="137">
        <f>ADK5-ADJ32</f>
        <v>-22</v>
      </c>
      <c r="ADQ33" s="1589" t="s">
        <v>21</v>
      </c>
      <c r="ADR33" s="1590"/>
      <c r="ADS33" s="137">
        <f>ADT5-ADS32</f>
        <v>-22</v>
      </c>
      <c r="ADZ33" s="1589" t="s">
        <v>21</v>
      </c>
      <c r="AEA33" s="1590"/>
      <c r="AEB33" s="137">
        <f>AEC5-AEB32</f>
        <v>-22</v>
      </c>
      <c r="AEI33" s="1589" t="s">
        <v>21</v>
      </c>
      <c r="AEJ33" s="1590"/>
      <c r="AEK33" s="137">
        <f>AEL5-AEK32</f>
        <v>-22</v>
      </c>
      <c r="AER33" s="1589" t="s">
        <v>21</v>
      </c>
      <c r="AES33" s="1590"/>
      <c r="AET33" s="137">
        <f>AEU5-AET32</f>
        <v>-22</v>
      </c>
      <c r="AFA33" s="1589" t="s">
        <v>21</v>
      </c>
      <c r="AFB33" s="1590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248" t="s">
        <v>4</v>
      </c>
      <c r="O34" s="249"/>
      <c r="P34" s="49"/>
      <c r="S34" s="358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8"/>
      <c r="MB34" s="358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87" t="s">
        <v>4</v>
      </c>
      <c r="SB34" s="1588"/>
      <c r="SC34" s="49"/>
      <c r="SK34" s="1587" t="s">
        <v>4</v>
      </c>
      <c r="SL34" s="1588"/>
      <c r="SM34" s="49"/>
      <c r="SU34" s="1587" t="s">
        <v>4</v>
      </c>
      <c r="SV34" s="1588"/>
      <c r="SW34" s="49"/>
      <c r="TE34" s="1587" t="s">
        <v>4</v>
      </c>
      <c r="TF34" s="1588"/>
      <c r="TG34" s="49"/>
      <c r="TO34" s="1587" t="s">
        <v>4</v>
      </c>
      <c r="TP34" s="1588"/>
      <c r="TQ34" s="49"/>
      <c r="TY34" s="1587" t="s">
        <v>4</v>
      </c>
      <c r="TZ34" s="1588"/>
      <c r="UA34" s="49"/>
      <c r="UH34" s="1587" t="s">
        <v>4</v>
      </c>
      <c r="UI34" s="1588"/>
      <c r="UJ34" s="49"/>
      <c r="UQ34" s="1587" t="s">
        <v>4</v>
      </c>
      <c r="UR34" s="1588"/>
      <c r="US34" s="49"/>
      <c r="UZ34" s="1587" t="s">
        <v>4</v>
      </c>
      <c r="VA34" s="158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87" t="s">
        <v>4</v>
      </c>
      <c r="WB34" s="1588"/>
      <c r="WC34" s="49"/>
      <c r="WJ34" s="1587" t="s">
        <v>4</v>
      </c>
      <c r="WK34" s="1588"/>
      <c r="WL34" s="49"/>
      <c r="WS34" s="1587" t="s">
        <v>4</v>
      </c>
      <c r="WT34" s="1588"/>
      <c r="WU34" s="49"/>
      <c r="XB34" s="1587" t="s">
        <v>4</v>
      </c>
      <c r="XC34" s="1588"/>
      <c r="XD34" s="49"/>
      <c r="XK34" s="1587" t="s">
        <v>4</v>
      </c>
      <c r="XL34" s="1588"/>
      <c r="XM34" s="49"/>
      <c r="XT34" s="1587" t="s">
        <v>4</v>
      </c>
      <c r="XU34" s="1588"/>
      <c r="XV34" s="49"/>
      <c r="YC34" s="1587" t="s">
        <v>4</v>
      </c>
      <c r="YD34" s="1588"/>
      <c r="YE34" s="49"/>
      <c r="YL34" s="1587" t="s">
        <v>4</v>
      </c>
      <c r="YM34" s="1588"/>
      <c r="YN34" s="49"/>
      <c r="YU34" s="1587" t="s">
        <v>4</v>
      </c>
      <c r="YV34" s="1588"/>
      <c r="YW34" s="49"/>
      <c r="ZD34" s="1587" t="s">
        <v>4</v>
      </c>
      <c r="ZE34" s="1588"/>
      <c r="ZF34" s="49"/>
      <c r="ZM34" s="1587" t="s">
        <v>4</v>
      </c>
      <c r="ZN34" s="1588"/>
      <c r="ZO34" s="49"/>
      <c r="ZV34" s="1587" t="s">
        <v>4</v>
      </c>
      <c r="ZW34" s="1588"/>
      <c r="ZX34" s="49"/>
      <c r="AAE34" s="1587" t="s">
        <v>4</v>
      </c>
      <c r="AAF34" s="1588"/>
      <c r="AAG34" s="49"/>
      <c r="AAN34" s="1587" t="s">
        <v>4</v>
      </c>
      <c r="AAO34" s="1588"/>
      <c r="AAP34" s="49"/>
      <c r="AAW34" s="1587" t="s">
        <v>4</v>
      </c>
      <c r="AAX34" s="1588"/>
      <c r="AAY34" s="49"/>
      <c r="ABF34" s="1587" t="s">
        <v>4</v>
      </c>
      <c r="ABG34" s="1588"/>
      <c r="ABH34" s="49"/>
      <c r="ABO34" s="1587" t="s">
        <v>4</v>
      </c>
      <c r="ABP34" s="1588"/>
      <c r="ABQ34" s="49"/>
      <c r="ABX34" s="1587" t="s">
        <v>4</v>
      </c>
      <c r="ABY34" s="1588"/>
      <c r="ABZ34" s="49"/>
      <c r="ACG34" s="1587" t="s">
        <v>4</v>
      </c>
      <c r="ACH34" s="1588"/>
      <c r="ACI34" s="49"/>
      <c r="ACP34" s="1587" t="s">
        <v>4</v>
      </c>
      <c r="ACQ34" s="1588"/>
      <c r="ACR34" s="49"/>
      <c r="ACY34" s="1587" t="s">
        <v>4</v>
      </c>
      <c r="ACZ34" s="1588"/>
      <c r="ADA34" s="49"/>
      <c r="ADH34" s="1587" t="s">
        <v>4</v>
      </c>
      <c r="ADI34" s="1588"/>
      <c r="ADJ34" s="49"/>
      <c r="ADQ34" s="1587" t="s">
        <v>4</v>
      </c>
      <c r="ADR34" s="1588"/>
      <c r="ADS34" s="49"/>
      <c r="ADZ34" s="1587" t="s">
        <v>4</v>
      </c>
      <c r="AEA34" s="1588"/>
      <c r="AEB34" s="49"/>
      <c r="AEI34" s="1587" t="s">
        <v>4</v>
      </c>
      <c r="AEJ34" s="1588"/>
      <c r="AEK34" s="49"/>
      <c r="AER34" s="1587" t="s">
        <v>4</v>
      </c>
      <c r="AES34" s="1588"/>
      <c r="AET34" s="49"/>
      <c r="AFA34" s="1587" t="s">
        <v>4</v>
      </c>
      <c r="AFB34" s="1588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58"/>
      <c r="AW35" s="74"/>
      <c r="AZ35" s="74"/>
      <c r="CP35" s="74" t="s">
        <v>41</v>
      </c>
      <c r="LV35" s="248" t="s">
        <v>4</v>
      </c>
      <c r="LW35" s="249"/>
      <c r="LX35" s="49"/>
      <c r="MA35" s="358"/>
      <c r="MB35" s="358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58"/>
      <c r="AW36" s="74"/>
      <c r="AZ36" s="74"/>
      <c r="MA36" s="358"/>
      <c r="MB36" s="35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8"/>
      <c r="AZ37" s="74"/>
      <c r="MA37" s="358"/>
      <c r="MB37" s="35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8"/>
      <c r="AZ38" s="74"/>
      <c r="MA38" s="358"/>
      <c r="MB38" s="35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8"/>
      <c r="AZ39" s="74"/>
      <c r="MA39" s="358"/>
      <c r="MB39" s="35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8"/>
      <c r="AZ40" s="74"/>
      <c r="MA40" s="358"/>
      <c r="MB40" s="35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8"/>
      <c r="AZ41" s="74"/>
      <c r="KI41" s="74">
        <v>0</v>
      </c>
      <c r="MA41" s="358"/>
      <c r="MB41" s="35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8"/>
      <c r="AZ42" s="74"/>
      <c r="MA42" s="358"/>
      <c r="MB42" s="35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8"/>
      <c r="AZ43" s="74"/>
      <c r="MA43" s="358"/>
      <c r="MB43" s="35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8"/>
      <c r="MB44" s="35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JQ9:JQ26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98"/>
      <c r="B6" s="1617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98"/>
      <c r="B7" s="1618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80">
        <f>E5+E6+E7-F9+E4</f>
        <v>0</v>
      </c>
      <c r="J9" s="415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7">
        <f>I9-F10</f>
        <v>0</v>
      </c>
      <c r="J10" s="416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7">
        <f t="shared" ref="I11:I39" si="5">I10-F11</f>
        <v>0</v>
      </c>
      <c r="J11" s="416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7">
        <f t="shared" si="5"/>
        <v>0</v>
      </c>
      <c r="J12" s="416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7">
        <f t="shared" si="5"/>
        <v>0</v>
      </c>
      <c r="J13" s="416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7">
        <f t="shared" si="5"/>
        <v>0</v>
      </c>
      <c r="J14" s="416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7">
        <f t="shared" si="5"/>
        <v>0</v>
      </c>
      <c r="J15" s="416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7">
        <f t="shared" si="5"/>
        <v>0</v>
      </c>
      <c r="J16" s="416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7">
        <f t="shared" si="5"/>
        <v>0</v>
      </c>
      <c r="J17" s="416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7">
        <f t="shared" si="5"/>
        <v>0</v>
      </c>
      <c r="J18" s="416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7">
        <f t="shared" si="5"/>
        <v>0</v>
      </c>
      <c r="J19" s="416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7">
        <f t="shared" si="5"/>
        <v>0</v>
      </c>
      <c r="J20" s="416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7">
        <f t="shared" si="5"/>
        <v>0</v>
      </c>
      <c r="J21" s="416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7">
        <f t="shared" si="5"/>
        <v>0</v>
      </c>
      <c r="J22" s="416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7">
        <f t="shared" si="5"/>
        <v>0</v>
      </c>
      <c r="J23" s="416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7">
        <f t="shared" si="5"/>
        <v>0</v>
      </c>
      <c r="J24" s="416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7">
        <f t="shared" si="5"/>
        <v>0</v>
      </c>
      <c r="J25" s="416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7">
        <f t="shared" si="5"/>
        <v>0</v>
      </c>
      <c r="J26" s="416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7">
        <f t="shared" si="5"/>
        <v>0</v>
      </c>
      <c r="J27" s="416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7">
        <f t="shared" si="5"/>
        <v>0</v>
      </c>
      <c r="J28" s="416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7">
        <f t="shared" si="5"/>
        <v>0</v>
      </c>
      <c r="J29" s="416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7">
        <f t="shared" si="5"/>
        <v>0</v>
      </c>
      <c r="J30" s="416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7">
        <f t="shared" si="5"/>
        <v>0</v>
      </c>
      <c r="J31" s="416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7">
        <f t="shared" si="5"/>
        <v>0</v>
      </c>
      <c r="J32" s="416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7">
        <f t="shared" si="5"/>
        <v>0</v>
      </c>
      <c r="J33" s="416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7">
        <f t="shared" si="5"/>
        <v>0</v>
      </c>
      <c r="J34" s="416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7">
        <f t="shared" si="5"/>
        <v>0</v>
      </c>
      <c r="J35" s="416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7">
        <f t="shared" si="5"/>
        <v>0</v>
      </c>
      <c r="J36" s="416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7">
        <f t="shared" si="5"/>
        <v>0</v>
      </c>
      <c r="J37" s="416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7">
        <f t="shared" si="5"/>
        <v>0</v>
      </c>
      <c r="J38" s="41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7">
        <f t="shared" si="5"/>
        <v>0</v>
      </c>
      <c r="J39" s="416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3"/>
      <c r="J40" s="414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89" t="s">
        <v>21</v>
      </c>
      <c r="E43" s="1590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98"/>
      <c r="B5" s="1619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98"/>
      <c r="B6" s="162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8">
        <f>E5+E6-F8+E4</f>
        <v>0</v>
      </c>
      <c r="J8" s="409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3">I9-F10</f>
        <v>0</v>
      </c>
      <c r="J10" s="409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3"/>
        <v>0</v>
      </c>
      <c r="J11" s="409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3"/>
        <v>0</v>
      </c>
      <c r="J12" s="409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75">
        <f t="shared" si="3"/>
        <v>0</v>
      </c>
      <c r="J13" s="409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75">
        <f t="shared" si="3"/>
        <v>0</v>
      </c>
      <c r="J14" s="409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75">
        <f t="shared" si="3"/>
        <v>0</v>
      </c>
      <c r="J15" s="409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75">
        <f t="shared" si="3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75">
        <f t="shared" si="3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75">
        <f t="shared" si="3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75">
        <f t="shared" si="3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75">
        <f t="shared" si="3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75">
        <f t="shared" si="3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75">
        <f t="shared" si="3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75">
        <f t="shared" si="3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75">
        <f t="shared" si="3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75">
        <f t="shared" si="3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75">
        <f t="shared" si="3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75">
        <f t="shared" si="3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9" t="s">
        <v>21</v>
      </c>
      <c r="E31" s="159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4" sqref="B13: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3" t="s">
        <v>370</v>
      </c>
      <c r="B1" s="1593"/>
      <c r="C1" s="1593"/>
      <c r="D1" s="1593"/>
      <c r="E1" s="1593"/>
      <c r="F1" s="1593"/>
      <c r="G1" s="1593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21" t="s">
        <v>73</v>
      </c>
      <c r="C4" s="124"/>
      <c r="D4" s="130"/>
      <c r="E4" s="172"/>
      <c r="F4" s="133"/>
      <c r="G4" s="38"/>
    </row>
    <row r="5" spans="1:15" ht="15.75" x14ac:dyDescent="0.25">
      <c r="A5" s="1598" t="s">
        <v>79</v>
      </c>
      <c r="B5" s="1619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18.75</v>
      </c>
      <c r="H5" s="7">
        <f>E5-G5+E4+E6</f>
        <v>0</v>
      </c>
    </row>
    <row r="6" spans="1:15" ht="15.75" thickBot="1" x14ac:dyDescent="0.3">
      <c r="A6" s="159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>
        <v>1</v>
      </c>
      <c r="D8" s="68">
        <v>18.75</v>
      </c>
      <c r="E8" s="130">
        <v>45183</v>
      </c>
      <c r="F8" s="102">
        <f t="shared" ref="F8:F28" si="0">D8</f>
        <v>18.75</v>
      </c>
      <c r="G8" s="69" t="s">
        <v>650</v>
      </c>
      <c r="H8" s="70">
        <v>110</v>
      </c>
      <c r="I8" s="408">
        <f>E5+E6-F8+E4</f>
        <v>0</v>
      </c>
      <c r="J8" s="409">
        <f>H8*F8</f>
        <v>2062.5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1270"/>
      <c r="H10" s="1261"/>
      <c r="I10" s="1292">
        <f t="shared" ref="I10:I27" si="2">I9-F10</f>
        <v>0</v>
      </c>
      <c r="J10" s="1293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1270"/>
      <c r="H11" s="1261"/>
      <c r="I11" s="1292">
        <f t="shared" si="2"/>
        <v>0</v>
      </c>
      <c r="J11" s="1293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1270"/>
      <c r="H12" s="1261"/>
      <c r="I12" s="1292">
        <f t="shared" si="2"/>
        <v>0</v>
      </c>
      <c r="J12" s="1293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1270"/>
      <c r="H13" s="1261"/>
      <c r="I13" s="1294">
        <f t="shared" si="2"/>
        <v>0</v>
      </c>
      <c r="J13" s="1293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0">
        <f t="shared" si="2"/>
        <v>0</v>
      </c>
      <c r="J14" s="40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0">
        <f t="shared" si="2"/>
        <v>0</v>
      </c>
      <c r="J15" s="40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0">
        <f t="shared" si="2"/>
        <v>0</v>
      </c>
      <c r="J16" s="409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0">
        <f t="shared" si="2"/>
        <v>0</v>
      </c>
      <c r="J17" s="409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0">
        <f t="shared" si="2"/>
        <v>0</v>
      </c>
      <c r="J18" s="409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0">
        <f t="shared" si="2"/>
        <v>0</v>
      </c>
      <c r="J19" s="409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0">
        <f t="shared" si="2"/>
        <v>0</v>
      </c>
      <c r="J20" s="409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0">
        <f t="shared" si="2"/>
        <v>0</v>
      </c>
      <c r="J21" s="409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0">
        <f t="shared" si="2"/>
        <v>0</v>
      </c>
      <c r="J22" s="409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0">
        <f t="shared" si="2"/>
        <v>0</v>
      </c>
      <c r="J23" s="409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0">
        <f t="shared" si="2"/>
        <v>0</v>
      </c>
      <c r="J24" s="409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0">
        <f t="shared" si="2"/>
        <v>0</v>
      </c>
      <c r="J25" s="409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0">
        <f t="shared" si="2"/>
        <v>0</v>
      </c>
      <c r="J26" s="409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8">
        <f t="shared" si="2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</v>
      </c>
      <c r="D29" s="102">
        <f>SUM(D8:D28)</f>
        <v>18.75</v>
      </c>
      <c r="E29" s="130"/>
      <c r="F29" s="102">
        <f>SUM(F8:F28)</f>
        <v>18.75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9" t="s">
        <v>21</v>
      </c>
      <c r="E31" s="159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8"/>
    <col min="10" max="10" width="17.5703125" customWidth="1"/>
  </cols>
  <sheetData>
    <row r="1" spans="1:11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11" ht="16.5" thickBot="1" x14ac:dyDescent="0.3">
      <c r="K2" s="398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4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5">
        <f>E5+E6-F8+E4</f>
        <v>0</v>
      </c>
      <c r="J8" s="409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09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5">
        <f t="shared" ref="I10:I27" si="4">I9-F10</f>
        <v>0</v>
      </c>
      <c r="J10" s="409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5">
        <f t="shared" si="4"/>
        <v>0</v>
      </c>
      <c r="J11" s="409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5">
        <f t="shared" si="4"/>
        <v>0</v>
      </c>
      <c r="J12" s="409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5">
        <f t="shared" si="4"/>
        <v>0</v>
      </c>
      <c r="J13" s="409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5">
        <f t="shared" si="4"/>
        <v>0</v>
      </c>
      <c r="J14" s="409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5">
        <f t="shared" si="4"/>
        <v>0</v>
      </c>
      <c r="J15" s="409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5">
        <f t="shared" si="4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5">
        <f t="shared" si="4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5">
        <f t="shared" si="4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5">
        <f t="shared" si="4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5">
        <f t="shared" si="4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5">
        <f t="shared" si="4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5">
        <f t="shared" si="4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5">
        <f t="shared" si="4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5">
        <f t="shared" si="4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5">
        <f t="shared" si="4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5">
        <f t="shared" si="4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5">
        <f t="shared" si="4"/>
        <v>0</v>
      </c>
      <c r="J27" s="409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6"/>
      <c r="J28" s="412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89" t="s">
        <v>21</v>
      </c>
      <c r="E31" s="159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98" t="s">
        <v>102</v>
      </c>
      <c r="B5" s="1617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98"/>
      <c r="B6" s="1618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80">
        <f>E4+E5+E6-F8</f>
        <v>0</v>
      </c>
      <c r="J8" s="415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7">
        <f>I8-F9</f>
        <v>0</v>
      </c>
      <c r="J9" s="416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7">
        <f t="shared" ref="I10:I38" si="3">I9-F10</f>
        <v>0</v>
      </c>
      <c r="J10" s="416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7">
        <f t="shared" si="3"/>
        <v>0</v>
      </c>
      <c r="J11" s="416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7">
        <f t="shared" si="3"/>
        <v>0</v>
      </c>
      <c r="J12" s="416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7">
        <f t="shared" si="3"/>
        <v>0</v>
      </c>
      <c r="J13" s="416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7">
        <f t="shared" si="3"/>
        <v>0</v>
      </c>
      <c r="J14" s="416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7">
        <f t="shared" si="3"/>
        <v>0</v>
      </c>
      <c r="J15" s="416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7">
        <f t="shared" si="3"/>
        <v>0</v>
      </c>
      <c r="J16" s="416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7">
        <f t="shared" si="3"/>
        <v>0</v>
      </c>
      <c r="J17" s="416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7">
        <f t="shared" si="3"/>
        <v>0</v>
      </c>
      <c r="J18" s="416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7">
        <f t="shared" si="3"/>
        <v>0</v>
      </c>
      <c r="J19" s="416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7">
        <f t="shared" si="3"/>
        <v>0</v>
      </c>
      <c r="J20" s="416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7">
        <f t="shared" si="3"/>
        <v>0</v>
      </c>
      <c r="J21" s="416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7">
        <f t="shared" si="3"/>
        <v>0</v>
      </c>
      <c r="J22" s="416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7">
        <f t="shared" si="3"/>
        <v>0</v>
      </c>
      <c r="J23" s="416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7">
        <f t="shared" si="3"/>
        <v>0</v>
      </c>
      <c r="J24" s="416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7">
        <f t="shared" si="3"/>
        <v>0</v>
      </c>
      <c r="J25" s="416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7">
        <f t="shared" si="3"/>
        <v>0</v>
      </c>
      <c r="J26" s="416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7">
        <f t="shared" si="3"/>
        <v>0</v>
      </c>
      <c r="J27" s="416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7">
        <f t="shared" si="3"/>
        <v>0</v>
      </c>
      <c r="J28" s="416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7">
        <f t="shared" si="3"/>
        <v>0</v>
      </c>
      <c r="J29" s="416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7">
        <f t="shared" si="3"/>
        <v>0</v>
      </c>
      <c r="J30" s="416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7">
        <f t="shared" si="3"/>
        <v>0</v>
      </c>
      <c r="J31" s="416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7">
        <f t="shared" si="3"/>
        <v>0</v>
      </c>
      <c r="J32" s="416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7">
        <f t="shared" si="3"/>
        <v>0</v>
      </c>
      <c r="J33" s="416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7">
        <f t="shared" si="3"/>
        <v>0</v>
      </c>
      <c r="J34" s="416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7">
        <f t="shared" si="3"/>
        <v>0</v>
      </c>
      <c r="J35" s="416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7">
        <f t="shared" si="3"/>
        <v>0</v>
      </c>
      <c r="J36" s="416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7">
        <f t="shared" si="3"/>
        <v>0</v>
      </c>
      <c r="J37" s="416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7">
        <f t="shared" si="3"/>
        <v>0</v>
      </c>
      <c r="J38" s="416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3"/>
      <c r="J39" s="414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89" t="s">
        <v>21</v>
      </c>
      <c r="E42" s="1590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9" activePane="bottomLeft" state="frozen"/>
      <selection pane="bottomLeft" activeCell="C75" sqref="C7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2" t="s">
        <v>309</v>
      </c>
      <c r="B1" s="1622"/>
      <c r="C1" s="1622"/>
      <c r="D1" s="1622"/>
      <c r="E1" s="1622"/>
      <c r="F1" s="1622"/>
      <c r="G1" s="1622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664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97" t="s">
        <v>94</v>
      </c>
      <c r="B5" s="1623" t="s">
        <v>115</v>
      </c>
      <c r="C5" s="357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1"/>
    </row>
    <row r="6" spans="1:10" x14ac:dyDescent="0.25">
      <c r="A6" s="1597"/>
      <c r="B6" s="1623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112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113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119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79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121</v>
      </c>
      <c r="H13" s="70">
        <v>48</v>
      </c>
      <c r="I13" s="734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754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62">
        <f t="shared" si="3"/>
        <v>80</v>
      </c>
      <c r="E15" s="797">
        <v>45059</v>
      </c>
      <c r="F15" s="617">
        <f t="shared" si="0"/>
        <v>80</v>
      </c>
      <c r="G15" s="517" t="s">
        <v>122</v>
      </c>
      <c r="H15" s="35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62">
        <f t="shared" si="3"/>
        <v>100</v>
      </c>
      <c r="E16" s="797">
        <v>45059</v>
      </c>
      <c r="F16" s="617">
        <f t="shared" si="0"/>
        <v>100</v>
      </c>
      <c r="G16" s="517" t="s">
        <v>123</v>
      </c>
      <c r="H16" s="35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62">
        <f t="shared" si="3"/>
        <v>80</v>
      </c>
      <c r="E17" s="797">
        <v>45066</v>
      </c>
      <c r="F17" s="617">
        <f t="shared" si="0"/>
        <v>80</v>
      </c>
      <c r="G17" s="517" t="s">
        <v>125</v>
      </c>
      <c r="H17" s="35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62">
        <f t="shared" si="3"/>
        <v>100</v>
      </c>
      <c r="E18" s="797">
        <v>45068</v>
      </c>
      <c r="F18" s="617">
        <f t="shared" si="0"/>
        <v>100</v>
      </c>
      <c r="G18" s="517" t="s">
        <v>126</v>
      </c>
      <c r="H18" s="35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79">
        <f t="shared" si="2"/>
        <v>404</v>
      </c>
      <c r="C19" s="15">
        <v>8</v>
      </c>
      <c r="D19" s="662">
        <f t="shared" si="3"/>
        <v>80</v>
      </c>
      <c r="E19" s="797">
        <v>45082</v>
      </c>
      <c r="F19" s="617">
        <f t="shared" si="0"/>
        <v>80</v>
      </c>
      <c r="G19" s="517" t="s">
        <v>129</v>
      </c>
      <c r="H19" s="353">
        <v>48</v>
      </c>
      <c r="I19" s="734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62">
        <f t="shared" si="3"/>
        <v>0</v>
      </c>
      <c r="E20" s="797"/>
      <c r="F20" s="617">
        <f t="shared" si="0"/>
        <v>0</v>
      </c>
      <c r="G20" s="517"/>
      <c r="H20" s="35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6">
        <f t="shared" si="3"/>
        <v>50</v>
      </c>
      <c r="E21" s="754">
        <v>45084</v>
      </c>
      <c r="F21" s="619">
        <f t="shared" si="0"/>
        <v>50</v>
      </c>
      <c r="G21" s="314" t="s">
        <v>132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6">
        <f t="shared" si="3"/>
        <v>50</v>
      </c>
      <c r="E22" s="754">
        <v>45087</v>
      </c>
      <c r="F22" s="619">
        <f t="shared" si="0"/>
        <v>50</v>
      </c>
      <c r="G22" s="314" t="s">
        <v>133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6">
        <f t="shared" si="3"/>
        <v>20</v>
      </c>
      <c r="E23" s="754">
        <v>45087</v>
      </c>
      <c r="F23" s="619">
        <f t="shared" si="0"/>
        <v>20</v>
      </c>
      <c r="G23" s="314" t="s">
        <v>135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6">
        <f t="shared" si="3"/>
        <v>60</v>
      </c>
      <c r="E24" s="754">
        <v>45089</v>
      </c>
      <c r="F24" s="619">
        <f t="shared" si="0"/>
        <v>60</v>
      </c>
      <c r="G24" s="314" t="s">
        <v>134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6">
        <f t="shared" si="3"/>
        <v>40</v>
      </c>
      <c r="E25" s="754">
        <v>45094</v>
      </c>
      <c r="F25" s="619">
        <f t="shared" si="0"/>
        <v>40</v>
      </c>
      <c r="G25" s="314" t="s">
        <v>136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6">
        <f t="shared" si="3"/>
        <v>300</v>
      </c>
      <c r="E26" s="754">
        <v>45098</v>
      </c>
      <c r="F26" s="619">
        <f t="shared" si="0"/>
        <v>300</v>
      </c>
      <c r="G26" s="314" t="s">
        <v>137</v>
      </c>
      <c r="H26" s="83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6">
        <f t="shared" si="3"/>
        <v>40</v>
      </c>
      <c r="E27" s="754">
        <v>45099</v>
      </c>
      <c r="F27" s="619">
        <f t="shared" si="0"/>
        <v>40</v>
      </c>
      <c r="G27" s="314" t="s">
        <v>139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6">
        <f t="shared" si="3"/>
        <v>10</v>
      </c>
      <c r="E28" s="754">
        <v>45100</v>
      </c>
      <c r="F28" s="619">
        <f t="shared" si="0"/>
        <v>10</v>
      </c>
      <c r="G28" s="314" t="s">
        <v>140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6">
        <f t="shared" si="3"/>
        <v>600</v>
      </c>
      <c r="E29" s="754">
        <v>45104</v>
      </c>
      <c r="F29" s="619">
        <f t="shared" si="0"/>
        <v>600</v>
      </c>
      <c r="G29" s="314" t="s">
        <v>142</v>
      </c>
      <c r="H29" s="83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6">
        <f t="shared" si="3"/>
        <v>40</v>
      </c>
      <c r="E30" s="754">
        <v>45105</v>
      </c>
      <c r="F30" s="619">
        <f t="shared" si="0"/>
        <v>40</v>
      </c>
      <c r="G30" s="314" t="s">
        <v>143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79">
        <f t="shared" si="2"/>
        <v>278</v>
      </c>
      <c r="C31" s="15">
        <v>5</v>
      </c>
      <c r="D31" s="476">
        <f t="shared" si="3"/>
        <v>50</v>
      </c>
      <c r="E31" s="754">
        <v>45108</v>
      </c>
      <c r="F31" s="619">
        <f t="shared" si="0"/>
        <v>50</v>
      </c>
      <c r="G31" s="314" t="s">
        <v>144</v>
      </c>
      <c r="H31" s="315">
        <v>48</v>
      </c>
      <c r="I31" s="734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6">
        <f t="shared" si="3"/>
        <v>0</v>
      </c>
      <c r="E32" s="754"/>
      <c r="F32" s="619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846">
        <f t="shared" si="3"/>
        <v>50</v>
      </c>
      <c r="E33" s="847">
        <v>45110</v>
      </c>
      <c r="F33" s="848">
        <f t="shared" si="0"/>
        <v>50</v>
      </c>
      <c r="G33" s="849" t="s">
        <v>149</v>
      </c>
      <c r="H33" s="85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846">
        <f t="shared" si="3"/>
        <v>30</v>
      </c>
      <c r="E34" s="847">
        <v>45113</v>
      </c>
      <c r="F34" s="848">
        <f t="shared" si="0"/>
        <v>30</v>
      </c>
      <c r="G34" s="849" t="s">
        <v>150</v>
      </c>
      <c r="H34" s="85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846">
        <f t="shared" si="3"/>
        <v>80</v>
      </c>
      <c r="E35" s="847">
        <v>45117</v>
      </c>
      <c r="F35" s="848">
        <f t="shared" si="0"/>
        <v>80</v>
      </c>
      <c r="G35" s="849" t="s">
        <v>153</v>
      </c>
      <c r="H35" s="85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846">
        <f t="shared" si="3"/>
        <v>50</v>
      </c>
      <c r="E36" s="847">
        <v>45118</v>
      </c>
      <c r="F36" s="848">
        <f t="shared" si="0"/>
        <v>50</v>
      </c>
      <c r="G36" s="849" t="s">
        <v>154</v>
      </c>
      <c r="H36" s="85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846">
        <f t="shared" si="3"/>
        <v>10</v>
      </c>
      <c r="E37" s="847">
        <v>45119</v>
      </c>
      <c r="F37" s="848">
        <f t="shared" si="0"/>
        <v>10</v>
      </c>
      <c r="G37" s="849" t="s">
        <v>156</v>
      </c>
      <c r="H37" s="85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846">
        <f t="shared" si="3"/>
        <v>20</v>
      </c>
      <c r="E38" s="851">
        <v>45121</v>
      </c>
      <c r="F38" s="848">
        <f t="shared" si="0"/>
        <v>20</v>
      </c>
      <c r="G38" s="849" t="s">
        <v>157</v>
      </c>
      <c r="H38" s="85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846">
        <f t="shared" si="3"/>
        <v>100</v>
      </c>
      <c r="E39" s="851">
        <v>45122</v>
      </c>
      <c r="F39" s="848">
        <f t="shared" si="0"/>
        <v>100</v>
      </c>
      <c r="G39" s="849" t="s">
        <v>159</v>
      </c>
      <c r="H39" s="85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846">
        <f t="shared" si="3"/>
        <v>50</v>
      </c>
      <c r="E40" s="851">
        <v>45122</v>
      </c>
      <c r="F40" s="848">
        <f t="shared" si="0"/>
        <v>50</v>
      </c>
      <c r="G40" s="849" t="s">
        <v>160</v>
      </c>
      <c r="H40" s="85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846">
        <f t="shared" si="3"/>
        <v>80</v>
      </c>
      <c r="E41" s="851">
        <v>45125</v>
      </c>
      <c r="F41" s="848">
        <f t="shared" si="0"/>
        <v>80</v>
      </c>
      <c r="G41" s="849" t="s">
        <v>161</v>
      </c>
      <c r="H41" s="85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846">
        <f t="shared" si="3"/>
        <v>500</v>
      </c>
      <c r="E42" s="851">
        <v>45125</v>
      </c>
      <c r="F42" s="848">
        <f t="shared" si="0"/>
        <v>500</v>
      </c>
      <c r="G42" s="849" t="s">
        <v>162</v>
      </c>
      <c r="H42" s="85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846">
        <f t="shared" si="3"/>
        <v>60</v>
      </c>
      <c r="E43" s="851">
        <v>45128</v>
      </c>
      <c r="F43" s="848">
        <f t="shared" si="0"/>
        <v>60</v>
      </c>
      <c r="G43" s="849" t="s">
        <v>163</v>
      </c>
      <c r="H43" s="850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846">
        <f t="shared" si="3"/>
        <v>30</v>
      </c>
      <c r="E44" s="851">
        <v>45129</v>
      </c>
      <c r="F44" s="848">
        <f t="shared" si="0"/>
        <v>30</v>
      </c>
      <c r="G44" s="849" t="s">
        <v>164</v>
      </c>
      <c r="H44" s="85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846">
        <f t="shared" si="3"/>
        <v>60</v>
      </c>
      <c r="E45" s="851">
        <v>45129</v>
      </c>
      <c r="F45" s="848">
        <f t="shared" si="0"/>
        <v>60</v>
      </c>
      <c r="G45" s="849" t="s">
        <v>165</v>
      </c>
      <c r="H45" s="85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846">
        <f t="shared" si="3"/>
        <v>10</v>
      </c>
      <c r="E46" s="851">
        <v>45129</v>
      </c>
      <c r="F46" s="848">
        <f t="shared" si="0"/>
        <v>10</v>
      </c>
      <c r="G46" s="849" t="s">
        <v>166</v>
      </c>
      <c r="H46" s="85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846">
        <f t="shared" si="3"/>
        <v>60</v>
      </c>
      <c r="E47" s="851">
        <v>45131</v>
      </c>
      <c r="F47" s="848">
        <f t="shared" si="0"/>
        <v>60</v>
      </c>
      <c r="G47" s="849" t="s">
        <v>167</v>
      </c>
      <c r="H47" s="85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846">
        <f t="shared" si="3"/>
        <v>80</v>
      </c>
      <c r="E48" s="851">
        <v>45134</v>
      </c>
      <c r="F48" s="848">
        <f t="shared" si="0"/>
        <v>80</v>
      </c>
      <c r="G48" s="849" t="s">
        <v>171</v>
      </c>
      <c r="H48" s="85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846">
        <f t="shared" si="3"/>
        <v>40</v>
      </c>
      <c r="E49" s="851">
        <v>45136</v>
      </c>
      <c r="F49" s="848">
        <f t="shared" si="0"/>
        <v>40</v>
      </c>
      <c r="G49" s="849" t="s">
        <v>176</v>
      </c>
      <c r="H49" s="85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846">
        <f t="shared" si="3"/>
        <v>10</v>
      </c>
      <c r="E50" s="851">
        <v>45136</v>
      </c>
      <c r="F50" s="848">
        <f t="shared" si="0"/>
        <v>10</v>
      </c>
      <c r="G50" s="849" t="s">
        <v>177</v>
      </c>
      <c r="H50" s="85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79">
        <f t="shared" si="2"/>
        <v>146</v>
      </c>
      <c r="C51" s="15"/>
      <c r="D51" s="846">
        <f t="shared" si="3"/>
        <v>0</v>
      </c>
      <c r="E51" s="851"/>
      <c r="F51" s="848">
        <f t="shared" si="0"/>
        <v>0</v>
      </c>
      <c r="G51" s="849"/>
      <c r="H51" s="850"/>
      <c r="I51" s="734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922">
        <f t="shared" si="3"/>
        <v>10</v>
      </c>
      <c r="E52" s="923">
        <v>45138</v>
      </c>
      <c r="F52" s="924">
        <f t="shared" si="0"/>
        <v>10</v>
      </c>
      <c r="G52" s="925" t="s">
        <v>196</v>
      </c>
      <c r="H52" s="852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922">
        <f t="shared" si="3"/>
        <v>100</v>
      </c>
      <c r="E53" s="923">
        <v>45139</v>
      </c>
      <c r="F53" s="924">
        <f t="shared" si="0"/>
        <v>100</v>
      </c>
      <c r="G53" s="925" t="s">
        <v>197</v>
      </c>
      <c r="H53" s="852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922">
        <f t="shared" si="3"/>
        <v>100</v>
      </c>
      <c r="E54" s="923">
        <v>45141</v>
      </c>
      <c r="F54" s="924">
        <f t="shared" si="0"/>
        <v>100</v>
      </c>
      <c r="G54" s="925" t="s">
        <v>200</v>
      </c>
      <c r="H54" s="852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922">
        <f t="shared" si="3"/>
        <v>60</v>
      </c>
      <c r="E55" s="923">
        <v>45142</v>
      </c>
      <c r="F55" s="924">
        <f t="shared" si="0"/>
        <v>60</v>
      </c>
      <c r="G55" s="925" t="s">
        <v>206</v>
      </c>
      <c r="H55" s="852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922">
        <f t="shared" si="3"/>
        <v>60</v>
      </c>
      <c r="E56" s="923">
        <v>45143</v>
      </c>
      <c r="F56" s="924">
        <f t="shared" si="0"/>
        <v>60</v>
      </c>
      <c r="G56" s="925" t="s">
        <v>207</v>
      </c>
      <c r="H56" s="852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922">
        <f t="shared" si="3"/>
        <v>60</v>
      </c>
      <c r="E57" s="923">
        <v>45145</v>
      </c>
      <c r="F57" s="924">
        <f t="shared" si="0"/>
        <v>60</v>
      </c>
      <c r="G57" s="925" t="s">
        <v>204</v>
      </c>
      <c r="H57" s="852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922">
        <f t="shared" si="3"/>
        <v>80</v>
      </c>
      <c r="E58" s="923">
        <v>45146</v>
      </c>
      <c r="F58" s="924">
        <f t="shared" si="0"/>
        <v>80</v>
      </c>
      <c r="G58" s="925" t="s">
        <v>213</v>
      </c>
      <c r="H58" s="852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922">
        <f t="shared" si="3"/>
        <v>100</v>
      </c>
      <c r="E59" s="923">
        <v>45151</v>
      </c>
      <c r="F59" s="924">
        <f t="shared" si="0"/>
        <v>100</v>
      </c>
      <c r="G59" s="925" t="s">
        <v>223</v>
      </c>
      <c r="H59" s="852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922">
        <f t="shared" si="3"/>
        <v>80</v>
      </c>
      <c r="E60" s="923">
        <v>45152</v>
      </c>
      <c r="F60" s="924">
        <f t="shared" si="0"/>
        <v>80</v>
      </c>
      <c r="G60" s="925" t="s">
        <v>227</v>
      </c>
      <c r="H60" s="852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922">
        <f t="shared" si="3"/>
        <v>50</v>
      </c>
      <c r="E61" s="923">
        <v>45155</v>
      </c>
      <c r="F61" s="924">
        <f t="shared" si="0"/>
        <v>50</v>
      </c>
      <c r="G61" s="925" t="s">
        <v>240</v>
      </c>
      <c r="H61" s="852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922">
        <f t="shared" si="3"/>
        <v>60</v>
      </c>
      <c r="E62" s="923">
        <v>45156</v>
      </c>
      <c r="F62" s="924">
        <f t="shared" si="0"/>
        <v>60</v>
      </c>
      <c r="G62" s="925" t="s">
        <v>242</v>
      </c>
      <c r="H62" s="852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922">
        <f t="shared" si="3"/>
        <v>80</v>
      </c>
      <c r="E63" s="923">
        <v>45157</v>
      </c>
      <c r="F63" s="924">
        <f t="shared" si="0"/>
        <v>80</v>
      </c>
      <c r="G63" s="925" t="s">
        <v>244</v>
      </c>
      <c r="H63" s="852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922">
        <f t="shared" si="3"/>
        <v>50</v>
      </c>
      <c r="E64" s="923">
        <v>45160</v>
      </c>
      <c r="F64" s="924">
        <f t="shared" si="0"/>
        <v>50</v>
      </c>
      <c r="G64" s="925" t="s">
        <v>255</v>
      </c>
      <c r="H64" s="852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922">
        <f t="shared" si="3"/>
        <v>60</v>
      </c>
      <c r="E65" s="923">
        <v>45163</v>
      </c>
      <c r="F65" s="924">
        <f t="shared" si="0"/>
        <v>60</v>
      </c>
      <c r="G65" s="925" t="s">
        <v>259</v>
      </c>
      <c r="H65" s="852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922">
        <f t="shared" si="3"/>
        <v>80</v>
      </c>
      <c r="E66" s="923">
        <v>45166</v>
      </c>
      <c r="F66" s="924">
        <f t="shared" si="0"/>
        <v>80</v>
      </c>
      <c r="G66" s="925" t="s">
        <v>268</v>
      </c>
      <c r="H66" s="852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922">
        <f t="shared" si="3"/>
        <v>40</v>
      </c>
      <c r="E67" s="923">
        <v>45171</v>
      </c>
      <c r="F67" s="924">
        <f t="shared" si="0"/>
        <v>40</v>
      </c>
      <c r="G67" s="925" t="s">
        <v>303</v>
      </c>
      <c r="H67" s="852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79">
        <f t="shared" si="2"/>
        <v>39</v>
      </c>
      <c r="C68" s="15"/>
      <c r="D68" s="922">
        <f t="shared" si="3"/>
        <v>0</v>
      </c>
      <c r="E68" s="923"/>
      <c r="F68" s="924">
        <f t="shared" si="0"/>
        <v>0</v>
      </c>
      <c r="G68" s="925"/>
      <c r="H68" s="852"/>
      <c r="I68" s="734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1021">
        <f t="shared" si="3"/>
        <v>60</v>
      </c>
      <c r="E69" s="1022">
        <v>45173</v>
      </c>
      <c r="F69" s="1023">
        <f t="shared" si="0"/>
        <v>60</v>
      </c>
      <c r="G69" s="1024" t="s">
        <v>522</v>
      </c>
      <c r="H69" s="1025">
        <v>48</v>
      </c>
      <c r="I69" s="910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1021">
        <f t="shared" si="3"/>
        <v>50</v>
      </c>
      <c r="E70" s="1022">
        <v>45174</v>
      </c>
      <c r="F70" s="1023">
        <f t="shared" si="0"/>
        <v>50</v>
      </c>
      <c r="G70" s="1024" t="s">
        <v>519</v>
      </c>
      <c r="H70" s="1025">
        <v>48</v>
      </c>
      <c r="I70" s="910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1021">
        <f t="shared" si="3"/>
        <v>100</v>
      </c>
      <c r="E71" s="1022">
        <v>45178</v>
      </c>
      <c r="F71" s="1023">
        <f t="shared" si="0"/>
        <v>100</v>
      </c>
      <c r="G71" s="1024" t="s">
        <v>583</v>
      </c>
      <c r="H71" s="1025">
        <v>48</v>
      </c>
      <c r="I71" s="910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1021">
        <f t="shared" si="3"/>
        <v>50</v>
      </c>
      <c r="E72" s="1022">
        <v>45180</v>
      </c>
      <c r="F72" s="1023">
        <f t="shared" si="0"/>
        <v>50</v>
      </c>
      <c r="G72" s="1024" t="s">
        <v>601</v>
      </c>
      <c r="H72" s="1025">
        <v>48</v>
      </c>
      <c r="I72" s="910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1021">
        <f t="shared" si="3"/>
        <v>100</v>
      </c>
      <c r="E73" s="1022">
        <v>45182</v>
      </c>
      <c r="F73" s="1023">
        <f t="shared" si="0"/>
        <v>100</v>
      </c>
      <c r="G73" s="1024" t="s">
        <v>631</v>
      </c>
      <c r="H73" s="1025">
        <v>48</v>
      </c>
      <c r="I73" s="910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1021">
        <f t="shared" si="3"/>
        <v>20</v>
      </c>
      <c r="E74" s="1022">
        <v>45187</v>
      </c>
      <c r="F74" s="1023">
        <f t="shared" si="0"/>
        <v>20</v>
      </c>
      <c r="G74" s="1024" t="s">
        <v>657</v>
      </c>
      <c r="H74" s="1025">
        <v>48</v>
      </c>
      <c r="I74" s="910">
        <f t="shared" si="5"/>
        <v>10</v>
      </c>
      <c r="J74" s="59">
        <f t="shared" ref="J74:J85" si="7">H74*F74</f>
        <v>960</v>
      </c>
    </row>
    <row r="75" spans="1:10" ht="15.75" x14ac:dyDescent="0.25">
      <c r="B75" s="174">
        <f t="shared" ref="B75:B86" si="8">B74-C75</f>
        <v>1</v>
      </c>
      <c r="C75" s="15"/>
      <c r="D75" s="1021">
        <f t="shared" si="3"/>
        <v>0</v>
      </c>
      <c r="E75" s="1022"/>
      <c r="F75" s="1023">
        <f t="shared" si="0"/>
        <v>0</v>
      </c>
      <c r="G75" s="1024"/>
      <c r="H75" s="1025"/>
      <c r="I75" s="910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1021">
        <f t="shared" si="3"/>
        <v>0</v>
      </c>
      <c r="E76" s="1022"/>
      <c r="F76" s="1023">
        <f t="shared" si="0"/>
        <v>0</v>
      </c>
      <c r="G76" s="1024"/>
      <c r="H76" s="1025"/>
      <c r="I76" s="910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1021">
        <f t="shared" si="3"/>
        <v>0</v>
      </c>
      <c r="E77" s="1022"/>
      <c r="F77" s="1023">
        <f t="shared" si="0"/>
        <v>0</v>
      </c>
      <c r="G77" s="1024"/>
      <c r="H77" s="1025"/>
      <c r="I77" s="910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1021">
        <f t="shared" si="3"/>
        <v>0</v>
      </c>
      <c r="E78" s="1022"/>
      <c r="F78" s="1023">
        <f t="shared" si="0"/>
        <v>0</v>
      </c>
      <c r="G78" s="1024"/>
      <c r="H78" s="1025"/>
      <c r="I78" s="910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1021">
        <f t="shared" si="3"/>
        <v>0</v>
      </c>
      <c r="E79" s="1022"/>
      <c r="F79" s="1023">
        <f t="shared" si="0"/>
        <v>0</v>
      </c>
      <c r="G79" s="1024"/>
      <c r="H79" s="1025"/>
      <c r="I79" s="910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1021">
        <f t="shared" si="3"/>
        <v>0</v>
      </c>
      <c r="E80" s="1022"/>
      <c r="F80" s="1023">
        <f t="shared" si="0"/>
        <v>0</v>
      </c>
      <c r="G80" s="1024"/>
      <c r="H80" s="1025"/>
      <c r="I80" s="910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1021">
        <f t="shared" si="3"/>
        <v>0</v>
      </c>
      <c r="E81" s="1022"/>
      <c r="F81" s="1023">
        <f t="shared" si="0"/>
        <v>0</v>
      </c>
      <c r="G81" s="1024"/>
      <c r="H81" s="1025"/>
      <c r="I81" s="910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1021">
        <f t="shared" si="3"/>
        <v>0</v>
      </c>
      <c r="E82" s="1022"/>
      <c r="F82" s="1023">
        <f t="shared" si="0"/>
        <v>0</v>
      </c>
      <c r="G82" s="1024"/>
      <c r="H82" s="1025"/>
      <c r="I82" s="910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1021">
        <f t="shared" si="3"/>
        <v>0</v>
      </c>
      <c r="E83" s="1022"/>
      <c r="F83" s="1023">
        <f t="shared" si="0"/>
        <v>0</v>
      </c>
      <c r="G83" s="1024"/>
      <c r="H83" s="1025"/>
      <c r="I83" s="910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922">
        <f t="shared" si="3"/>
        <v>0</v>
      </c>
      <c r="E84" s="923"/>
      <c r="F84" s="924">
        <f t="shared" si="0"/>
        <v>0</v>
      </c>
      <c r="G84" s="925"/>
      <c r="H84" s="852"/>
      <c r="I84" s="230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922">
        <f t="shared" si="3"/>
        <v>0</v>
      </c>
      <c r="E85" s="923"/>
      <c r="F85" s="924">
        <f t="shared" si="0"/>
        <v>0</v>
      </c>
      <c r="G85" s="925"/>
      <c r="H85" s="852"/>
      <c r="I85" s="230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3">
        <f t="shared" si="0"/>
        <v>0</v>
      </c>
      <c r="G86" s="135"/>
      <c r="H86" s="189"/>
      <c r="I86" s="676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89" t="s">
        <v>21</v>
      </c>
      <c r="E89" s="1590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4" t="s">
        <v>92</v>
      </c>
      <c r="B1" s="1584"/>
      <c r="C1" s="1584"/>
      <c r="D1" s="1584"/>
      <c r="E1" s="1584"/>
      <c r="F1" s="1584"/>
      <c r="G1" s="1584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97"/>
      <c r="B5" s="1624"/>
      <c r="C5" s="357"/>
      <c r="D5" s="130"/>
      <c r="E5" s="85"/>
      <c r="F5" s="72"/>
      <c r="G5" s="48">
        <f>F30</f>
        <v>0</v>
      </c>
      <c r="H5" s="134">
        <f>E5-G5+E4+E6+E7</f>
        <v>0</v>
      </c>
      <c r="I5" s="361"/>
    </row>
    <row r="6" spans="1:10" x14ac:dyDescent="0.25">
      <c r="A6" s="1597"/>
      <c r="B6" s="1624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0"/>
      <c r="F25" s="91">
        <f t="shared" si="0"/>
        <v>0</v>
      </c>
      <c r="G25" s="488"/>
      <c r="H25" s="489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0"/>
      <c r="F26" s="91">
        <f t="shared" si="0"/>
        <v>0</v>
      </c>
      <c r="G26" s="488"/>
      <c r="H26" s="489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0"/>
      <c r="F27" s="91">
        <f t="shared" si="0"/>
        <v>0</v>
      </c>
      <c r="G27" s="488"/>
      <c r="H27" s="489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89" t="s">
        <v>21</v>
      </c>
      <c r="E32" s="159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4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6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6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6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6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6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6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6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6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6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6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6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6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6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6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6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6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6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6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89" t="s">
        <v>21</v>
      </c>
      <c r="E29" s="159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36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6" t="s">
        <v>310</v>
      </c>
      <c r="B1" s="1586"/>
      <c r="C1" s="1586"/>
      <c r="D1" s="1586"/>
      <c r="E1" s="1586"/>
      <c r="F1" s="1586"/>
      <c r="G1" s="1586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97" t="s">
        <v>94</v>
      </c>
      <c r="B5" s="1624" t="s">
        <v>116</v>
      </c>
      <c r="C5" s="357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1"/>
    </row>
    <row r="6" spans="1:10" x14ac:dyDescent="0.25">
      <c r="A6" s="1597"/>
      <c r="B6" s="1624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4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757" t="s">
        <v>57</v>
      </c>
      <c r="I8" s="758" t="s">
        <v>3</v>
      </c>
      <c r="J8" s="75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6">
        <v>45132</v>
      </c>
      <c r="F9" s="91">
        <f>D9</f>
        <v>100</v>
      </c>
      <c r="G9" s="69" t="s">
        <v>168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612">
        <v>45132</v>
      </c>
      <c r="F10" s="91">
        <f t="shared" ref="F10:F68" si="1">D10</f>
        <v>500</v>
      </c>
      <c r="G10" s="69" t="s">
        <v>170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612">
        <v>45134</v>
      </c>
      <c r="F11" s="91">
        <f t="shared" si="1"/>
        <v>50</v>
      </c>
      <c r="G11" s="69" t="s">
        <v>174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79">
        <f t="shared" si="3"/>
        <v>1375</v>
      </c>
      <c r="C12" s="15"/>
      <c r="D12" s="91">
        <f t="shared" si="0"/>
        <v>0</v>
      </c>
      <c r="E12" s="612"/>
      <c r="F12" s="91">
        <f t="shared" si="1"/>
        <v>0</v>
      </c>
      <c r="G12" s="69"/>
      <c r="H12" s="70"/>
      <c r="I12" s="734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908">
        <f t="shared" si="0"/>
        <v>100</v>
      </c>
      <c r="E13" s="909">
        <v>45146</v>
      </c>
      <c r="F13" s="908">
        <f t="shared" si="1"/>
        <v>100</v>
      </c>
      <c r="G13" s="844" t="s">
        <v>212</v>
      </c>
      <c r="H13" s="845">
        <v>48</v>
      </c>
      <c r="I13" s="91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908">
        <f t="shared" si="0"/>
        <v>20</v>
      </c>
      <c r="E14" s="909">
        <v>45146</v>
      </c>
      <c r="F14" s="908">
        <f t="shared" si="1"/>
        <v>20</v>
      </c>
      <c r="G14" s="844" t="s">
        <v>214</v>
      </c>
      <c r="H14" s="845">
        <v>48</v>
      </c>
      <c r="I14" s="91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908">
        <f t="shared" si="0"/>
        <v>1000</v>
      </c>
      <c r="E15" s="909">
        <v>45147</v>
      </c>
      <c r="F15" s="908">
        <f t="shared" si="1"/>
        <v>1000</v>
      </c>
      <c r="G15" s="844" t="s">
        <v>218</v>
      </c>
      <c r="H15" s="845">
        <v>35</v>
      </c>
      <c r="I15" s="91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908">
        <f>10*C16</f>
        <v>40</v>
      </c>
      <c r="E16" s="909">
        <v>45150</v>
      </c>
      <c r="F16" s="908">
        <f t="shared" si="1"/>
        <v>40</v>
      </c>
      <c r="G16" s="844" t="s">
        <v>222</v>
      </c>
      <c r="H16" s="845">
        <v>48</v>
      </c>
      <c r="I16" s="91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908">
        <f t="shared" ref="D17:D68" si="5">10*C17</f>
        <v>20</v>
      </c>
      <c r="E17" s="909">
        <v>45152</v>
      </c>
      <c r="F17" s="908">
        <f t="shared" si="1"/>
        <v>20</v>
      </c>
      <c r="G17" s="844" t="s">
        <v>228</v>
      </c>
      <c r="H17" s="845">
        <v>48</v>
      </c>
      <c r="I17" s="91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908">
        <f t="shared" si="5"/>
        <v>200</v>
      </c>
      <c r="E18" s="909">
        <v>45152</v>
      </c>
      <c r="F18" s="908">
        <f t="shared" si="1"/>
        <v>200</v>
      </c>
      <c r="G18" s="844" t="s">
        <v>229</v>
      </c>
      <c r="H18" s="845">
        <v>35</v>
      </c>
      <c r="I18" s="91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908">
        <f t="shared" si="5"/>
        <v>10</v>
      </c>
      <c r="E19" s="909">
        <v>45154</v>
      </c>
      <c r="F19" s="908">
        <f t="shared" si="1"/>
        <v>10</v>
      </c>
      <c r="G19" s="844" t="s">
        <v>237</v>
      </c>
      <c r="H19" s="845">
        <v>48</v>
      </c>
      <c r="I19" s="91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908">
        <f t="shared" si="5"/>
        <v>400</v>
      </c>
      <c r="E20" s="909">
        <v>45157</v>
      </c>
      <c r="F20" s="908">
        <f t="shared" si="1"/>
        <v>400</v>
      </c>
      <c r="G20" s="844" t="s">
        <v>246</v>
      </c>
      <c r="H20" s="845">
        <v>35</v>
      </c>
      <c r="I20" s="91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908">
        <f t="shared" si="5"/>
        <v>40</v>
      </c>
      <c r="E21" s="909">
        <v>45159</v>
      </c>
      <c r="F21" s="908">
        <f t="shared" si="1"/>
        <v>40</v>
      </c>
      <c r="G21" s="844" t="s">
        <v>248</v>
      </c>
      <c r="H21" s="845">
        <v>48</v>
      </c>
      <c r="I21" s="91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908">
        <f t="shared" si="5"/>
        <v>80</v>
      </c>
      <c r="E22" s="909">
        <v>45162</v>
      </c>
      <c r="F22" s="908">
        <f t="shared" si="1"/>
        <v>80</v>
      </c>
      <c r="G22" s="844" t="s">
        <v>257</v>
      </c>
      <c r="H22" s="845">
        <v>48</v>
      </c>
      <c r="I22" s="91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908">
        <f t="shared" si="5"/>
        <v>20</v>
      </c>
      <c r="E23" s="911">
        <v>45164</v>
      </c>
      <c r="F23" s="908">
        <f t="shared" si="1"/>
        <v>20</v>
      </c>
      <c r="G23" s="844" t="s">
        <v>263</v>
      </c>
      <c r="H23" s="845">
        <v>48</v>
      </c>
      <c r="I23" s="91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908">
        <f t="shared" si="5"/>
        <v>10</v>
      </c>
      <c r="E24" s="911">
        <v>45171</v>
      </c>
      <c r="F24" s="908">
        <f t="shared" si="1"/>
        <v>10</v>
      </c>
      <c r="G24" s="844" t="s">
        <v>296</v>
      </c>
      <c r="H24" s="845">
        <v>48</v>
      </c>
      <c r="I24" s="910">
        <f t="shared" si="4"/>
        <v>11810</v>
      </c>
      <c r="J24" s="59">
        <f t="shared" si="2"/>
        <v>480</v>
      </c>
    </row>
    <row r="25" spans="1:10" x14ac:dyDescent="0.25">
      <c r="A25" s="19"/>
      <c r="B25" s="579">
        <f t="shared" si="3"/>
        <v>1181</v>
      </c>
      <c r="C25" s="15"/>
      <c r="D25" s="908">
        <f t="shared" si="5"/>
        <v>0</v>
      </c>
      <c r="E25" s="911"/>
      <c r="F25" s="908">
        <f t="shared" si="1"/>
        <v>0</v>
      </c>
      <c r="G25" s="844"/>
      <c r="H25" s="845"/>
      <c r="I25" s="102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17">
        <f t="shared" si="5"/>
        <v>10</v>
      </c>
      <c r="E26" s="1027">
        <v>45173</v>
      </c>
      <c r="F26" s="617">
        <f t="shared" si="1"/>
        <v>10</v>
      </c>
      <c r="G26" s="517" t="s">
        <v>518</v>
      </c>
      <c r="H26" s="353">
        <v>48</v>
      </c>
      <c r="I26" s="857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17">
        <f t="shared" si="5"/>
        <v>200</v>
      </c>
      <c r="E27" s="1027">
        <v>45177</v>
      </c>
      <c r="F27" s="617">
        <f t="shared" si="1"/>
        <v>200</v>
      </c>
      <c r="G27" s="517" t="s">
        <v>576</v>
      </c>
      <c r="H27" s="353">
        <v>35</v>
      </c>
      <c r="I27" s="857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17">
        <f t="shared" si="5"/>
        <v>10</v>
      </c>
      <c r="E28" s="1027">
        <v>45178</v>
      </c>
      <c r="F28" s="617">
        <f t="shared" si="1"/>
        <v>10</v>
      </c>
      <c r="G28" s="517" t="s">
        <v>585</v>
      </c>
      <c r="H28" s="353">
        <v>48</v>
      </c>
      <c r="I28" s="857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17">
        <f t="shared" si="5"/>
        <v>300</v>
      </c>
      <c r="E29" s="1027">
        <v>45178</v>
      </c>
      <c r="F29" s="617">
        <f t="shared" si="1"/>
        <v>300</v>
      </c>
      <c r="G29" s="517" t="s">
        <v>587</v>
      </c>
      <c r="H29" s="353">
        <v>35</v>
      </c>
      <c r="I29" s="857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17">
        <f t="shared" si="5"/>
        <v>30</v>
      </c>
      <c r="E30" s="1027">
        <v>45178</v>
      </c>
      <c r="F30" s="617">
        <f t="shared" si="1"/>
        <v>30</v>
      </c>
      <c r="G30" s="517" t="s">
        <v>592</v>
      </c>
      <c r="H30" s="353">
        <v>48</v>
      </c>
      <c r="I30" s="857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17">
        <f t="shared" si="5"/>
        <v>10</v>
      </c>
      <c r="E31" s="1027">
        <v>45180</v>
      </c>
      <c r="F31" s="617">
        <f t="shared" si="1"/>
        <v>10</v>
      </c>
      <c r="G31" s="517" t="s">
        <v>600</v>
      </c>
      <c r="H31" s="353">
        <v>48</v>
      </c>
      <c r="I31" s="857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17">
        <f t="shared" si="5"/>
        <v>100</v>
      </c>
      <c r="E32" s="1027">
        <v>45180</v>
      </c>
      <c r="F32" s="617">
        <f t="shared" si="1"/>
        <v>100</v>
      </c>
      <c r="G32" s="517" t="s">
        <v>601</v>
      </c>
      <c r="H32" s="353">
        <v>48</v>
      </c>
      <c r="I32" s="857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17">
        <f t="shared" si="5"/>
        <v>40</v>
      </c>
      <c r="E33" s="1027">
        <v>45182</v>
      </c>
      <c r="F33" s="617">
        <f t="shared" si="1"/>
        <v>40</v>
      </c>
      <c r="G33" s="517" t="s">
        <v>630</v>
      </c>
      <c r="H33" s="353">
        <v>48</v>
      </c>
      <c r="I33" s="857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17">
        <f t="shared" si="5"/>
        <v>60</v>
      </c>
      <c r="E34" s="1027">
        <v>45187</v>
      </c>
      <c r="F34" s="617">
        <f t="shared" si="1"/>
        <v>60</v>
      </c>
      <c r="G34" s="517" t="s">
        <v>657</v>
      </c>
      <c r="H34" s="353">
        <v>48</v>
      </c>
      <c r="I34" s="857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17">
        <f t="shared" si="5"/>
        <v>10</v>
      </c>
      <c r="E35" s="1027">
        <v>45188</v>
      </c>
      <c r="F35" s="617">
        <f t="shared" si="1"/>
        <v>10</v>
      </c>
      <c r="G35" s="517" t="s">
        <v>672</v>
      </c>
      <c r="H35" s="353">
        <v>48</v>
      </c>
      <c r="I35" s="857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17">
        <f t="shared" si="5"/>
        <v>100</v>
      </c>
      <c r="E36" s="1027">
        <v>45191</v>
      </c>
      <c r="F36" s="617">
        <f t="shared" si="1"/>
        <v>100</v>
      </c>
      <c r="G36" s="517" t="s">
        <v>698</v>
      </c>
      <c r="H36" s="353">
        <v>48</v>
      </c>
      <c r="I36" s="857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17">
        <f t="shared" si="5"/>
        <v>50</v>
      </c>
      <c r="E37" s="1027">
        <v>45192</v>
      </c>
      <c r="F37" s="617">
        <f t="shared" si="1"/>
        <v>50</v>
      </c>
      <c r="G37" s="517" t="s">
        <v>713</v>
      </c>
      <c r="H37" s="353">
        <v>48</v>
      </c>
      <c r="I37" s="857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17">
        <f t="shared" si="5"/>
        <v>20</v>
      </c>
      <c r="E38" s="1027">
        <v>45194</v>
      </c>
      <c r="F38" s="617">
        <f t="shared" si="1"/>
        <v>20</v>
      </c>
      <c r="G38" s="517" t="s">
        <v>688</v>
      </c>
      <c r="H38" s="353">
        <v>48</v>
      </c>
      <c r="I38" s="857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17">
        <f t="shared" si="5"/>
        <v>500</v>
      </c>
      <c r="E39" s="1027">
        <v>45194</v>
      </c>
      <c r="F39" s="617">
        <f t="shared" si="1"/>
        <v>500</v>
      </c>
      <c r="G39" s="517" t="s">
        <v>711</v>
      </c>
      <c r="H39" s="70">
        <v>35</v>
      </c>
      <c r="I39" s="857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17">
        <f t="shared" si="5"/>
        <v>200</v>
      </c>
      <c r="E40" s="1027">
        <v>45194</v>
      </c>
      <c r="F40" s="617">
        <f t="shared" si="1"/>
        <v>200</v>
      </c>
      <c r="G40" s="517" t="s">
        <v>711</v>
      </c>
      <c r="H40" s="70">
        <v>35</v>
      </c>
      <c r="I40" s="857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17">
        <f t="shared" si="5"/>
        <v>20</v>
      </c>
      <c r="E41" s="1027">
        <v>45195</v>
      </c>
      <c r="F41" s="617">
        <f t="shared" si="1"/>
        <v>20</v>
      </c>
      <c r="G41" s="517" t="s">
        <v>721</v>
      </c>
      <c r="H41" s="353">
        <v>48</v>
      </c>
      <c r="I41" s="857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17">
        <f t="shared" si="5"/>
        <v>100</v>
      </c>
      <c r="E42" s="1027">
        <v>45194</v>
      </c>
      <c r="F42" s="617">
        <f t="shared" si="1"/>
        <v>100</v>
      </c>
      <c r="G42" s="517" t="s">
        <v>722</v>
      </c>
      <c r="H42" s="353">
        <v>48</v>
      </c>
      <c r="I42" s="857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17">
        <f t="shared" si="5"/>
        <v>50</v>
      </c>
      <c r="E43" s="1027">
        <v>45195</v>
      </c>
      <c r="F43" s="617">
        <f t="shared" si="1"/>
        <v>50</v>
      </c>
      <c r="G43" s="517" t="s">
        <v>724</v>
      </c>
      <c r="H43" s="353">
        <v>48</v>
      </c>
      <c r="I43" s="857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17">
        <f t="shared" si="5"/>
        <v>20</v>
      </c>
      <c r="E44" s="1027">
        <v>45197</v>
      </c>
      <c r="F44" s="617">
        <f t="shared" si="1"/>
        <v>20</v>
      </c>
      <c r="G44" s="517" t="s">
        <v>747</v>
      </c>
      <c r="H44" s="353">
        <v>48</v>
      </c>
      <c r="I44" s="857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17">
        <f t="shared" si="5"/>
        <v>20</v>
      </c>
      <c r="E45" s="1027">
        <v>45199</v>
      </c>
      <c r="F45" s="617">
        <f t="shared" si="1"/>
        <v>20</v>
      </c>
      <c r="G45" s="517" t="s">
        <v>772</v>
      </c>
      <c r="H45" s="353">
        <v>48</v>
      </c>
      <c r="I45" s="857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17">
        <f t="shared" si="5"/>
        <v>60</v>
      </c>
      <c r="E46" s="1027">
        <v>45199</v>
      </c>
      <c r="F46" s="617">
        <f t="shared" si="1"/>
        <v>60</v>
      </c>
      <c r="G46" s="517" t="s">
        <v>773</v>
      </c>
      <c r="H46" s="353">
        <v>48</v>
      </c>
      <c r="I46" s="857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17">
        <f t="shared" si="5"/>
        <v>80</v>
      </c>
      <c r="E47" s="1027">
        <v>45201</v>
      </c>
      <c r="F47" s="617">
        <f t="shared" si="1"/>
        <v>80</v>
      </c>
      <c r="G47" s="517" t="s">
        <v>778</v>
      </c>
      <c r="H47" s="353">
        <v>48</v>
      </c>
      <c r="I47" s="857">
        <f t="shared" si="4"/>
        <v>9820</v>
      </c>
      <c r="J47" s="59">
        <f t="shared" si="2"/>
        <v>3840</v>
      </c>
    </row>
    <row r="48" spans="2:10" x14ac:dyDescent="0.25">
      <c r="B48" s="174">
        <f t="shared" si="3"/>
        <v>982</v>
      </c>
      <c r="C48" s="15"/>
      <c r="D48" s="617">
        <f t="shared" si="5"/>
        <v>0</v>
      </c>
      <c r="E48" s="1027"/>
      <c r="F48" s="617">
        <f t="shared" si="1"/>
        <v>0</v>
      </c>
      <c r="G48" s="517"/>
      <c r="H48" s="353"/>
      <c r="I48" s="857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617">
        <f t="shared" si="5"/>
        <v>0</v>
      </c>
      <c r="E49" s="1027"/>
      <c r="F49" s="617">
        <f t="shared" si="1"/>
        <v>0</v>
      </c>
      <c r="G49" s="517"/>
      <c r="H49" s="353"/>
      <c r="I49" s="857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617">
        <f t="shared" si="5"/>
        <v>0</v>
      </c>
      <c r="E50" s="1027"/>
      <c r="F50" s="617">
        <f t="shared" si="1"/>
        <v>0</v>
      </c>
      <c r="G50" s="517"/>
      <c r="H50" s="353"/>
      <c r="I50" s="857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617">
        <f t="shared" si="5"/>
        <v>0</v>
      </c>
      <c r="E51" s="1027"/>
      <c r="F51" s="617">
        <f t="shared" si="1"/>
        <v>0</v>
      </c>
      <c r="G51" s="517"/>
      <c r="H51" s="353"/>
      <c r="I51" s="857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91">
        <f t="shared" si="5"/>
        <v>0</v>
      </c>
      <c r="E52" s="541"/>
      <c r="F52" s="91">
        <f t="shared" si="1"/>
        <v>0</v>
      </c>
      <c r="G52" s="69"/>
      <c r="H52" s="353"/>
      <c r="I52" s="230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91">
        <f t="shared" si="5"/>
        <v>0</v>
      </c>
      <c r="E53" s="541"/>
      <c r="F53" s="91">
        <f t="shared" si="1"/>
        <v>0</v>
      </c>
      <c r="G53" s="69"/>
      <c r="H53" s="353"/>
      <c r="I53" s="230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879">
        <f t="shared" si="5"/>
        <v>0</v>
      </c>
      <c r="E54" s="880"/>
      <c r="F54" s="879">
        <f t="shared" si="1"/>
        <v>0</v>
      </c>
      <c r="G54" s="881"/>
      <c r="H54" s="852"/>
      <c r="I54" s="230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879">
        <f t="shared" si="5"/>
        <v>0</v>
      </c>
      <c r="E55" s="880"/>
      <c r="F55" s="879">
        <f t="shared" si="1"/>
        <v>0</v>
      </c>
      <c r="G55" s="881"/>
      <c r="H55" s="852"/>
      <c r="I55" s="230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879">
        <f t="shared" si="5"/>
        <v>0</v>
      </c>
      <c r="E56" s="880"/>
      <c r="F56" s="879">
        <f t="shared" si="1"/>
        <v>0</v>
      </c>
      <c r="G56" s="881"/>
      <c r="H56" s="852"/>
      <c r="I56" s="230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879">
        <f t="shared" si="5"/>
        <v>0</v>
      </c>
      <c r="E57" s="880"/>
      <c r="F57" s="879">
        <f t="shared" si="1"/>
        <v>0</v>
      </c>
      <c r="G57" s="881"/>
      <c r="H57" s="852"/>
      <c r="I57" s="230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879">
        <f t="shared" si="5"/>
        <v>0</v>
      </c>
      <c r="E58" s="880"/>
      <c r="F58" s="879">
        <f t="shared" si="1"/>
        <v>0</v>
      </c>
      <c r="G58" s="881"/>
      <c r="H58" s="852"/>
      <c r="I58" s="230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879">
        <f t="shared" si="5"/>
        <v>0</v>
      </c>
      <c r="E59" s="880"/>
      <c r="F59" s="879">
        <f t="shared" si="1"/>
        <v>0</v>
      </c>
      <c r="G59" s="881"/>
      <c r="H59" s="852"/>
      <c r="I59" s="230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879">
        <f t="shared" si="5"/>
        <v>0</v>
      </c>
      <c r="E60" s="880"/>
      <c r="F60" s="879">
        <f t="shared" si="1"/>
        <v>0</v>
      </c>
      <c r="G60" s="881"/>
      <c r="H60" s="852"/>
      <c r="I60" s="230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879">
        <f t="shared" si="5"/>
        <v>0</v>
      </c>
      <c r="E61" s="880"/>
      <c r="F61" s="879">
        <f t="shared" si="1"/>
        <v>0</v>
      </c>
      <c r="G61" s="881"/>
      <c r="H61" s="852"/>
      <c r="I61" s="230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879">
        <f t="shared" si="5"/>
        <v>0</v>
      </c>
      <c r="E62" s="880"/>
      <c r="F62" s="879">
        <f t="shared" si="1"/>
        <v>0</v>
      </c>
      <c r="G62" s="881"/>
      <c r="H62" s="852"/>
      <c r="I62" s="230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879">
        <f t="shared" si="5"/>
        <v>0</v>
      </c>
      <c r="E63" s="880"/>
      <c r="F63" s="879">
        <f t="shared" si="1"/>
        <v>0</v>
      </c>
      <c r="G63" s="881"/>
      <c r="H63" s="852"/>
      <c r="I63" s="230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879">
        <f t="shared" si="5"/>
        <v>0</v>
      </c>
      <c r="E64" s="880"/>
      <c r="F64" s="879">
        <f t="shared" si="1"/>
        <v>0</v>
      </c>
      <c r="G64" s="881"/>
      <c r="H64" s="852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879">
        <f t="shared" si="5"/>
        <v>0</v>
      </c>
      <c r="E65" s="880"/>
      <c r="F65" s="879">
        <f t="shared" si="1"/>
        <v>0</v>
      </c>
      <c r="G65" s="881"/>
      <c r="H65" s="852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879">
        <f t="shared" si="5"/>
        <v>0</v>
      </c>
      <c r="E66" s="880"/>
      <c r="F66" s="879">
        <f t="shared" si="1"/>
        <v>0</v>
      </c>
      <c r="G66" s="881"/>
      <c r="H66" s="852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41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1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41"/>
      <c r="F69" s="91"/>
      <c r="G69" s="69"/>
      <c r="H69" s="353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41"/>
      <c r="F70" s="91"/>
      <c r="G70" s="69"/>
      <c r="H70" s="353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41"/>
      <c r="F71" s="91"/>
      <c r="G71" s="69"/>
      <c r="H71" s="353"/>
      <c r="I71" s="230"/>
      <c r="J71" s="59"/>
    </row>
    <row r="72" spans="1:10" x14ac:dyDescent="0.25">
      <c r="B72" s="174"/>
      <c r="C72" s="15"/>
      <c r="D72" s="91"/>
      <c r="E72" s="541"/>
      <c r="F72" s="91"/>
      <c r="G72" s="69"/>
      <c r="H72" s="353"/>
      <c r="I72" s="230"/>
      <c r="J72" s="59"/>
    </row>
    <row r="73" spans="1:10" x14ac:dyDescent="0.25">
      <c r="B73" s="174"/>
      <c r="C73" s="15"/>
      <c r="D73" s="91"/>
      <c r="E73" s="541"/>
      <c r="F73" s="91"/>
      <c r="G73" s="69"/>
      <c r="H73" s="353"/>
      <c r="I73" s="230"/>
      <c r="J73" s="59"/>
    </row>
    <row r="74" spans="1:10" x14ac:dyDescent="0.25">
      <c r="B74" s="174"/>
      <c r="C74" s="15"/>
      <c r="D74" s="91"/>
      <c r="E74" s="541"/>
      <c r="F74" s="91"/>
      <c r="G74" s="69"/>
      <c r="H74" s="353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3">
        <v>0</v>
      </c>
      <c r="E75" s="75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89" t="s">
        <v>21</v>
      </c>
      <c r="E78" s="1590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G51" sqref="G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6" t="s">
        <v>179</v>
      </c>
      <c r="B1" s="1586"/>
      <c r="C1" s="1586"/>
      <c r="D1" s="1586"/>
      <c r="E1" s="1586"/>
      <c r="F1" s="1586"/>
      <c r="G1" s="1586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26.25" customHeight="1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1625" t="s">
        <v>100</v>
      </c>
      <c r="C4" s="230"/>
      <c r="D4" s="130"/>
      <c r="E4" s="352">
        <v>30</v>
      </c>
      <c r="F4" s="72">
        <v>3</v>
      </c>
      <c r="G4" s="224"/>
      <c r="H4" s="144"/>
      <c r="I4" s="364"/>
    </row>
    <row r="5" spans="1:10" ht="14.25" customHeight="1" x14ac:dyDescent="0.25">
      <c r="A5" s="1597" t="s">
        <v>94</v>
      </c>
      <c r="B5" s="1625"/>
      <c r="C5" s="357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1"/>
    </row>
    <row r="6" spans="1:10" x14ac:dyDescent="0.25">
      <c r="A6" s="1597"/>
      <c r="B6" s="1625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5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109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79">
        <f t="shared" si="2"/>
        <v>352</v>
      </c>
      <c r="C17" s="760">
        <v>100</v>
      </c>
      <c r="D17" s="516">
        <f t="shared" si="3"/>
        <v>1000</v>
      </c>
      <c r="E17" s="238">
        <v>45054</v>
      </c>
      <c r="F17" s="91">
        <f t="shared" si="0"/>
        <v>1000</v>
      </c>
      <c r="G17" s="69" t="s">
        <v>120</v>
      </c>
      <c r="H17" s="513">
        <v>41.5</v>
      </c>
      <c r="I17" s="734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62">
        <f t="shared" si="3"/>
        <v>50</v>
      </c>
      <c r="E19" s="797">
        <v>45059</v>
      </c>
      <c r="F19" s="617">
        <f t="shared" si="0"/>
        <v>50</v>
      </c>
      <c r="G19" s="517" t="s">
        <v>123</v>
      </c>
      <c r="H19" s="353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62">
        <f t="shared" si="3"/>
        <v>50</v>
      </c>
      <c r="E20" s="797">
        <v>45061</v>
      </c>
      <c r="F20" s="617">
        <f t="shared" si="0"/>
        <v>50</v>
      </c>
      <c r="G20" s="517" t="s">
        <v>124</v>
      </c>
      <c r="H20" s="353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62">
        <f t="shared" si="3"/>
        <v>50</v>
      </c>
      <c r="E21" s="797">
        <v>45073</v>
      </c>
      <c r="F21" s="617">
        <f t="shared" si="0"/>
        <v>50</v>
      </c>
      <c r="G21" s="517" t="s">
        <v>128</v>
      </c>
      <c r="H21" s="353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62">
        <f t="shared" si="3"/>
        <v>50</v>
      </c>
      <c r="E22" s="797">
        <v>45075</v>
      </c>
      <c r="F22" s="617">
        <f t="shared" si="0"/>
        <v>50</v>
      </c>
      <c r="G22" s="517" t="s">
        <v>127</v>
      </c>
      <c r="H22" s="353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79">
        <f t="shared" si="2"/>
        <v>329</v>
      </c>
      <c r="C23" s="72">
        <v>3</v>
      </c>
      <c r="D23" s="662">
        <f t="shared" si="3"/>
        <v>30</v>
      </c>
      <c r="E23" s="794">
        <v>45082</v>
      </c>
      <c r="F23" s="617">
        <f t="shared" si="0"/>
        <v>30</v>
      </c>
      <c r="G23" s="517" t="s">
        <v>130</v>
      </c>
      <c r="H23" s="353">
        <v>52</v>
      </c>
      <c r="I23" s="734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62">
        <f t="shared" si="3"/>
        <v>0</v>
      </c>
      <c r="E24" s="794"/>
      <c r="F24" s="617">
        <f t="shared" si="0"/>
        <v>0</v>
      </c>
      <c r="G24" s="517"/>
      <c r="H24" s="353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6">
        <f t="shared" si="3"/>
        <v>80</v>
      </c>
      <c r="E25" s="752">
        <v>45087</v>
      </c>
      <c r="F25" s="619">
        <f t="shared" si="0"/>
        <v>80</v>
      </c>
      <c r="G25" s="314" t="s">
        <v>133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6">
        <f t="shared" si="3"/>
        <v>20</v>
      </c>
      <c r="E26" s="752">
        <v>45094</v>
      </c>
      <c r="F26" s="619">
        <f t="shared" si="0"/>
        <v>20</v>
      </c>
      <c r="G26" s="314" t="s">
        <v>136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6">
        <f t="shared" si="3"/>
        <v>20</v>
      </c>
      <c r="E27" s="752">
        <v>45099</v>
      </c>
      <c r="F27" s="619">
        <f t="shared" si="0"/>
        <v>20</v>
      </c>
      <c r="G27" s="314" t="s">
        <v>139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79">
        <f t="shared" si="2"/>
        <v>312</v>
      </c>
      <c r="C28" s="72">
        <v>5</v>
      </c>
      <c r="D28" s="476">
        <f t="shared" si="3"/>
        <v>50</v>
      </c>
      <c r="E28" s="752">
        <v>45108</v>
      </c>
      <c r="F28" s="619">
        <f t="shared" si="0"/>
        <v>50</v>
      </c>
      <c r="G28" s="314" t="s">
        <v>144</v>
      </c>
      <c r="H28" s="315">
        <v>52</v>
      </c>
      <c r="I28" s="734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6">
        <f t="shared" si="3"/>
        <v>0</v>
      </c>
      <c r="E29" s="752"/>
      <c r="F29" s="619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37">
        <f t="shared" si="3"/>
        <v>30</v>
      </c>
      <c r="E30" s="853">
        <v>45110</v>
      </c>
      <c r="F30" s="618">
        <f t="shared" si="0"/>
        <v>30</v>
      </c>
      <c r="G30" s="638" t="s">
        <v>149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37">
        <f t="shared" si="3"/>
        <v>20</v>
      </c>
      <c r="E31" s="853">
        <v>45115</v>
      </c>
      <c r="F31" s="618">
        <f t="shared" si="0"/>
        <v>20</v>
      </c>
      <c r="G31" s="638" t="s">
        <v>152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37">
        <f t="shared" si="3"/>
        <v>20</v>
      </c>
      <c r="E32" s="853">
        <v>45118</v>
      </c>
      <c r="F32" s="618">
        <f t="shared" si="0"/>
        <v>20</v>
      </c>
      <c r="G32" s="638" t="s">
        <v>154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37">
        <f t="shared" si="3"/>
        <v>0</v>
      </c>
      <c r="E33" s="853"/>
      <c r="F33" s="618">
        <f t="shared" si="0"/>
        <v>0</v>
      </c>
      <c r="G33" s="63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37">
        <f t="shared" si="3"/>
        <v>20</v>
      </c>
      <c r="E34" s="853">
        <v>45129</v>
      </c>
      <c r="F34" s="618">
        <f t="shared" si="0"/>
        <v>20</v>
      </c>
      <c r="G34" s="638" t="s">
        <v>165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37">
        <f t="shared" si="3"/>
        <v>30</v>
      </c>
      <c r="E35" s="853">
        <v>45132</v>
      </c>
      <c r="F35" s="618">
        <f t="shared" si="0"/>
        <v>30</v>
      </c>
      <c r="G35" s="638" t="s">
        <v>169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37">
        <f t="shared" si="3"/>
        <v>100</v>
      </c>
      <c r="E36" s="853">
        <v>45134</v>
      </c>
      <c r="F36" s="618">
        <f t="shared" si="0"/>
        <v>100</v>
      </c>
      <c r="G36" s="638" t="s">
        <v>172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79">
        <f t="shared" si="2"/>
        <v>280</v>
      </c>
      <c r="C37" s="72">
        <v>10</v>
      </c>
      <c r="D37" s="637">
        <f t="shared" si="3"/>
        <v>100</v>
      </c>
      <c r="E37" s="853">
        <v>45135</v>
      </c>
      <c r="F37" s="618">
        <f t="shared" si="0"/>
        <v>100</v>
      </c>
      <c r="G37" s="638" t="s">
        <v>175</v>
      </c>
      <c r="H37" s="194">
        <v>52</v>
      </c>
      <c r="I37" s="734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37">
        <f t="shared" si="3"/>
        <v>0</v>
      </c>
      <c r="E38" s="853"/>
      <c r="F38" s="618">
        <f t="shared" si="0"/>
        <v>0</v>
      </c>
      <c r="G38" s="63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90">
        <f t="shared" si="3"/>
        <v>100</v>
      </c>
      <c r="E39" s="912">
        <v>45145</v>
      </c>
      <c r="F39" s="913">
        <f t="shared" si="0"/>
        <v>100</v>
      </c>
      <c r="G39" s="798" t="s">
        <v>224</v>
      </c>
      <c r="H39" s="799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90">
        <f t="shared" si="3"/>
        <v>30</v>
      </c>
      <c r="E40" s="912">
        <v>45151</v>
      </c>
      <c r="F40" s="913">
        <f t="shared" si="0"/>
        <v>30</v>
      </c>
      <c r="G40" s="798" t="s">
        <v>223</v>
      </c>
      <c r="H40" s="799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90">
        <f t="shared" si="3"/>
        <v>20</v>
      </c>
      <c r="E41" s="912">
        <v>45157</v>
      </c>
      <c r="F41" s="913">
        <f t="shared" si="0"/>
        <v>20</v>
      </c>
      <c r="G41" s="798" t="s">
        <v>244</v>
      </c>
      <c r="H41" s="799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90">
        <f t="shared" si="3"/>
        <v>20</v>
      </c>
      <c r="E42" s="912">
        <v>45159</v>
      </c>
      <c r="F42" s="913">
        <f t="shared" si="0"/>
        <v>20</v>
      </c>
      <c r="G42" s="798" t="s">
        <v>249</v>
      </c>
      <c r="H42" s="799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90">
        <f t="shared" si="3"/>
        <v>30</v>
      </c>
      <c r="E43" s="912">
        <v>45160</v>
      </c>
      <c r="F43" s="913">
        <f t="shared" si="0"/>
        <v>30</v>
      </c>
      <c r="G43" s="798" t="s">
        <v>255</v>
      </c>
      <c r="H43" s="799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90">
        <f t="shared" si="3"/>
        <v>30</v>
      </c>
      <c r="E44" s="912">
        <v>45171</v>
      </c>
      <c r="F44" s="913">
        <f t="shared" si="0"/>
        <v>30</v>
      </c>
      <c r="G44" s="798" t="s">
        <v>303</v>
      </c>
      <c r="H44" s="799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79">
        <f t="shared" si="2"/>
        <v>257</v>
      </c>
      <c r="C45" s="72"/>
      <c r="D45" s="590">
        <f t="shared" si="3"/>
        <v>0</v>
      </c>
      <c r="E45" s="912"/>
      <c r="F45" s="913">
        <f t="shared" si="0"/>
        <v>0</v>
      </c>
      <c r="G45" s="798"/>
      <c r="H45" s="799"/>
      <c r="I45" s="734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1028">
        <f t="shared" si="3"/>
        <v>50</v>
      </c>
      <c r="E46" s="1029">
        <v>45176</v>
      </c>
      <c r="F46" s="1030">
        <f t="shared" si="0"/>
        <v>50</v>
      </c>
      <c r="G46" s="1031" t="s">
        <v>552</v>
      </c>
      <c r="H46" s="1032">
        <v>52</v>
      </c>
      <c r="I46" s="103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1028">
        <f t="shared" si="3"/>
        <v>30</v>
      </c>
      <c r="E47" s="1029">
        <v>45178</v>
      </c>
      <c r="F47" s="1030">
        <f t="shared" si="0"/>
        <v>30</v>
      </c>
      <c r="G47" s="1031" t="s">
        <v>583</v>
      </c>
      <c r="H47" s="1032">
        <v>52</v>
      </c>
      <c r="I47" s="103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1028">
        <f t="shared" si="3"/>
        <v>50</v>
      </c>
      <c r="E48" s="1029">
        <v>45180</v>
      </c>
      <c r="F48" s="1030">
        <f t="shared" si="0"/>
        <v>50</v>
      </c>
      <c r="G48" s="1031" t="s">
        <v>601</v>
      </c>
      <c r="H48" s="1032">
        <v>52</v>
      </c>
      <c r="I48" s="103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1028">
        <f t="shared" si="3"/>
        <v>80</v>
      </c>
      <c r="E49" s="1029">
        <v>45187</v>
      </c>
      <c r="F49" s="1030">
        <f t="shared" si="0"/>
        <v>80</v>
      </c>
      <c r="G49" s="1031" t="s">
        <v>657</v>
      </c>
      <c r="H49" s="1032">
        <v>52</v>
      </c>
      <c r="I49" s="1033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1028">
        <f t="shared" si="3"/>
        <v>50</v>
      </c>
      <c r="E50" s="1029">
        <v>45199</v>
      </c>
      <c r="F50" s="1030">
        <f t="shared" si="0"/>
        <v>50</v>
      </c>
      <c r="G50" s="1031" t="s">
        <v>754</v>
      </c>
      <c r="H50" s="1032">
        <v>52</v>
      </c>
      <c r="I50" s="1033">
        <f t="shared" si="5"/>
        <v>2310</v>
      </c>
      <c r="J50" s="59">
        <f t="shared" si="6"/>
        <v>2600</v>
      </c>
    </row>
    <row r="51" spans="2:10" x14ac:dyDescent="0.25">
      <c r="B51" s="174">
        <f t="shared" si="2"/>
        <v>231</v>
      </c>
      <c r="C51" s="15"/>
      <c r="D51" s="1028">
        <f t="shared" si="3"/>
        <v>0</v>
      </c>
      <c r="E51" s="1029"/>
      <c r="F51" s="1030">
        <f t="shared" si="0"/>
        <v>0</v>
      </c>
      <c r="G51" s="1031"/>
      <c r="H51" s="1032"/>
      <c r="I51" s="103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1028">
        <f t="shared" si="3"/>
        <v>0</v>
      </c>
      <c r="E52" s="1029"/>
      <c r="F52" s="1030">
        <f t="shared" si="0"/>
        <v>0</v>
      </c>
      <c r="G52" s="1031"/>
      <c r="H52" s="1032"/>
      <c r="I52" s="1033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1028">
        <f t="shared" si="3"/>
        <v>0</v>
      </c>
      <c r="E53" s="1029"/>
      <c r="F53" s="1030">
        <f t="shared" si="0"/>
        <v>0</v>
      </c>
      <c r="G53" s="1031"/>
      <c r="H53" s="1032"/>
      <c r="I53" s="1033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1028">
        <f t="shared" si="3"/>
        <v>0</v>
      </c>
      <c r="E54" s="1029"/>
      <c r="F54" s="1030">
        <f t="shared" si="0"/>
        <v>0</v>
      </c>
      <c r="G54" s="1031"/>
      <c r="H54" s="1032"/>
      <c r="I54" s="1033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1028">
        <f t="shared" si="3"/>
        <v>0</v>
      </c>
      <c r="E55" s="1029"/>
      <c r="F55" s="1030">
        <f t="shared" si="0"/>
        <v>0</v>
      </c>
      <c r="G55" s="1031"/>
      <c r="H55" s="1032"/>
      <c r="I55" s="1033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1028">
        <f t="shared" si="3"/>
        <v>0</v>
      </c>
      <c r="E56" s="1029"/>
      <c r="F56" s="1030">
        <f t="shared" si="0"/>
        <v>0</v>
      </c>
      <c r="G56" s="1031"/>
      <c r="H56" s="1032"/>
      <c r="I56" s="1033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1028">
        <f t="shared" si="3"/>
        <v>0</v>
      </c>
      <c r="E57" s="1029"/>
      <c r="F57" s="1030">
        <f t="shared" si="0"/>
        <v>0</v>
      </c>
      <c r="G57" s="1031"/>
      <c r="H57" s="1032"/>
      <c r="I57" s="1033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1028">
        <f t="shared" si="3"/>
        <v>0</v>
      </c>
      <c r="E58" s="1029"/>
      <c r="F58" s="1030">
        <f t="shared" si="0"/>
        <v>0</v>
      </c>
      <c r="G58" s="1031"/>
      <c r="H58" s="1032"/>
      <c r="I58" s="1033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1028">
        <f t="shared" si="3"/>
        <v>0</v>
      </c>
      <c r="E59" s="1029"/>
      <c r="F59" s="1030">
        <f t="shared" si="0"/>
        <v>0</v>
      </c>
      <c r="G59" s="1031"/>
      <c r="H59" s="1032"/>
      <c r="I59" s="1033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1028">
        <f t="shared" si="3"/>
        <v>0</v>
      </c>
      <c r="E60" s="1029"/>
      <c r="F60" s="1030">
        <f t="shared" si="0"/>
        <v>0</v>
      </c>
      <c r="G60" s="1031"/>
      <c r="H60" s="1032"/>
      <c r="I60" s="1033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1028">
        <f t="shared" si="3"/>
        <v>0</v>
      </c>
      <c r="E61" s="1029"/>
      <c r="F61" s="1030">
        <f t="shared" si="0"/>
        <v>0</v>
      </c>
      <c r="G61" s="1031"/>
      <c r="H61" s="1032"/>
      <c r="I61" s="1033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1028">
        <f t="shared" si="3"/>
        <v>0</v>
      </c>
      <c r="E62" s="1029"/>
      <c r="F62" s="1030">
        <f t="shared" si="0"/>
        <v>0</v>
      </c>
      <c r="G62" s="1031"/>
      <c r="H62" s="1032"/>
      <c r="I62" s="1033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1028">
        <f t="shared" si="3"/>
        <v>0</v>
      </c>
      <c r="E63" s="1029"/>
      <c r="F63" s="1030">
        <f t="shared" si="0"/>
        <v>0</v>
      </c>
      <c r="G63" s="1031"/>
      <c r="H63" s="1032"/>
      <c r="I63" s="1033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1028">
        <f t="shared" si="3"/>
        <v>0</v>
      </c>
      <c r="E64" s="1029"/>
      <c r="F64" s="1030">
        <f t="shared" si="0"/>
        <v>0</v>
      </c>
      <c r="G64" s="1031"/>
      <c r="H64" s="1032"/>
      <c r="I64" s="1033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1028">
        <f t="shared" si="3"/>
        <v>0</v>
      </c>
      <c r="E65" s="1029"/>
      <c r="F65" s="1030">
        <f t="shared" si="0"/>
        <v>0</v>
      </c>
      <c r="G65" s="1031"/>
      <c r="H65" s="1032"/>
      <c r="I65" s="1033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1028">
        <f t="shared" si="3"/>
        <v>0</v>
      </c>
      <c r="E66" s="1029"/>
      <c r="F66" s="1030">
        <f t="shared" si="0"/>
        <v>0</v>
      </c>
      <c r="G66" s="1031"/>
      <c r="H66" s="1032"/>
      <c r="I66" s="1033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1028">
        <f t="shared" si="3"/>
        <v>0</v>
      </c>
      <c r="E67" s="1029"/>
      <c r="F67" s="1030">
        <f t="shared" si="0"/>
        <v>0</v>
      </c>
      <c r="G67" s="1031"/>
      <c r="H67" s="1032"/>
      <c r="I67" s="1033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590"/>
      <c r="E68" s="912"/>
      <c r="F68" s="913">
        <f t="shared" si="0"/>
        <v>0</v>
      </c>
      <c r="G68" s="798"/>
      <c r="H68" s="799"/>
      <c r="I68" s="230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90"/>
      <c r="E69" s="912"/>
      <c r="F69" s="913">
        <f t="shared" si="0"/>
        <v>0</v>
      </c>
      <c r="G69" s="798"/>
      <c r="H69" s="799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90"/>
      <c r="E70" s="912"/>
      <c r="F70" s="913">
        <f t="shared" si="0"/>
        <v>0</v>
      </c>
      <c r="G70" s="798"/>
      <c r="H70" s="799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90"/>
      <c r="E71" s="912"/>
      <c r="F71" s="913">
        <f t="shared" si="0"/>
        <v>0</v>
      </c>
      <c r="G71" s="798"/>
      <c r="H71" s="799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90"/>
      <c r="E72" s="912"/>
      <c r="F72" s="913">
        <f t="shared" si="0"/>
        <v>0</v>
      </c>
      <c r="G72" s="798"/>
      <c r="H72" s="799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90"/>
      <c r="E73" s="912"/>
      <c r="F73" s="913">
        <f t="shared" si="0"/>
        <v>0</v>
      </c>
      <c r="G73" s="798"/>
      <c r="H73" s="799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803">
        <f t="shared" si="3"/>
        <v>0</v>
      </c>
      <c r="E74" s="914"/>
      <c r="F74" s="915">
        <f t="shared" si="0"/>
        <v>0</v>
      </c>
      <c r="G74" s="804"/>
      <c r="H74" s="916"/>
      <c r="I74" s="676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89" t="s">
        <v>21</v>
      </c>
      <c r="E77" s="1590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97"/>
      <c r="B5" s="1594"/>
      <c r="C5" s="357"/>
      <c r="D5" s="130"/>
      <c r="E5" s="766"/>
      <c r="F5" s="61"/>
      <c r="G5" s="5"/>
    </row>
    <row r="6" spans="1:9" x14ac:dyDescent="0.25">
      <c r="A6" s="1597"/>
      <c r="B6" s="159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5" t="s">
        <v>11</v>
      </c>
      <c r="D83" s="159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93" t="s">
        <v>333</v>
      </c>
      <c r="B1" s="1593"/>
      <c r="C1" s="1593"/>
      <c r="D1" s="1593"/>
      <c r="E1" s="1593"/>
      <c r="F1" s="1593"/>
      <c r="G1" s="1593"/>
      <c r="H1" s="159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72" t="s">
        <v>442</v>
      </c>
      <c r="D4" s="152">
        <v>40</v>
      </c>
      <c r="E4" s="1626">
        <v>45198</v>
      </c>
      <c r="F4" s="1165">
        <v>23.5</v>
      </c>
      <c r="G4" s="72">
        <v>1</v>
      </c>
      <c r="H4" s="38"/>
    </row>
    <row r="5" spans="1:11" ht="15" customHeight="1" x14ac:dyDescent="0.25">
      <c r="A5" s="1525" t="s">
        <v>180</v>
      </c>
      <c r="B5" s="72"/>
      <c r="C5" s="72" t="s">
        <v>443</v>
      </c>
      <c r="D5" s="152">
        <v>40</v>
      </c>
      <c r="E5" s="1627"/>
      <c r="F5" s="1165">
        <v>47.22</v>
      </c>
      <c r="G5" s="72">
        <v>2</v>
      </c>
      <c r="H5" s="38"/>
    </row>
    <row r="6" spans="1:11" ht="15" customHeight="1" x14ac:dyDescent="0.25">
      <c r="A6" s="1526"/>
      <c r="B6" s="72"/>
      <c r="C6" s="72" t="s">
        <v>444</v>
      </c>
      <c r="D6" s="152">
        <v>40</v>
      </c>
      <c r="E6" s="1627"/>
      <c r="F6" s="1165">
        <v>15.79</v>
      </c>
      <c r="G6" s="72">
        <v>1</v>
      </c>
      <c r="H6" s="38"/>
    </row>
    <row r="7" spans="1:11" ht="15.75" customHeight="1" x14ac:dyDescent="0.25">
      <c r="A7" s="1526"/>
      <c r="B7" s="1331"/>
      <c r="C7" s="481" t="s">
        <v>445</v>
      </c>
      <c r="D7" s="152">
        <v>40</v>
      </c>
      <c r="E7" s="1627"/>
      <c r="F7" s="1165">
        <v>94.87</v>
      </c>
      <c r="G7" s="72">
        <v>4</v>
      </c>
      <c r="H7" s="87">
        <f>G32</f>
        <v>617.99</v>
      </c>
      <c r="I7" s="150">
        <f>F4+F5+F6+F7+F8+F9</f>
        <v>617.99</v>
      </c>
    </row>
    <row r="8" spans="1:11" ht="16.5" thickBot="1" x14ac:dyDescent="0.3">
      <c r="A8" s="1527"/>
      <c r="B8" s="1331"/>
      <c r="C8" s="481" t="s">
        <v>446</v>
      </c>
      <c r="D8" s="152">
        <v>40</v>
      </c>
      <c r="E8" s="1627"/>
      <c r="F8" s="1165">
        <v>354.39</v>
      </c>
      <c r="G8" s="72">
        <v>13</v>
      </c>
      <c r="H8" s="322"/>
    </row>
    <row r="9" spans="1:11" ht="15.75" thickBot="1" x14ac:dyDescent="0.3">
      <c r="B9" s="1332"/>
      <c r="C9" s="481" t="s">
        <v>447</v>
      </c>
      <c r="D9" s="152">
        <v>40</v>
      </c>
      <c r="E9" s="1628"/>
      <c r="F9" s="1165">
        <v>82.22</v>
      </c>
      <c r="G9" s="72">
        <v>3</v>
      </c>
    </row>
    <row r="10" spans="1:11" ht="17.25" thickTop="1" thickBot="1" x14ac:dyDescent="0.3">
      <c r="B10" s="379"/>
      <c r="C10" s="379" t="s">
        <v>7</v>
      </c>
      <c r="D10" s="1334" t="s">
        <v>8</v>
      </c>
      <c r="E10" s="381" t="s">
        <v>17</v>
      </c>
      <c r="F10" s="382" t="s">
        <v>2</v>
      </c>
      <c r="G10" s="383" t="s">
        <v>18</v>
      </c>
      <c r="H10" s="378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24</v>
      </c>
      <c r="C11" s="82"/>
      <c r="D11" s="1335">
        <v>1</v>
      </c>
      <c r="E11" s="974">
        <v>23.5</v>
      </c>
      <c r="F11" s="386">
        <v>45198</v>
      </c>
      <c r="G11" s="387">
        <f>E11</f>
        <v>23.5</v>
      </c>
      <c r="H11" s="963" t="s">
        <v>758</v>
      </c>
      <c r="I11" s="70">
        <v>41</v>
      </c>
      <c r="J11" s="966">
        <f>F4+F7+F8+F9-G11+F6+F5</f>
        <v>594.49</v>
      </c>
      <c r="K11" s="947">
        <f>I11*G11</f>
        <v>963.5</v>
      </c>
    </row>
    <row r="12" spans="1:11" ht="16.5" thickTop="1" thickBot="1" x14ac:dyDescent="0.3">
      <c r="B12" s="958">
        <f>B11-D12</f>
        <v>22</v>
      </c>
      <c r="C12" s="174"/>
      <c r="D12" s="1335">
        <v>2</v>
      </c>
      <c r="E12" s="1333">
        <v>47.22</v>
      </c>
      <c r="F12" s="965">
        <v>45198</v>
      </c>
      <c r="G12" s="961">
        <f>E12</f>
        <v>47.22</v>
      </c>
      <c r="H12" s="963" t="s">
        <v>758</v>
      </c>
      <c r="I12" s="960">
        <v>41</v>
      </c>
      <c r="J12" s="966">
        <f>J11-G12</f>
        <v>547.27</v>
      </c>
      <c r="K12" s="947">
        <f t="shared" ref="K12:K30" si="0">I12*G12</f>
        <v>1936.02</v>
      </c>
    </row>
    <row r="13" spans="1:11" ht="16.5" thickTop="1" thickBot="1" x14ac:dyDescent="0.3">
      <c r="B13" s="958">
        <f t="shared" ref="B13:B21" si="1">B12-D13</f>
        <v>21</v>
      </c>
      <c r="C13" s="174"/>
      <c r="D13" s="1335">
        <v>1</v>
      </c>
      <c r="E13" s="1333">
        <v>15.79</v>
      </c>
      <c r="F13" s="965">
        <v>45198</v>
      </c>
      <c r="G13" s="961">
        <f t="shared" ref="G13:G31" si="2">E13</f>
        <v>15.79</v>
      </c>
      <c r="H13" s="963" t="s">
        <v>758</v>
      </c>
      <c r="I13" s="960">
        <v>41</v>
      </c>
      <c r="J13" s="966">
        <f t="shared" ref="J13:J21" si="3">J12-G13</f>
        <v>531.48</v>
      </c>
      <c r="K13" s="947">
        <f t="shared" si="0"/>
        <v>647.39</v>
      </c>
    </row>
    <row r="14" spans="1:11" ht="16.5" thickTop="1" thickBot="1" x14ac:dyDescent="0.3">
      <c r="A14" s="54" t="s">
        <v>33</v>
      </c>
      <c r="B14" s="958">
        <f t="shared" si="1"/>
        <v>17</v>
      </c>
      <c r="C14" s="174"/>
      <c r="D14" s="1335">
        <v>4</v>
      </c>
      <c r="E14" s="1333">
        <v>94.87</v>
      </c>
      <c r="F14" s="965">
        <v>45198</v>
      </c>
      <c r="G14" s="961">
        <f t="shared" si="2"/>
        <v>94.87</v>
      </c>
      <c r="H14" s="963" t="s">
        <v>758</v>
      </c>
      <c r="I14" s="960">
        <v>41</v>
      </c>
      <c r="J14" s="966">
        <f t="shared" si="3"/>
        <v>436.61</v>
      </c>
      <c r="K14" s="947">
        <f t="shared" si="0"/>
        <v>3889.67</v>
      </c>
    </row>
    <row r="15" spans="1:11" ht="16.5" thickTop="1" thickBot="1" x14ac:dyDescent="0.3">
      <c r="B15" s="958">
        <f t="shared" si="1"/>
        <v>4</v>
      </c>
      <c r="C15" s="174"/>
      <c r="D15" s="1335">
        <v>13</v>
      </c>
      <c r="E15" s="1333">
        <v>354.39</v>
      </c>
      <c r="F15" s="965">
        <v>45198</v>
      </c>
      <c r="G15" s="961">
        <f t="shared" si="2"/>
        <v>354.39</v>
      </c>
      <c r="H15" s="963" t="s">
        <v>758</v>
      </c>
      <c r="I15" s="960">
        <v>41</v>
      </c>
      <c r="J15" s="966">
        <f t="shared" si="3"/>
        <v>82.220000000000027</v>
      </c>
      <c r="K15" s="947">
        <f t="shared" si="0"/>
        <v>14529.99</v>
      </c>
    </row>
    <row r="16" spans="1:11" ht="16.5" thickTop="1" thickBot="1" x14ac:dyDescent="0.3">
      <c r="A16" s="19"/>
      <c r="B16" s="958">
        <f t="shared" si="1"/>
        <v>1</v>
      </c>
      <c r="C16" s="174"/>
      <c r="D16" s="1335">
        <v>3</v>
      </c>
      <c r="E16" s="1333">
        <v>82.22</v>
      </c>
      <c r="F16" s="965">
        <v>45198</v>
      </c>
      <c r="G16" s="961">
        <f t="shared" si="2"/>
        <v>82.22</v>
      </c>
      <c r="H16" s="963" t="s">
        <v>758</v>
      </c>
      <c r="I16" s="960">
        <v>41</v>
      </c>
      <c r="J16" s="966">
        <f t="shared" si="3"/>
        <v>0</v>
      </c>
      <c r="K16" s="947">
        <f t="shared" si="0"/>
        <v>3371.02</v>
      </c>
    </row>
    <row r="17" spans="1:11" ht="15.75" thickTop="1" x14ac:dyDescent="0.25">
      <c r="B17" s="958">
        <f t="shared" si="1"/>
        <v>1</v>
      </c>
      <c r="C17" s="174"/>
      <c r="D17" s="1335"/>
      <c r="E17" s="1333"/>
      <c r="F17" s="965"/>
      <c r="G17" s="961">
        <f t="shared" si="2"/>
        <v>0</v>
      </c>
      <c r="H17" s="963" t="s">
        <v>758</v>
      </c>
      <c r="I17" s="960">
        <v>41</v>
      </c>
      <c r="J17" s="966">
        <f t="shared" si="3"/>
        <v>0</v>
      </c>
      <c r="K17" s="354">
        <f t="shared" si="0"/>
        <v>0</v>
      </c>
    </row>
    <row r="18" spans="1:11" x14ac:dyDescent="0.25">
      <c r="B18" s="958">
        <f t="shared" si="1"/>
        <v>1</v>
      </c>
      <c r="C18" s="174"/>
      <c r="D18" s="1335"/>
      <c r="E18" s="1333"/>
      <c r="F18" s="965"/>
      <c r="G18" s="961">
        <f t="shared" si="2"/>
        <v>0</v>
      </c>
      <c r="H18" s="964"/>
      <c r="I18" s="960"/>
      <c r="J18" s="966">
        <f t="shared" si="3"/>
        <v>0</v>
      </c>
      <c r="K18" s="354">
        <f t="shared" si="0"/>
        <v>0</v>
      </c>
    </row>
    <row r="19" spans="1:11" x14ac:dyDescent="0.25">
      <c r="B19" s="958">
        <f t="shared" si="1"/>
        <v>1</v>
      </c>
      <c r="C19" s="174"/>
      <c r="D19" s="1335"/>
      <c r="E19" s="1333"/>
      <c r="F19" s="965"/>
      <c r="G19" s="961">
        <f t="shared" si="2"/>
        <v>0</v>
      </c>
      <c r="H19" s="964"/>
      <c r="I19" s="960"/>
      <c r="J19" s="966">
        <f t="shared" si="3"/>
        <v>0</v>
      </c>
      <c r="K19" s="354">
        <f t="shared" si="0"/>
        <v>0</v>
      </c>
    </row>
    <row r="20" spans="1:11" x14ac:dyDescent="0.25">
      <c r="B20" s="958">
        <f t="shared" si="1"/>
        <v>1</v>
      </c>
      <c r="C20" s="174"/>
      <c r="D20" s="1335"/>
      <c r="E20" s="1333"/>
      <c r="F20" s="965"/>
      <c r="G20" s="961">
        <f t="shared" si="2"/>
        <v>0</v>
      </c>
      <c r="H20" s="1318"/>
      <c r="I20" s="1319"/>
      <c r="J20" s="1320">
        <f t="shared" si="3"/>
        <v>0</v>
      </c>
      <c r="K20" s="1321">
        <f t="shared" si="0"/>
        <v>0</v>
      </c>
    </row>
    <row r="21" spans="1:11" x14ac:dyDescent="0.25">
      <c r="B21" s="958">
        <f t="shared" si="1"/>
        <v>1</v>
      </c>
      <c r="C21" s="174"/>
      <c r="D21" s="1335"/>
      <c r="E21" s="1333"/>
      <c r="F21" s="965"/>
      <c r="G21" s="961">
        <f t="shared" si="2"/>
        <v>0</v>
      </c>
      <c r="H21" s="1318"/>
      <c r="I21" s="1319"/>
      <c r="J21" s="1320">
        <f t="shared" si="3"/>
        <v>0</v>
      </c>
      <c r="K21" s="1322">
        <f t="shared" si="0"/>
        <v>0</v>
      </c>
    </row>
    <row r="22" spans="1:11" x14ac:dyDescent="0.25">
      <c r="B22" s="88"/>
      <c r="C22" s="88"/>
      <c r="D22" s="1335"/>
      <c r="E22" s="1333"/>
      <c r="F22" s="965"/>
      <c r="G22" s="961">
        <f t="shared" si="2"/>
        <v>0</v>
      </c>
      <c r="H22" s="1318"/>
      <c r="I22" s="1319"/>
      <c r="J22" s="1320">
        <f>J21-G22</f>
        <v>0</v>
      </c>
      <c r="K22" s="1322">
        <f t="shared" si="0"/>
        <v>0</v>
      </c>
    </row>
    <row r="23" spans="1:11" x14ac:dyDescent="0.25">
      <c r="B23" s="88"/>
      <c r="C23" s="88"/>
      <c r="D23" s="1335"/>
      <c r="E23" s="1333"/>
      <c r="F23" s="965"/>
      <c r="G23" s="961">
        <f t="shared" si="2"/>
        <v>0</v>
      </c>
      <c r="H23" s="1318"/>
      <c r="I23" s="1319"/>
      <c r="J23" s="1320">
        <f t="shared" ref="J23:J30" si="4">J22-G23</f>
        <v>0</v>
      </c>
      <c r="K23" s="1322">
        <f t="shared" si="0"/>
        <v>0</v>
      </c>
    </row>
    <row r="24" spans="1:11" x14ac:dyDescent="0.25">
      <c r="B24" s="88"/>
      <c r="C24" s="88"/>
      <c r="D24" s="1335"/>
      <c r="E24" s="1333"/>
      <c r="F24" s="965"/>
      <c r="G24" s="961">
        <f t="shared" si="2"/>
        <v>0</v>
      </c>
      <c r="H24" s="1318"/>
      <c r="I24" s="1319"/>
      <c r="J24" s="1320">
        <f t="shared" si="4"/>
        <v>0</v>
      </c>
      <c r="K24" s="1322">
        <f t="shared" si="0"/>
        <v>0</v>
      </c>
    </row>
    <row r="25" spans="1:11" x14ac:dyDescent="0.25">
      <c r="B25" s="88"/>
      <c r="C25" s="88"/>
      <c r="D25" s="1335"/>
      <c r="E25" s="1333"/>
      <c r="F25" s="965"/>
      <c r="G25" s="961">
        <f t="shared" si="2"/>
        <v>0</v>
      </c>
      <c r="H25" s="964"/>
      <c r="I25" s="960"/>
      <c r="J25" s="966">
        <f t="shared" si="4"/>
        <v>0</v>
      </c>
      <c r="K25" s="947">
        <f t="shared" si="0"/>
        <v>0</v>
      </c>
    </row>
    <row r="26" spans="1:11" x14ac:dyDescent="0.25">
      <c r="B26" s="88"/>
      <c r="C26" s="88"/>
      <c r="D26" s="1335"/>
      <c r="E26" s="1333"/>
      <c r="F26" s="965"/>
      <c r="G26" s="961">
        <f t="shared" si="2"/>
        <v>0</v>
      </c>
      <c r="H26" s="964"/>
      <c r="I26" s="960"/>
      <c r="J26" s="966">
        <f t="shared" si="4"/>
        <v>0</v>
      </c>
      <c r="K26" s="947">
        <f t="shared" si="0"/>
        <v>0</v>
      </c>
    </row>
    <row r="27" spans="1:11" x14ac:dyDescent="0.25">
      <c r="B27" s="88"/>
      <c r="C27" s="88"/>
      <c r="D27" s="1335"/>
      <c r="E27" s="1333"/>
      <c r="F27" s="965"/>
      <c r="G27" s="961">
        <f t="shared" si="2"/>
        <v>0</v>
      </c>
      <c r="H27" s="964"/>
      <c r="I27" s="960"/>
      <c r="J27" s="966">
        <f t="shared" si="4"/>
        <v>0</v>
      </c>
      <c r="K27" s="947">
        <f t="shared" si="0"/>
        <v>0</v>
      </c>
    </row>
    <row r="28" spans="1:11" x14ac:dyDescent="0.25">
      <c r="B28" s="88"/>
      <c r="C28" s="88"/>
      <c r="D28" s="1335"/>
      <c r="E28" s="1333"/>
      <c r="F28" s="965"/>
      <c r="G28" s="961">
        <f t="shared" si="2"/>
        <v>0</v>
      </c>
      <c r="H28" s="964"/>
      <c r="I28" s="960"/>
      <c r="J28" s="966">
        <f t="shared" si="4"/>
        <v>0</v>
      </c>
      <c r="K28" s="947">
        <f t="shared" si="0"/>
        <v>0</v>
      </c>
    </row>
    <row r="29" spans="1:11" x14ac:dyDescent="0.25">
      <c r="B29" s="88"/>
      <c r="C29" s="88"/>
      <c r="D29" s="1335"/>
      <c r="E29" s="1333"/>
      <c r="F29" s="965"/>
      <c r="G29" s="961">
        <f t="shared" si="2"/>
        <v>0</v>
      </c>
      <c r="H29" s="964"/>
      <c r="I29" s="960"/>
      <c r="J29" s="966">
        <f t="shared" si="4"/>
        <v>0</v>
      </c>
      <c r="K29" s="947">
        <f t="shared" si="0"/>
        <v>0</v>
      </c>
    </row>
    <row r="30" spans="1:11" x14ac:dyDescent="0.25">
      <c r="B30" s="88"/>
      <c r="C30" s="88"/>
      <c r="D30" s="319"/>
      <c r="E30" s="959"/>
      <c r="F30" s="965"/>
      <c r="G30" s="961">
        <f t="shared" si="2"/>
        <v>0</v>
      </c>
      <c r="H30" s="964"/>
      <c r="I30" s="960"/>
      <c r="J30" s="966">
        <f t="shared" si="4"/>
        <v>0</v>
      </c>
      <c r="K30" s="947">
        <f t="shared" si="0"/>
        <v>0</v>
      </c>
    </row>
    <row r="31" spans="1:11" ht="15.75" thickBot="1" x14ac:dyDescent="0.3">
      <c r="A31" s="117"/>
      <c r="B31" s="95"/>
      <c r="C31" s="95"/>
      <c r="D31" s="388"/>
      <c r="E31" s="389"/>
      <c r="F31" s="390"/>
      <c r="G31" s="962">
        <f t="shared" si="2"/>
        <v>0</v>
      </c>
      <c r="H31" s="135"/>
      <c r="I31" s="163"/>
      <c r="K31" s="59">
        <f>SUM(K11:K30)</f>
        <v>25337.59</v>
      </c>
    </row>
    <row r="32" spans="1:11" ht="15.75" thickTop="1" x14ac:dyDescent="0.25">
      <c r="A32" s="47">
        <f>SUM(A31:A31)</f>
        <v>0</v>
      </c>
      <c r="D32" s="72">
        <f>SUM(D11:D31)</f>
        <v>24</v>
      </c>
      <c r="E32" s="102">
        <f>SUM(E11:E31)</f>
        <v>617.99</v>
      </c>
      <c r="F32" s="74"/>
      <c r="G32" s="102">
        <f>SUM(G11:G31)</f>
        <v>617.99</v>
      </c>
    </row>
    <row r="33" spans="1:7" ht="15.75" thickBot="1" x14ac:dyDescent="0.3">
      <c r="A33" s="47"/>
    </row>
    <row r="34" spans="1:7" x14ac:dyDescent="0.25">
      <c r="B34" s="5"/>
      <c r="C34" s="5"/>
      <c r="E34" s="1589" t="s">
        <v>21</v>
      </c>
      <c r="F34" s="1590"/>
      <c r="G34" s="137">
        <f>F7-G32+F8+F9+F4</f>
        <v>-63.010000000000019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-3</v>
      </c>
    </row>
    <row r="36" spans="1:7" x14ac:dyDescent="0.25">
      <c r="B36" s="5"/>
      <c r="C36" s="5"/>
    </row>
  </sheetData>
  <mergeCells count="4">
    <mergeCell ref="A1:H1"/>
    <mergeCell ref="E34:F34"/>
    <mergeCell ref="E4:E9"/>
    <mergeCell ref="A5:A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8: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93" t="s">
        <v>333</v>
      </c>
      <c r="B1" s="1593"/>
      <c r="C1" s="1593"/>
      <c r="D1" s="1593"/>
      <c r="E1" s="1593"/>
      <c r="F1" s="1593"/>
      <c r="G1" s="1593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>
        <v>25</v>
      </c>
      <c r="D4" s="145">
        <v>45180</v>
      </c>
      <c r="E4" s="72">
        <v>2728.35</v>
      </c>
      <c r="F4" s="72">
        <v>3</v>
      </c>
      <c r="G4" s="38"/>
    </row>
    <row r="5" spans="1:10" ht="15.75" customHeight="1" x14ac:dyDescent="0.25">
      <c r="A5" s="1598" t="s">
        <v>180</v>
      </c>
      <c r="B5" s="1629" t="s">
        <v>108</v>
      </c>
      <c r="C5" s="152">
        <v>25</v>
      </c>
      <c r="D5" s="145">
        <v>45182</v>
      </c>
      <c r="E5" s="72">
        <v>3706.29</v>
      </c>
      <c r="F5" s="72">
        <v>4</v>
      </c>
      <c r="G5" s="87">
        <f>F30</f>
        <v>7215.74</v>
      </c>
      <c r="H5" s="150">
        <f>E5-G5+E6</f>
        <v>-2728.35</v>
      </c>
    </row>
    <row r="6" spans="1:10" ht="15.75" x14ac:dyDescent="0.25">
      <c r="A6" s="1598"/>
      <c r="B6" s="1629"/>
      <c r="C6" s="152">
        <v>25</v>
      </c>
      <c r="D6" s="145">
        <v>45198</v>
      </c>
      <c r="E6" s="176">
        <v>781.1</v>
      </c>
      <c r="F6" s="72">
        <v>1</v>
      </c>
      <c r="G6" s="322"/>
    </row>
    <row r="7" spans="1:10" ht="15.75" thickBot="1" x14ac:dyDescent="0.3">
      <c r="B7" s="1630"/>
      <c r="C7" s="152"/>
      <c r="D7" s="145"/>
      <c r="E7" s="72"/>
      <c r="F7" s="72"/>
    </row>
    <row r="8" spans="1:10" ht="17.25" thickTop="1" thickBot="1" x14ac:dyDescent="0.3">
      <c r="B8" s="379" t="s">
        <v>7</v>
      </c>
      <c r="C8" s="380" t="s">
        <v>8</v>
      </c>
      <c r="D8" s="381" t="s">
        <v>17</v>
      </c>
      <c r="E8" s="382" t="s">
        <v>2</v>
      </c>
      <c r="F8" s="383" t="s">
        <v>18</v>
      </c>
      <c r="G8" s="378" t="s">
        <v>55</v>
      </c>
      <c r="H8" s="24"/>
    </row>
    <row r="9" spans="1:10" ht="15.75" thickTop="1" x14ac:dyDescent="0.25">
      <c r="A9" s="54" t="s">
        <v>32</v>
      </c>
      <c r="B9" s="82">
        <f>F4+F5+F6+F7-C9</f>
        <v>5</v>
      </c>
      <c r="C9" s="384">
        <v>3</v>
      </c>
      <c r="D9" s="385">
        <v>2728.35</v>
      </c>
      <c r="E9" s="386">
        <v>45180</v>
      </c>
      <c r="F9" s="387">
        <f>D9</f>
        <v>2728.35</v>
      </c>
      <c r="G9" s="963" t="s">
        <v>606</v>
      </c>
      <c r="H9" s="70">
        <v>26</v>
      </c>
      <c r="I9" s="966">
        <f>E4+E5+E6+E7-F9</f>
        <v>4487.3899999999994</v>
      </c>
      <c r="J9" s="947">
        <f>H9*F9</f>
        <v>70937.099999999991</v>
      </c>
    </row>
    <row r="10" spans="1:10" x14ac:dyDescent="0.25">
      <c r="B10" s="958">
        <f>B9-C10</f>
        <v>4</v>
      </c>
      <c r="C10" s="319">
        <v>1</v>
      </c>
      <c r="D10" s="959">
        <v>918.07</v>
      </c>
      <c r="E10" s="965">
        <v>45182</v>
      </c>
      <c r="F10" s="961">
        <f>D10</f>
        <v>918.07</v>
      </c>
      <c r="G10" s="964" t="s">
        <v>632</v>
      </c>
      <c r="H10" s="960">
        <v>26</v>
      </c>
      <c r="I10" s="966">
        <f>I9-F10</f>
        <v>3569.3199999999993</v>
      </c>
      <c r="J10" s="947">
        <f t="shared" ref="J10:J28" si="0">H10*F10</f>
        <v>23869.82</v>
      </c>
    </row>
    <row r="11" spans="1:10" x14ac:dyDescent="0.25">
      <c r="B11" s="958">
        <f t="shared" ref="B11:B19" si="1">B10-C11</f>
        <v>3</v>
      </c>
      <c r="C11" s="319">
        <v>1</v>
      </c>
      <c r="D11" s="959">
        <v>916.71</v>
      </c>
      <c r="E11" s="965">
        <v>45182</v>
      </c>
      <c r="F11" s="961">
        <f t="shared" ref="F11:F29" si="2">D11</f>
        <v>916.71</v>
      </c>
      <c r="G11" s="964" t="s">
        <v>632</v>
      </c>
      <c r="H11" s="960">
        <v>26</v>
      </c>
      <c r="I11" s="966">
        <f t="shared" ref="I11:I19" si="3">I10-F11</f>
        <v>2652.6099999999992</v>
      </c>
      <c r="J11" s="947">
        <f t="shared" si="0"/>
        <v>23834.46</v>
      </c>
    </row>
    <row r="12" spans="1:10" x14ac:dyDescent="0.25">
      <c r="A12" s="54" t="s">
        <v>33</v>
      </c>
      <c r="B12" s="958">
        <f t="shared" si="1"/>
        <v>2</v>
      </c>
      <c r="C12" s="319">
        <v>1</v>
      </c>
      <c r="D12" s="959">
        <v>957.53</v>
      </c>
      <c r="E12" s="965">
        <v>45182</v>
      </c>
      <c r="F12" s="961">
        <f t="shared" si="2"/>
        <v>957.53</v>
      </c>
      <c r="G12" s="964" t="s">
        <v>632</v>
      </c>
      <c r="H12" s="960">
        <v>26</v>
      </c>
      <c r="I12" s="966">
        <f t="shared" si="3"/>
        <v>1695.0799999999992</v>
      </c>
      <c r="J12" s="947">
        <f t="shared" si="0"/>
        <v>24895.78</v>
      </c>
    </row>
    <row r="13" spans="1:10" x14ac:dyDescent="0.25">
      <c r="B13" s="958">
        <f t="shared" si="1"/>
        <v>1</v>
      </c>
      <c r="C13" s="319">
        <v>1</v>
      </c>
      <c r="D13" s="959">
        <v>913.96</v>
      </c>
      <c r="E13" s="965">
        <v>45182</v>
      </c>
      <c r="F13" s="961">
        <f t="shared" si="2"/>
        <v>913.96</v>
      </c>
      <c r="G13" s="964" t="s">
        <v>632</v>
      </c>
      <c r="H13" s="960">
        <v>26</v>
      </c>
      <c r="I13" s="966">
        <f t="shared" si="3"/>
        <v>781.11999999999921</v>
      </c>
      <c r="J13" s="947">
        <f t="shared" si="0"/>
        <v>23762.959999999999</v>
      </c>
    </row>
    <row r="14" spans="1:10" x14ac:dyDescent="0.25">
      <c r="A14" s="19"/>
      <c r="B14" s="958">
        <f t="shared" si="1"/>
        <v>0</v>
      </c>
      <c r="C14" s="319">
        <v>1</v>
      </c>
      <c r="D14" s="959">
        <v>781.12</v>
      </c>
      <c r="E14" s="965">
        <v>45198</v>
      </c>
      <c r="F14" s="961">
        <f t="shared" si="2"/>
        <v>781.12</v>
      </c>
      <c r="G14" s="964" t="s">
        <v>764</v>
      </c>
      <c r="H14" s="960">
        <v>26</v>
      </c>
      <c r="I14" s="966">
        <f t="shared" si="3"/>
        <v>0</v>
      </c>
      <c r="J14" s="947">
        <f t="shared" si="0"/>
        <v>20309.12</v>
      </c>
    </row>
    <row r="15" spans="1:10" x14ac:dyDescent="0.25">
      <c r="B15" s="958">
        <f t="shared" si="1"/>
        <v>0</v>
      </c>
      <c r="C15" s="319"/>
      <c r="D15" s="959"/>
      <c r="E15" s="965"/>
      <c r="F15" s="961">
        <f t="shared" si="2"/>
        <v>0</v>
      </c>
      <c r="G15" s="964"/>
      <c r="H15" s="960"/>
      <c r="I15" s="966">
        <f t="shared" si="3"/>
        <v>0</v>
      </c>
      <c r="J15" s="354">
        <f t="shared" si="0"/>
        <v>0</v>
      </c>
    </row>
    <row r="16" spans="1:10" x14ac:dyDescent="0.25">
      <c r="B16" s="958">
        <f t="shared" si="1"/>
        <v>0</v>
      </c>
      <c r="C16" s="319"/>
      <c r="D16" s="959"/>
      <c r="E16" s="965"/>
      <c r="F16" s="961">
        <f t="shared" si="2"/>
        <v>0</v>
      </c>
      <c r="G16" s="1318"/>
      <c r="H16" s="1319"/>
      <c r="I16" s="1320">
        <f t="shared" si="3"/>
        <v>0</v>
      </c>
      <c r="J16" s="1321">
        <f t="shared" si="0"/>
        <v>0</v>
      </c>
    </row>
    <row r="17" spans="1:10" x14ac:dyDescent="0.25">
      <c r="B17" s="958">
        <f t="shared" si="1"/>
        <v>0</v>
      </c>
      <c r="C17" s="319"/>
      <c r="D17" s="959"/>
      <c r="E17" s="965"/>
      <c r="F17" s="961">
        <f t="shared" si="2"/>
        <v>0</v>
      </c>
      <c r="G17" s="1318"/>
      <c r="H17" s="1319"/>
      <c r="I17" s="1320">
        <f t="shared" si="3"/>
        <v>0</v>
      </c>
      <c r="J17" s="1321">
        <f t="shared" si="0"/>
        <v>0</v>
      </c>
    </row>
    <row r="18" spans="1:10" x14ac:dyDescent="0.25">
      <c r="B18" s="958">
        <f t="shared" si="1"/>
        <v>0</v>
      </c>
      <c r="C18" s="319"/>
      <c r="D18" s="959"/>
      <c r="E18" s="965"/>
      <c r="F18" s="961">
        <f t="shared" si="2"/>
        <v>0</v>
      </c>
      <c r="G18" s="1318"/>
      <c r="H18" s="1319"/>
      <c r="I18" s="1320">
        <f t="shared" si="3"/>
        <v>0</v>
      </c>
      <c r="J18" s="1321">
        <f t="shared" si="0"/>
        <v>0</v>
      </c>
    </row>
    <row r="19" spans="1:10" x14ac:dyDescent="0.25">
      <c r="B19" s="958">
        <f t="shared" si="1"/>
        <v>0</v>
      </c>
      <c r="C19" s="319"/>
      <c r="D19" s="959"/>
      <c r="E19" s="965"/>
      <c r="F19" s="961">
        <f t="shared" si="2"/>
        <v>0</v>
      </c>
      <c r="G19" s="1318"/>
      <c r="H19" s="1319"/>
      <c r="I19" s="1320">
        <f t="shared" si="3"/>
        <v>0</v>
      </c>
      <c r="J19" s="1322">
        <f t="shared" si="0"/>
        <v>0</v>
      </c>
    </row>
    <row r="20" spans="1:10" x14ac:dyDescent="0.25">
      <c r="B20" s="88"/>
      <c r="C20" s="319"/>
      <c r="D20" s="959"/>
      <c r="E20" s="965"/>
      <c r="F20" s="961">
        <f t="shared" si="2"/>
        <v>0</v>
      </c>
      <c r="G20" s="964"/>
      <c r="H20" s="960"/>
      <c r="I20" s="966">
        <f>I19-F20</f>
        <v>0</v>
      </c>
      <c r="J20" s="947">
        <f t="shared" si="0"/>
        <v>0</v>
      </c>
    </row>
    <row r="21" spans="1:10" x14ac:dyDescent="0.25">
      <c r="B21" s="88"/>
      <c r="C21" s="319"/>
      <c r="D21" s="959"/>
      <c r="E21" s="965"/>
      <c r="F21" s="961">
        <f t="shared" si="2"/>
        <v>0</v>
      </c>
      <c r="G21" s="964"/>
      <c r="H21" s="960"/>
      <c r="I21" s="966">
        <f t="shared" ref="I21:I28" si="4">I20-F21</f>
        <v>0</v>
      </c>
      <c r="J21" s="947">
        <f t="shared" si="0"/>
        <v>0</v>
      </c>
    </row>
    <row r="22" spans="1:10" x14ac:dyDescent="0.25">
      <c r="B22" s="88"/>
      <c r="C22" s="319"/>
      <c r="D22" s="959"/>
      <c r="E22" s="965"/>
      <c r="F22" s="961">
        <f t="shared" si="2"/>
        <v>0</v>
      </c>
      <c r="G22" s="964"/>
      <c r="H22" s="960"/>
      <c r="I22" s="966">
        <f t="shared" si="4"/>
        <v>0</v>
      </c>
      <c r="J22" s="947">
        <f t="shared" si="0"/>
        <v>0</v>
      </c>
    </row>
    <row r="23" spans="1:10" x14ac:dyDescent="0.25">
      <c r="B23" s="88"/>
      <c r="C23" s="319"/>
      <c r="D23" s="959"/>
      <c r="E23" s="965"/>
      <c r="F23" s="961">
        <f t="shared" si="2"/>
        <v>0</v>
      </c>
      <c r="G23" s="964"/>
      <c r="H23" s="960"/>
      <c r="I23" s="966">
        <f t="shared" si="4"/>
        <v>0</v>
      </c>
      <c r="J23" s="947">
        <f t="shared" si="0"/>
        <v>0</v>
      </c>
    </row>
    <row r="24" spans="1:10" x14ac:dyDescent="0.25">
      <c r="B24" s="88"/>
      <c r="C24" s="319"/>
      <c r="D24" s="959"/>
      <c r="E24" s="965"/>
      <c r="F24" s="961">
        <f t="shared" si="2"/>
        <v>0</v>
      </c>
      <c r="G24" s="964"/>
      <c r="H24" s="960"/>
      <c r="I24" s="966">
        <f t="shared" si="4"/>
        <v>0</v>
      </c>
      <c r="J24" s="947">
        <f t="shared" si="0"/>
        <v>0</v>
      </c>
    </row>
    <row r="25" spans="1:10" x14ac:dyDescent="0.25">
      <c r="B25" s="88"/>
      <c r="C25" s="319"/>
      <c r="D25" s="959"/>
      <c r="E25" s="965"/>
      <c r="F25" s="961">
        <f t="shared" si="2"/>
        <v>0</v>
      </c>
      <c r="G25" s="964"/>
      <c r="H25" s="960"/>
      <c r="I25" s="966">
        <f t="shared" si="4"/>
        <v>0</v>
      </c>
      <c r="J25" s="947">
        <f t="shared" si="0"/>
        <v>0</v>
      </c>
    </row>
    <row r="26" spans="1:10" x14ac:dyDescent="0.25">
      <c r="B26" s="88"/>
      <c r="C26" s="319"/>
      <c r="D26" s="959"/>
      <c r="E26" s="965"/>
      <c r="F26" s="961">
        <f t="shared" si="2"/>
        <v>0</v>
      </c>
      <c r="G26" s="964"/>
      <c r="H26" s="960"/>
      <c r="I26" s="966">
        <f t="shared" si="4"/>
        <v>0</v>
      </c>
      <c r="J26" s="947">
        <f t="shared" si="0"/>
        <v>0</v>
      </c>
    </row>
    <row r="27" spans="1:10" x14ac:dyDescent="0.25">
      <c r="B27" s="88"/>
      <c r="C27" s="319"/>
      <c r="D27" s="959"/>
      <c r="E27" s="965"/>
      <c r="F27" s="961">
        <f t="shared" si="2"/>
        <v>0</v>
      </c>
      <c r="G27" s="964"/>
      <c r="H27" s="960"/>
      <c r="I27" s="966">
        <f t="shared" si="4"/>
        <v>0</v>
      </c>
      <c r="J27" s="947">
        <f t="shared" si="0"/>
        <v>0</v>
      </c>
    </row>
    <row r="28" spans="1:10" x14ac:dyDescent="0.25">
      <c r="B28" s="88"/>
      <c r="C28" s="319"/>
      <c r="D28" s="959"/>
      <c r="E28" s="965"/>
      <c r="F28" s="961">
        <f t="shared" si="2"/>
        <v>0</v>
      </c>
      <c r="G28" s="964"/>
      <c r="H28" s="960"/>
      <c r="I28" s="966">
        <f t="shared" si="4"/>
        <v>0</v>
      </c>
      <c r="J28" s="947">
        <f t="shared" si="0"/>
        <v>0</v>
      </c>
    </row>
    <row r="29" spans="1:10" ht="15.75" thickBot="1" x14ac:dyDescent="0.3">
      <c r="A29" s="117"/>
      <c r="B29" s="95"/>
      <c r="C29" s="388"/>
      <c r="D29" s="389"/>
      <c r="E29" s="390"/>
      <c r="F29" s="962">
        <f t="shared" si="2"/>
        <v>0</v>
      </c>
      <c r="G29" s="135"/>
      <c r="H29" s="163"/>
      <c r="J29" s="59">
        <f>SUM(J9:J28)</f>
        <v>187609.23999999996</v>
      </c>
    </row>
    <row r="30" spans="1:10" ht="15.75" thickTop="1" x14ac:dyDescent="0.25">
      <c r="A30" s="47">
        <f>SUM(A29:A29)</f>
        <v>0</v>
      </c>
      <c r="C30" s="72">
        <f>SUM(C9:C29)</f>
        <v>8</v>
      </c>
      <c r="D30" s="102">
        <f>SUM(D9:D29)</f>
        <v>7215.74</v>
      </c>
      <c r="E30" s="74"/>
      <c r="F30" s="102">
        <f>SUM(F9:F29)</f>
        <v>7215.74</v>
      </c>
    </row>
    <row r="31" spans="1:10" ht="15.75" thickBot="1" x14ac:dyDescent="0.3">
      <c r="A31" s="47"/>
    </row>
    <row r="32" spans="1:10" x14ac:dyDescent="0.25">
      <c r="B32" s="5"/>
      <c r="D32" s="1589" t="s">
        <v>21</v>
      </c>
      <c r="E32" s="1590"/>
      <c r="F32" s="137">
        <f>E5-F30+E6+E7+E4</f>
        <v>0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31" sqref="D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607" t="s">
        <v>312</v>
      </c>
      <c r="B1" s="1607"/>
      <c r="C1" s="1607"/>
      <c r="D1" s="1607"/>
      <c r="E1" s="1607"/>
      <c r="F1" s="1607"/>
      <c r="G1" s="16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977">
        <v>63</v>
      </c>
      <c r="D4" s="130">
        <v>45141</v>
      </c>
      <c r="E4" s="430">
        <v>562.75</v>
      </c>
      <c r="F4" s="72">
        <v>17</v>
      </c>
      <c r="G4" s="151"/>
      <c r="H4" s="151"/>
    </row>
    <row r="5" spans="1:9" ht="15" customHeight="1" x14ac:dyDescent="0.25">
      <c r="A5" s="1631" t="s">
        <v>95</v>
      </c>
      <c r="B5" s="1632" t="s">
        <v>96</v>
      </c>
      <c r="C5" s="977">
        <v>66</v>
      </c>
      <c r="D5" s="130">
        <v>45154</v>
      </c>
      <c r="E5" s="702">
        <v>632.07000000000005</v>
      </c>
      <c r="F5" s="72">
        <v>20</v>
      </c>
      <c r="G5" s="224"/>
    </row>
    <row r="6" spans="1:9" ht="15.75" customHeight="1" x14ac:dyDescent="0.25">
      <c r="A6" s="1631"/>
      <c r="B6" s="1632"/>
      <c r="C6" s="978">
        <v>65</v>
      </c>
      <c r="D6" s="130">
        <v>45164</v>
      </c>
      <c r="E6" s="976">
        <v>1357.52</v>
      </c>
      <c r="F6" s="133">
        <v>40</v>
      </c>
      <c r="G6" s="87">
        <f>F39</f>
        <v>2552.34</v>
      </c>
      <c r="H6" s="7">
        <f>E6-G6+E5+E7+E4</f>
        <v>0</v>
      </c>
    </row>
    <row r="7" spans="1:9" ht="16.5" thickBot="1" x14ac:dyDescent="0.3">
      <c r="B7" s="481"/>
      <c r="C7" s="986"/>
      <c r="D7" s="987"/>
      <c r="E7" s="988"/>
      <c r="F7" s="989"/>
      <c r="G7" s="990"/>
    </row>
    <row r="8" spans="1:9" ht="30" customHeight="1" thickTop="1" thickBot="1" x14ac:dyDescent="0.3">
      <c r="B8" s="991" t="s">
        <v>7</v>
      </c>
      <c r="C8" s="992" t="s">
        <v>8</v>
      </c>
      <c r="D8" s="993" t="s">
        <v>17</v>
      </c>
      <c r="E8" s="994" t="s">
        <v>2</v>
      </c>
      <c r="F8" s="995" t="s">
        <v>18</v>
      </c>
      <c r="G8" s="994" t="s">
        <v>15</v>
      </c>
      <c r="H8" s="996"/>
    </row>
    <row r="9" spans="1:9" ht="15.75" thickTop="1" x14ac:dyDescent="0.25">
      <c r="A9" s="54" t="s">
        <v>32</v>
      </c>
      <c r="B9" s="376">
        <f>F5+F6+F7-C9+F4</f>
        <v>76</v>
      </c>
      <c r="C9" s="72">
        <v>1</v>
      </c>
      <c r="D9" s="68">
        <v>32.880000000000003</v>
      </c>
      <c r="E9" s="231">
        <v>45143</v>
      </c>
      <c r="F9" s="102">
        <f t="shared" ref="F9:F38" si="0">D9</f>
        <v>32.880000000000003</v>
      </c>
      <c r="G9" s="69" t="s">
        <v>208</v>
      </c>
      <c r="H9" s="70">
        <v>65</v>
      </c>
      <c r="I9" s="128">
        <f>E5+E6+E7-F9+E4</f>
        <v>2519.46</v>
      </c>
    </row>
    <row r="10" spans="1:9" x14ac:dyDescent="0.25">
      <c r="B10" s="376">
        <f>B9-C10</f>
        <v>75</v>
      </c>
      <c r="C10" s="72">
        <v>1</v>
      </c>
      <c r="D10" s="68">
        <v>33.979999999999997</v>
      </c>
      <c r="E10" s="231">
        <v>45143</v>
      </c>
      <c r="F10" s="102">
        <f t="shared" si="0"/>
        <v>33.979999999999997</v>
      </c>
      <c r="G10" s="69" t="s">
        <v>209</v>
      </c>
      <c r="H10" s="70">
        <v>65</v>
      </c>
      <c r="I10" s="128">
        <f>I9-F10</f>
        <v>2485.48</v>
      </c>
    </row>
    <row r="11" spans="1:9" x14ac:dyDescent="0.25">
      <c r="B11" s="376">
        <f>B10-C11</f>
        <v>74</v>
      </c>
      <c r="C11" s="72">
        <v>1</v>
      </c>
      <c r="D11" s="68">
        <v>30.79</v>
      </c>
      <c r="E11" s="231">
        <v>45145</v>
      </c>
      <c r="F11" s="102">
        <f t="shared" si="0"/>
        <v>30.79</v>
      </c>
      <c r="G11" s="69" t="s">
        <v>210</v>
      </c>
      <c r="H11" s="70">
        <v>65</v>
      </c>
      <c r="I11" s="128">
        <f t="shared" ref="I11:I38" si="1">I10-F11</f>
        <v>2454.69</v>
      </c>
    </row>
    <row r="12" spans="1:9" x14ac:dyDescent="0.25">
      <c r="A12" s="54" t="s">
        <v>33</v>
      </c>
      <c r="B12" s="376">
        <f t="shared" ref="B12:B14" si="2">B11-C12</f>
        <v>68</v>
      </c>
      <c r="C12" s="72">
        <v>6</v>
      </c>
      <c r="D12" s="68">
        <v>196.4</v>
      </c>
      <c r="E12" s="231">
        <v>45145</v>
      </c>
      <c r="F12" s="102">
        <f t="shared" si="0"/>
        <v>196.4</v>
      </c>
      <c r="G12" s="69" t="s">
        <v>204</v>
      </c>
      <c r="H12" s="70">
        <v>65</v>
      </c>
      <c r="I12" s="128">
        <f t="shared" si="1"/>
        <v>2258.29</v>
      </c>
    </row>
    <row r="13" spans="1:9" x14ac:dyDescent="0.25">
      <c r="B13" s="376">
        <f t="shared" si="2"/>
        <v>60</v>
      </c>
      <c r="C13" s="72">
        <v>8</v>
      </c>
      <c r="D13" s="68">
        <v>268.7</v>
      </c>
      <c r="E13" s="231">
        <v>45145</v>
      </c>
      <c r="F13" s="102">
        <f t="shared" si="0"/>
        <v>268.7</v>
      </c>
      <c r="G13" s="69" t="s">
        <v>211</v>
      </c>
      <c r="H13" s="70">
        <v>63</v>
      </c>
      <c r="I13" s="128">
        <f t="shared" si="1"/>
        <v>1989.59</v>
      </c>
    </row>
    <row r="14" spans="1:9" x14ac:dyDescent="0.25">
      <c r="A14" s="19"/>
      <c r="B14" s="376">
        <f t="shared" si="2"/>
        <v>60</v>
      </c>
      <c r="C14" s="72"/>
      <c r="D14" s="68"/>
      <c r="E14" s="231"/>
      <c r="F14" s="102">
        <f t="shared" si="0"/>
        <v>0</v>
      </c>
      <c r="G14" s="69"/>
      <c r="H14" s="70"/>
      <c r="I14" s="128">
        <f t="shared" si="1"/>
        <v>1989.59</v>
      </c>
    </row>
    <row r="15" spans="1:9" x14ac:dyDescent="0.25">
      <c r="B15" s="376">
        <f>B14-C15</f>
        <v>57</v>
      </c>
      <c r="C15" s="72">
        <v>3</v>
      </c>
      <c r="D15" s="980">
        <v>63.72</v>
      </c>
      <c r="E15" s="982">
        <v>45150</v>
      </c>
      <c r="F15" s="309">
        <f t="shared" si="0"/>
        <v>63.72</v>
      </c>
      <c r="G15" s="981" t="s">
        <v>203</v>
      </c>
      <c r="H15" s="70">
        <v>65</v>
      </c>
      <c r="I15" s="128">
        <f t="shared" si="1"/>
        <v>1925.87</v>
      </c>
    </row>
    <row r="16" spans="1:9" x14ac:dyDescent="0.25">
      <c r="B16" s="376">
        <f t="shared" ref="B16:B38" si="3">B15-C16</f>
        <v>47</v>
      </c>
      <c r="C16" s="72">
        <v>10</v>
      </c>
      <c r="D16" s="68">
        <v>317.44</v>
      </c>
      <c r="E16" s="231">
        <v>45154</v>
      </c>
      <c r="F16" s="102">
        <f t="shared" si="0"/>
        <v>317.44</v>
      </c>
      <c r="G16" s="69" t="s">
        <v>236</v>
      </c>
      <c r="H16" s="70">
        <v>66</v>
      </c>
      <c r="I16" s="128">
        <f t="shared" si="1"/>
        <v>1608.4299999999998</v>
      </c>
    </row>
    <row r="17" spans="2:9" x14ac:dyDescent="0.25">
      <c r="B17" s="376">
        <f t="shared" si="3"/>
        <v>46</v>
      </c>
      <c r="C17" s="72">
        <v>1</v>
      </c>
      <c r="D17" s="68">
        <v>30.88</v>
      </c>
      <c r="E17" s="231">
        <v>45155</v>
      </c>
      <c r="F17" s="102">
        <f t="shared" si="0"/>
        <v>30.88</v>
      </c>
      <c r="G17" s="69" t="s">
        <v>238</v>
      </c>
      <c r="H17" s="70">
        <v>68</v>
      </c>
      <c r="I17" s="128">
        <f t="shared" si="1"/>
        <v>1577.5499999999997</v>
      </c>
    </row>
    <row r="18" spans="2:9" x14ac:dyDescent="0.25">
      <c r="B18" s="376">
        <f t="shared" si="3"/>
        <v>40</v>
      </c>
      <c r="C18" s="72">
        <v>6</v>
      </c>
      <c r="D18" s="68">
        <v>191.55</v>
      </c>
      <c r="E18" s="231">
        <v>45155</v>
      </c>
      <c r="F18" s="102">
        <f t="shared" si="0"/>
        <v>191.55</v>
      </c>
      <c r="G18" s="69" t="s">
        <v>232</v>
      </c>
      <c r="H18" s="70">
        <v>68</v>
      </c>
      <c r="I18" s="128">
        <f t="shared" si="1"/>
        <v>1385.9999999999998</v>
      </c>
    </row>
    <row r="19" spans="2:9" x14ac:dyDescent="0.25">
      <c r="B19" s="376">
        <f t="shared" si="3"/>
        <v>37</v>
      </c>
      <c r="C19" s="72">
        <v>3</v>
      </c>
      <c r="D19" s="68">
        <v>92.2</v>
      </c>
      <c r="E19" s="231">
        <v>45157</v>
      </c>
      <c r="F19" s="102">
        <f t="shared" si="0"/>
        <v>92.2</v>
      </c>
      <c r="G19" s="69" t="s">
        <v>247</v>
      </c>
      <c r="H19" s="70">
        <v>66</v>
      </c>
      <c r="I19" s="128">
        <f t="shared" si="1"/>
        <v>1293.7999999999997</v>
      </c>
    </row>
    <row r="20" spans="2:9" x14ac:dyDescent="0.25">
      <c r="B20" s="376">
        <f t="shared" si="3"/>
        <v>17</v>
      </c>
      <c r="C20" s="72">
        <v>20</v>
      </c>
      <c r="D20" s="68">
        <v>699.54</v>
      </c>
      <c r="E20" s="231">
        <v>45164</v>
      </c>
      <c r="F20" s="102">
        <f t="shared" si="0"/>
        <v>699.54</v>
      </c>
      <c r="G20" s="69" t="s">
        <v>266</v>
      </c>
      <c r="H20" s="70">
        <v>65</v>
      </c>
      <c r="I20" s="128">
        <f t="shared" si="1"/>
        <v>594.25999999999976</v>
      </c>
    </row>
    <row r="21" spans="2:9" x14ac:dyDescent="0.25">
      <c r="B21" s="376">
        <f t="shared" si="3"/>
        <v>15</v>
      </c>
      <c r="C21" s="72">
        <v>2</v>
      </c>
      <c r="D21" s="68">
        <v>69.84</v>
      </c>
      <c r="E21" s="231">
        <v>45164</v>
      </c>
      <c r="F21" s="102">
        <f t="shared" si="0"/>
        <v>69.84</v>
      </c>
      <c r="G21" s="69" t="s">
        <v>267</v>
      </c>
      <c r="H21" s="70">
        <v>67</v>
      </c>
      <c r="I21" s="128">
        <f t="shared" si="1"/>
        <v>524.41999999999973</v>
      </c>
    </row>
    <row r="22" spans="2:9" x14ac:dyDescent="0.25">
      <c r="B22" s="376">
        <f t="shared" si="3"/>
        <v>7</v>
      </c>
      <c r="C22" s="72">
        <v>8</v>
      </c>
      <c r="D22" s="68">
        <v>260.99</v>
      </c>
      <c r="E22" s="231">
        <v>45166</v>
      </c>
      <c r="F22" s="102">
        <f t="shared" si="0"/>
        <v>260.99</v>
      </c>
      <c r="G22" s="69" t="s">
        <v>268</v>
      </c>
      <c r="H22" s="70">
        <v>67</v>
      </c>
      <c r="I22" s="128">
        <f t="shared" si="1"/>
        <v>263.42999999999972</v>
      </c>
    </row>
    <row r="23" spans="2:9" x14ac:dyDescent="0.25">
      <c r="B23" s="376">
        <f t="shared" si="3"/>
        <v>1</v>
      </c>
      <c r="C23" s="72">
        <v>6</v>
      </c>
      <c r="D23" s="68">
        <v>199.4</v>
      </c>
      <c r="E23" s="231">
        <v>45169</v>
      </c>
      <c r="F23" s="102">
        <f t="shared" si="0"/>
        <v>199.4</v>
      </c>
      <c r="G23" s="69" t="s">
        <v>284</v>
      </c>
      <c r="H23" s="70">
        <v>67</v>
      </c>
      <c r="I23" s="128">
        <f t="shared" si="1"/>
        <v>64.029999999999717</v>
      </c>
    </row>
    <row r="24" spans="2:9" x14ac:dyDescent="0.25">
      <c r="B24" s="376">
        <f t="shared" si="3"/>
        <v>0</v>
      </c>
      <c r="C24" s="72">
        <v>1</v>
      </c>
      <c r="D24" s="68">
        <v>30.94</v>
      </c>
      <c r="E24" s="917">
        <v>45171</v>
      </c>
      <c r="F24" s="102">
        <f t="shared" si="0"/>
        <v>30.94</v>
      </c>
      <c r="G24" s="906" t="s">
        <v>296</v>
      </c>
      <c r="H24" s="907">
        <v>67</v>
      </c>
      <c r="I24" s="128">
        <f t="shared" si="1"/>
        <v>33.089999999999719</v>
      </c>
    </row>
    <row r="25" spans="2:9" x14ac:dyDescent="0.25">
      <c r="B25" s="591">
        <f t="shared" si="3"/>
        <v>0</v>
      </c>
      <c r="C25" s="72"/>
      <c r="D25" s="68">
        <v>0</v>
      </c>
      <c r="E25" s="917"/>
      <c r="F25" s="102">
        <f t="shared" si="0"/>
        <v>0</v>
      </c>
      <c r="G25" s="906"/>
      <c r="H25" s="907"/>
      <c r="I25" s="581">
        <f t="shared" si="1"/>
        <v>33.089999999999719</v>
      </c>
    </row>
    <row r="26" spans="2:9" x14ac:dyDescent="0.25">
      <c r="B26" s="376">
        <f t="shared" si="3"/>
        <v>0</v>
      </c>
      <c r="C26" s="72"/>
      <c r="D26" s="68">
        <v>0</v>
      </c>
      <c r="E26" s="917"/>
      <c r="F26" s="1262">
        <v>33.090000000000003</v>
      </c>
      <c r="G26" s="1263"/>
      <c r="H26" s="1264"/>
      <c r="I26" s="1265">
        <f t="shared" si="1"/>
        <v>-2.8421709430404007E-13</v>
      </c>
    </row>
    <row r="27" spans="2:9" x14ac:dyDescent="0.25">
      <c r="B27" s="376">
        <f t="shared" si="3"/>
        <v>0</v>
      </c>
      <c r="C27" s="72"/>
      <c r="D27" s="68">
        <v>0</v>
      </c>
      <c r="E27" s="917"/>
      <c r="F27" s="1262">
        <f t="shared" si="0"/>
        <v>0</v>
      </c>
      <c r="G27" s="1263"/>
      <c r="H27" s="1264"/>
      <c r="I27" s="1265">
        <f t="shared" si="1"/>
        <v>-2.8421709430404007E-13</v>
      </c>
    </row>
    <row r="28" spans="2:9" x14ac:dyDescent="0.25">
      <c r="B28" s="376">
        <f t="shared" si="3"/>
        <v>0</v>
      </c>
      <c r="C28" s="72"/>
      <c r="D28" s="68">
        <v>0</v>
      </c>
      <c r="E28" s="917"/>
      <c r="F28" s="1262">
        <f t="shared" si="0"/>
        <v>0</v>
      </c>
      <c r="G28" s="1263"/>
      <c r="H28" s="1264"/>
      <c r="I28" s="1265">
        <f t="shared" si="1"/>
        <v>-2.8421709430404007E-13</v>
      </c>
    </row>
    <row r="29" spans="2:9" x14ac:dyDescent="0.25">
      <c r="B29" s="376">
        <f t="shared" si="3"/>
        <v>0</v>
      </c>
      <c r="C29" s="72"/>
      <c r="D29" s="68">
        <v>0</v>
      </c>
      <c r="E29" s="917"/>
      <c r="F29" s="1262">
        <f t="shared" si="0"/>
        <v>0</v>
      </c>
      <c r="G29" s="1263"/>
      <c r="H29" s="1264"/>
      <c r="I29" s="1265">
        <f t="shared" si="1"/>
        <v>-2.8421709430404007E-13</v>
      </c>
    </row>
    <row r="30" spans="2:9" x14ac:dyDescent="0.25">
      <c r="B30" s="376">
        <f t="shared" si="3"/>
        <v>0</v>
      </c>
      <c r="C30" s="72"/>
      <c r="D30" s="68">
        <v>0</v>
      </c>
      <c r="E30" s="917"/>
      <c r="F30" s="1262">
        <f t="shared" si="0"/>
        <v>0</v>
      </c>
      <c r="G30" s="1263"/>
      <c r="H30" s="1264"/>
      <c r="I30" s="1265">
        <f t="shared" si="1"/>
        <v>-2.8421709430404007E-13</v>
      </c>
    </row>
    <row r="31" spans="2:9" x14ac:dyDescent="0.25">
      <c r="B31" s="376">
        <f t="shared" si="3"/>
        <v>0</v>
      </c>
      <c r="C31" s="72"/>
      <c r="D31" s="68">
        <v>0</v>
      </c>
      <c r="E31" s="917"/>
      <c r="F31" s="102">
        <f t="shared" si="0"/>
        <v>0</v>
      </c>
      <c r="G31" s="906"/>
      <c r="H31" s="907"/>
      <c r="I31" s="128">
        <f t="shared" si="1"/>
        <v>-2.8421709430404007E-13</v>
      </c>
    </row>
    <row r="32" spans="2:9" x14ac:dyDescent="0.25">
      <c r="B32" s="376">
        <f t="shared" si="3"/>
        <v>0</v>
      </c>
      <c r="C32" s="72"/>
      <c r="D32" s="68">
        <v>0</v>
      </c>
      <c r="E32" s="917"/>
      <c r="F32" s="102">
        <f t="shared" si="0"/>
        <v>0</v>
      </c>
      <c r="G32" s="906"/>
      <c r="H32" s="907"/>
      <c r="I32" s="128">
        <f t="shared" si="1"/>
        <v>-2.8421709430404007E-13</v>
      </c>
    </row>
    <row r="33" spans="1:9" x14ac:dyDescent="0.25">
      <c r="B33" s="376">
        <f t="shared" si="3"/>
        <v>0</v>
      </c>
      <c r="C33" s="72"/>
      <c r="D33" s="68">
        <v>0</v>
      </c>
      <c r="E33" s="917"/>
      <c r="F33" s="102">
        <f t="shared" si="0"/>
        <v>0</v>
      </c>
      <c r="G33" s="906"/>
      <c r="H33" s="907"/>
      <c r="I33" s="128">
        <f t="shared" si="1"/>
        <v>-2.8421709430404007E-13</v>
      </c>
    </row>
    <row r="34" spans="1:9" x14ac:dyDescent="0.25">
      <c r="B34" s="376">
        <f t="shared" si="3"/>
        <v>0</v>
      </c>
      <c r="C34" s="72"/>
      <c r="D34" s="68">
        <v>0</v>
      </c>
      <c r="E34" s="917"/>
      <c r="F34" s="102">
        <f t="shared" si="0"/>
        <v>0</v>
      </c>
      <c r="G34" s="906"/>
      <c r="H34" s="907"/>
      <c r="I34" s="128">
        <f t="shared" si="1"/>
        <v>-2.8421709430404007E-13</v>
      </c>
    </row>
    <row r="35" spans="1:9" x14ac:dyDescent="0.25">
      <c r="B35" s="376">
        <f t="shared" si="3"/>
        <v>0</v>
      </c>
      <c r="C35" s="15"/>
      <c r="D35" s="68">
        <v>0</v>
      </c>
      <c r="E35" s="917"/>
      <c r="F35" s="102">
        <f t="shared" si="0"/>
        <v>0</v>
      </c>
      <c r="G35" s="906"/>
      <c r="H35" s="907"/>
      <c r="I35" s="128">
        <f t="shared" si="1"/>
        <v>-2.8421709430404007E-13</v>
      </c>
    </row>
    <row r="36" spans="1:9" x14ac:dyDescent="0.25">
      <c r="B36" s="376">
        <f t="shared" si="3"/>
        <v>0</v>
      </c>
      <c r="C36" s="15"/>
      <c r="D36" s="68">
        <v>0</v>
      </c>
      <c r="E36" s="917"/>
      <c r="F36" s="102">
        <f t="shared" si="0"/>
        <v>0</v>
      </c>
      <c r="G36" s="906"/>
      <c r="H36" s="907"/>
      <c r="I36" s="128">
        <f t="shared" si="1"/>
        <v>-2.8421709430404007E-13</v>
      </c>
    </row>
    <row r="37" spans="1:9" x14ac:dyDescent="0.25">
      <c r="B37" s="376">
        <f t="shared" si="3"/>
        <v>0</v>
      </c>
      <c r="C37" s="15"/>
      <c r="D37" s="68">
        <v>0</v>
      </c>
      <c r="E37" s="917"/>
      <c r="F37" s="102">
        <f t="shared" si="0"/>
        <v>0</v>
      </c>
      <c r="G37" s="906"/>
      <c r="H37" s="907"/>
      <c r="I37" s="128">
        <f t="shared" si="1"/>
        <v>-2.8421709430404007E-13</v>
      </c>
    </row>
    <row r="38" spans="1:9" ht="15.75" thickBot="1" x14ac:dyDescent="0.3">
      <c r="A38" s="117"/>
      <c r="B38" s="677">
        <f t="shared" si="3"/>
        <v>0</v>
      </c>
      <c r="C38" s="37"/>
      <c r="D38" s="68">
        <v>0</v>
      </c>
      <c r="E38" s="918"/>
      <c r="F38" s="102">
        <f t="shared" si="0"/>
        <v>0</v>
      </c>
      <c r="G38" s="919"/>
      <c r="H38" s="920"/>
      <c r="I38" s="128">
        <f t="shared" si="1"/>
        <v>-2.8421709430404007E-13</v>
      </c>
    </row>
    <row r="39" spans="1:9" ht="15.75" thickTop="1" x14ac:dyDescent="0.25">
      <c r="A39" s="47">
        <f>SUM(A38:A38)</f>
        <v>0</v>
      </c>
      <c r="C39" s="72">
        <f>SUM(C9:C38)</f>
        <v>77</v>
      </c>
      <c r="D39" s="102">
        <f>SUM(D9:D38)</f>
        <v>2519.25</v>
      </c>
      <c r="E39" s="74"/>
      <c r="F39" s="102">
        <f>SUM(F9:F38)</f>
        <v>2552.34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89" t="s">
        <v>21</v>
      </c>
      <c r="E41" s="1590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8"/>
    </row>
    <row r="6" spans="1:8" ht="15.75" customHeight="1" thickTop="1" x14ac:dyDescent="0.25">
      <c r="A6" s="1598"/>
      <c r="B6" s="1633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598"/>
      <c r="B7" s="1634"/>
      <c r="C7" s="344"/>
      <c r="D7" s="114"/>
      <c r="E7" s="335"/>
      <c r="F7" s="72"/>
      <c r="G7" s="5">
        <f>D28</f>
        <v>320</v>
      </c>
      <c r="H7" s="451">
        <f>E7-G7</f>
        <v>-320</v>
      </c>
    </row>
    <row r="8" spans="1:8" ht="16.5" customHeight="1" thickBot="1" x14ac:dyDescent="0.3">
      <c r="A8" s="481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7"/>
      <c r="F10" s="418">
        <f>D10</f>
        <v>0</v>
      </c>
      <c r="G10" s="419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500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500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8"/>
      <c r="F16" s="102">
        <f t="shared" si="1"/>
        <v>20</v>
      </c>
      <c r="G16" s="517"/>
      <c r="H16" s="353"/>
    </row>
    <row r="17" spans="1:8" x14ac:dyDescent="0.25">
      <c r="B17" s="336">
        <f t="shared" si="0"/>
        <v>0</v>
      </c>
      <c r="C17" s="15"/>
      <c r="D17" s="120">
        <v>20</v>
      </c>
      <c r="E17" s="518"/>
      <c r="F17" s="102">
        <f t="shared" si="1"/>
        <v>20</v>
      </c>
      <c r="G17" s="517"/>
      <c r="H17" s="353"/>
    </row>
    <row r="18" spans="1:8" x14ac:dyDescent="0.25">
      <c r="B18" s="336">
        <f t="shared" si="0"/>
        <v>0</v>
      </c>
      <c r="C18" s="15"/>
      <c r="D18" s="120">
        <v>20</v>
      </c>
      <c r="E18" s="518"/>
      <c r="F18" s="102">
        <f t="shared" si="1"/>
        <v>20</v>
      </c>
      <c r="G18" s="517"/>
      <c r="H18" s="353"/>
    </row>
    <row r="19" spans="1:8" x14ac:dyDescent="0.25">
      <c r="B19" s="336">
        <f t="shared" si="0"/>
        <v>0</v>
      </c>
      <c r="C19" s="15"/>
      <c r="D19" s="120">
        <v>20</v>
      </c>
      <c r="E19" s="518"/>
      <c r="F19" s="102">
        <f t="shared" si="1"/>
        <v>20</v>
      </c>
      <c r="G19" s="517"/>
      <c r="H19" s="353"/>
    </row>
    <row r="20" spans="1:8" x14ac:dyDescent="0.25">
      <c r="B20" s="336">
        <f t="shared" si="0"/>
        <v>0</v>
      </c>
      <c r="C20" s="15"/>
      <c r="D20" s="120">
        <v>20</v>
      </c>
      <c r="E20" s="518"/>
      <c r="F20" s="102">
        <f t="shared" si="1"/>
        <v>20</v>
      </c>
      <c r="G20" s="517"/>
      <c r="H20" s="353"/>
    </row>
    <row r="21" spans="1:8" x14ac:dyDescent="0.25">
      <c r="B21" s="336">
        <f t="shared" si="0"/>
        <v>0</v>
      </c>
      <c r="C21" s="15"/>
      <c r="D21" s="120">
        <v>20</v>
      </c>
      <c r="E21" s="518"/>
      <c r="F21" s="102">
        <f t="shared" si="1"/>
        <v>20</v>
      </c>
      <c r="G21" s="517"/>
      <c r="H21" s="353"/>
    </row>
    <row r="22" spans="1:8" x14ac:dyDescent="0.25">
      <c r="B22" s="336">
        <f t="shared" si="0"/>
        <v>0</v>
      </c>
      <c r="C22" s="15"/>
      <c r="D22" s="120">
        <v>20</v>
      </c>
      <c r="E22" s="518"/>
      <c r="F22" s="102">
        <f t="shared" si="1"/>
        <v>20</v>
      </c>
      <c r="G22" s="517"/>
      <c r="H22" s="353"/>
    </row>
    <row r="23" spans="1:8" x14ac:dyDescent="0.25">
      <c r="B23" s="336">
        <f t="shared" si="0"/>
        <v>0</v>
      </c>
      <c r="C23" s="15"/>
      <c r="D23" s="120">
        <v>20</v>
      </c>
      <c r="E23" s="518"/>
      <c r="F23" s="102">
        <f t="shared" si="1"/>
        <v>20</v>
      </c>
      <c r="G23" s="517"/>
      <c r="H23" s="353"/>
    </row>
    <row r="24" spans="1:8" x14ac:dyDescent="0.25">
      <c r="B24" s="336">
        <f t="shared" si="0"/>
        <v>0</v>
      </c>
      <c r="C24" s="15"/>
      <c r="D24" s="120">
        <v>20</v>
      </c>
      <c r="E24" s="518"/>
      <c r="F24" s="102">
        <f t="shared" si="1"/>
        <v>20</v>
      </c>
      <c r="G24" s="517"/>
      <c r="H24" s="353"/>
    </row>
    <row r="25" spans="1:8" x14ac:dyDescent="0.25">
      <c r="B25" s="336">
        <f t="shared" si="0"/>
        <v>0</v>
      </c>
      <c r="C25" s="15"/>
      <c r="D25" s="120">
        <v>20</v>
      </c>
      <c r="E25" s="518"/>
      <c r="F25" s="102">
        <f t="shared" si="1"/>
        <v>20</v>
      </c>
      <c r="G25" s="517"/>
      <c r="H25" s="353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89" t="s">
        <v>21</v>
      </c>
      <c r="E30" s="159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31"/>
  <sheetViews>
    <sheetView topLeftCell="F1" workbookViewId="0">
      <selection activeCell="U13" sqref="U1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4.5703125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29" ht="40.5" x14ac:dyDescent="0.55000000000000004">
      <c r="A1" s="1607" t="s">
        <v>306</v>
      </c>
      <c r="B1" s="1607"/>
      <c r="C1" s="1607"/>
      <c r="D1" s="1607"/>
      <c r="E1" s="1607"/>
      <c r="F1" s="1607"/>
      <c r="G1" s="1607"/>
      <c r="H1" s="11">
        <v>1</v>
      </c>
      <c r="K1" s="1593" t="s">
        <v>318</v>
      </c>
      <c r="L1" s="1593"/>
      <c r="M1" s="1593"/>
      <c r="N1" s="1593"/>
      <c r="O1" s="1593"/>
      <c r="P1" s="1593"/>
      <c r="Q1" s="1593"/>
      <c r="R1" s="11">
        <v>2</v>
      </c>
      <c r="U1" s="1593" t="s">
        <v>318</v>
      </c>
      <c r="V1" s="1593"/>
      <c r="W1" s="1593"/>
      <c r="X1" s="1593"/>
      <c r="Y1" s="1593"/>
      <c r="Z1" s="1593"/>
      <c r="AA1" s="1593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29" ht="15" customHeight="1" x14ac:dyDescent="0.25">
      <c r="A5" s="1597" t="s">
        <v>95</v>
      </c>
      <c r="B5" s="1637" t="s">
        <v>105</v>
      </c>
      <c r="C5" s="65">
        <v>63</v>
      </c>
      <c r="D5" s="130">
        <v>45141</v>
      </c>
      <c r="E5" s="430">
        <v>492.55</v>
      </c>
      <c r="F5" s="72">
        <v>17</v>
      </c>
      <c r="G5" s="224"/>
      <c r="K5" s="1597" t="s">
        <v>95</v>
      </c>
      <c r="L5" s="1637" t="s">
        <v>105</v>
      </c>
      <c r="M5" s="65">
        <v>69</v>
      </c>
      <c r="N5" s="130">
        <v>45183</v>
      </c>
      <c r="O5" s="430">
        <v>1079.05</v>
      </c>
      <c r="P5" s="72">
        <v>37</v>
      </c>
      <c r="Q5" s="224"/>
      <c r="U5" s="1635" t="s">
        <v>95</v>
      </c>
      <c r="V5" s="1611" t="s">
        <v>377</v>
      </c>
      <c r="W5" s="65">
        <v>70</v>
      </c>
      <c r="X5" s="130">
        <v>45183</v>
      </c>
      <c r="Y5" s="430">
        <v>485.57</v>
      </c>
      <c r="Z5" s="72">
        <v>14</v>
      </c>
      <c r="AA5" s="176">
        <f>Z27</f>
        <v>196.88</v>
      </c>
    </row>
    <row r="6" spans="1:29" x14ac:dyDescent="0.25">
      <c r="A6" s="1597"/>
      <c r="B6" s="1637"/>
      <c r="C6" s="65"/>
      <c r="D6" s="130"/>
      <c r="E6" s="102">
        <v>33.090000000000003</v>
      </c>
      <c r="F6" s="72">
        <v>0</v>
      </c>
      <c r="G6" s="87">
        <f>F27</f>
        <v>525.64</v>
      </c>
      <c r="H6" s="7">
        <f>E6-G6+E5+E7+E4</f>
        <v>5.6843418860808015E-14</v>
      </c>
      <c r="K6" s="1597"/>
      <c r="L6" s="1637"/>
      <c r="M6" s="65"/>
      <c r="N6" s="130"/>
      <c r="O6" s="102"/>
      <c r="P6" s="72"/>
      <c r="Q6" s="87">
        <f>P27</f>
        <v>1079.0500000000002</v>
      </c>
      <c r="R6" s="7">
        <f>O6-Q6+O5+O7+O4</f>
        <v>-2.2737367544323206E-13</v>
      </c>
      <c r="U6" s="1635"/>
      <c r="V6" s="1611"/>
      <c r="X6" s="65"/>
      <c r="Y6" s="102">
        <v>92.5</v>
      </c>
      <c r="Z6" s="123">
        <v>3</v>
      </c>
      <c r="AA6" s="72"/>
      <c r="AB6" s="7">
        <f>Y6-AA6+Y5+Y7+Y4</f>
        <v>3079.55</v>
      </c>
    </row>
    <row r="7" spans="1:29" ht="19.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U7" s="1343" t="s">
        <v>465</v>
      </c>
      <c r="V7" s="1636"/>
      <c r="W7" s="1344">
        <v>69</v>
      </c>
      <c r="X7" s="556">
        <v>45191</v>
      </c>
      <c r="Y7" s="1345">
        <v>2501.48</v>
      </c>
      <c r="Z7" s="1280">
        <v>94</v>
      </c>
    </row>
    <row r="8" spans="1:2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0" t="s">
        <v>17</v>
      </c>
      <c r="O8" s="269" t="s">
        <v>2</v>
      </c>
      <c r="P8" s="262" t="s">
        <v>18</v>
      </c>
      <c r="Q8" s="270" t="s">
        <v>15</v>
      </c>
      <c r="R8" s="24"/>
      <c r="V8" s="272" t="s">
        <v>7</v>
      </c>
      <c r="W8" s="267" t="s">
        <v>8</v>
      </c>
      <c r="X8" s="480" t="s">
        <v>17</v>
      </c>
      <c r="Y8" s="269" t="s">
        <v>2</v>
      </c>
      <c r="Z8" s="262" t="s">
        <v>18</v>
      </c>
      <c r="AA8" s="270" t="s">
        <v>15</v>
      </c>
      <c r="AB8" s="24"/>
    </row>
    <row r="9" spans="1:29" ht="15.75" thickTop="1" x14ac:dyDescent="0.25">
      <c r="A9" s="54" t="s">
        <v>32</v>
      </c>
      <c r="B9" s="376">
        <f>F5+F6+F7-C9+F4</f>
        <v>15</v>
      </c>
      <c r="C9" s="72">
        <v>2</v>
      </c>
      <c r="D9" s="68">
        <v>58.84</v>
      </c>
      <c r="E9" s="231">
        <v>45145</v>
      </c>
      <c r="F9" s="102">
        <f>D9</f>
        <v>58.84</v>
      </c>
      <c r="G9" s="69" t="s">
        <v>211</v>
      </c>
      <c r="H9" s="70">
        <v>63</v>
      </c>
      <c r="I9" s="128">
        <f>E5+E6+E7-F9+E4</f>
        <v>466.79999999999995</v>
      </c>
      <c r="K9" s="54" t="s">
        <v>32</v>
      </c>
      <c r="L9" s="376">
        <f>P5+P6+P7-M9+P4</f>
        <v>29</v>
      </c>
      <c r="M9" s="72">
        <v>8</v>
      </c>
      <c r="N9" s="68">
        <v>228.55</v>
      </c>
      <c r="O9" s="231">
        <v>45184</v>
      </c>
      <c r="P9" s="102">
        <f>N9</f>
        <v>228.55</v>
      </c>
      <c r="Q9" s="69" t="s">
        <v>653</v>
      </c>
      <c r="R9" s="70">
        <v>71</v>
      </c>
      <c r="S9" s="128">
        <f>O5+O6+O7-P9+O4</f>
        <v>850.5</v>
      </c>
      <c r="U9" s="54" t="s">
        <v>32</v>
      </c>
      <c r="V9" s="376">
        <f>Z5+Z6+Z7-W9+Z4</f>
        <v>103</v>
      </c>
      <c r="W9" s="72">
        <v>8</v>
      </c>
      <c r="X9" s="68">
        <v>196.88</v>
      </c>
      <c r="Y9" s="231">
        <v>45201</v>
      </c>
      <c r="Z9" s="102">
        <f>X9</f>
        <v>196.88</v>
      </c>
      <c r="AA9" s="69" t="s">
        <v>778</v>
      </c>
      <c r="AB9" s="70">
        <v>71</v>
      </c>
      <c r="AC9" s="128">
        <f>Y5+Y6+Y7-Z9+Y4</f>
        <v>2882.67</v>
      </c>
    </row>
    <row r="10" spans="1:29" x14ac:dyDescent="0.25">
      <c r="B10" s="376">
        <f>B9-C10</f>
        <v>12</v>
      </c>
      <c r="C10" s="72">
        <v>3</v>
      </c>
      <c r="D10" s="68">
        <v>82.13</v>
      </c>
      <c r="E10" s="231">
        <v>45147</v>
      </c>
      <c r="F10" s="102">
        <f>D10</f>
        <v>82.13</v>
      </c>
      <c r="G10" s="69" t="s">
        <v>216</v>
      </c>
      <c r="H10" s="70">
        <v>65</v>
      </c>
      <c r="I10" s="128">
        <f>I9-F10</f>
        <v>384.66999999999996</v>
      </c>
      <c r="L10" s="376">
        <f>L9-M10</f>
        <v>27</v>
      </c>
      <c r="M10" s="72">
        <v>2</v>
      </c>
      <c r="N10" s="68">
        <v>58.28</v>
      </c>
      <c r="O10" s="231">
        <v>45184</v>
      </c>
      <c r="P10" s="102">
        <f>N10</f>
        <v>58.28</v>
      </c>
      <c r="Q10" s="69" t="s">
        <v>645</v>
      </c>
      <c r="R10" s="70">
        <v>71</v>
      </c>
      <c r="S10" s="128">
        <f>S9-P10</f>
        <v>792.22</v>
      </c>
      <c r="V10" s="376">
        <f>V9-W10</f>
        <v>103</v>
      </c>
      <c r="W10" s="72"/>
      <c r="X10" s="68">
        <v>0</v>
      </c>
      <c r="Y10" s="231"/>
      <c r="Z10" s="102">
        <f>X10</f>
        <v>0</v>
      </c>
      <c r="AA10" s="69"/>
      <c r="AB10" s="70"/>
      <c r="AC10" s="128">
        <f>AC9-Z10</f>
        <v>2882.67</v>
      </c>
    </row>
    <row r="11" spans="1:29" x14ac:dyDescent="0.25">
      <c r="A11" s="54" t="s">
        <v>33</v>
      </c>
      <c r="B11" s="376">
        <f>B10-C11</f>
        <v>11</v>
      </c>
      <c r="C11" s="72">
        <v>1</v>
      </c>
      <c r="D11" s="68">
        <v>26.06</v>
      </c>
      <c r="E11" s="231">
        <v>45147</v>
      </c>
      <c r="F11" s="102">
        <f>D11</f>
        <v>26.06</v>
      </c>
      <c r="G11" s="69" t="s">
        <v>201</v>
      </c>
      <c r="H11" s="70">
        <v>65</v>
      </c>
      <c r="I11" s="128">
        <f t="shared" ref="I11:I26" si="0">I10-F11</f>
        <v>358.60999999999996</v>
      </c>
      <c r="K11" s="54" t="s">
        <v>33</v>
      </c>
      <c r="L11" s="376">
        <f>L10-M11</f>
        <v>20</v>
      </c>
      <c r="M11" s="72">
        <v>7</v>
      </c>
      <c r="N11" s="68">
        <v>214.96</v>
      </c>
      <c r="O11" s="231">
        <v>45188</v>
      </c>
      <c r="P11" s="102">
        <f>N11</f>
        <v>214.96</v>
      </c>
      <c r="Q11" s="69" t="s">
        <v>673</v>
      </c>
      <c r="R11" s="70">
        <v>71</v>
      </c>
      <c r="S11" s="128">
        <f t="shared" ref="S11:S26" si="1">S10-P11</f>
        <v>577.26</v>
      </c>
      <c r="U11" s="54" t="s">
        <v>33</v>
      </c>
      <c r="V11" s="376">
        <f>V10-W11</f>
        <v>103</v>
      </c>
      <c r="W11" s="72"/>
      <c r="X11" s="68">
        <v>0</v>
      </c>
      <c r="Y11" s="231"/>
      <c r="Z11" s="102">
        <f>X11</f>
        <v>0</v>
      </c>
      <c r="AA11" s="69"/>
      <c r="AB11" s="70"/>
      <c r="AC11" s="128">
        <f t="shared" ref="AC11:AC26" si="2">AC10-Z11</f>
        <v>2882.67</v>
      </c>
    </row>
    <row r="12" spans="1:29" ht="15.75" x14ac:dyDescent="0.25">
      <c r="A12" s="1034" t="s">
        <v>311</v>
      </c>
      <c r="B12" s="376">
        <f t="shared" ref="B12:B14" si="3">B11-C12</f>
        <v>3</v>
      </c>
      <c r="C12" s="444">
        <v>8</v>
      </c>
      <c r="D12" s="68">
        <v>229.61</v>
      </c>
      <c r="E12" s="231">
        <v>45148</v>
      </c>
      <c r="F12" s="102">
        <f>D12</f>
        <v>229.61</v>
      </c>
      <c r="G12" s="69" t="s">
        <v>220</v>
      </c>
      <c r="H12" s="70">
        <v>65</v>
      </c>
      <c r="I12" s="128">
        <f t="shared" si="0"/>
        <v>128.99999999999994</v>
      </c>
      <c r="K12" s="74"/>
      <c r="L12" s="376">
        <f t="shared" ref="L12:L14" si="4">L11-M12</f>
        <v>13</v>
      </c>
      <c r="M12" s="133">
        <v>7</v>
      </c>
      <c r="N12" s="68">
        <v>198.39</v>
      </c>
      <c r="O12" s="231">
        <v>45194</v>
      </c>
      <c r="P12" s="102">
        <f>N12</f>
        <v>198.39</v>
      </c>
      <c r="Q12" s="69" t="s">
        <v>722</v>
      </c>
      <c r="R12" s="70">
        <v>71</v>
      </c>
      <c r="S12" s="128">
        <f t="shared" si="1"/>
        <v>378.87</v>
      </c>
      <c r="U12" s="74"/>
      <c r="V12" s="376">
        <f t="shared" ref="V12:V14" si="5">V11-W12</f>
        <v>103</v>
      </c>
      <c r="W12" s="133"/>
      <c r="X12" s="68">
        <v>0</v>
      </c>
      <c r="Y12" s="231"/>
      <c r="Z12" s="102">
        <f>X12</f>
        <v>0</v>
      </c>
      <c r="AA12" s="69"/>
      <c r="AB12" s="70"/>
      <c r="AC12" s="128">
        <f t="shared" si="2"/>
        <v>2882.67</v>
      </c>
    </row>
    <row r="13" spans="1:29" x14ac:dyDescent="0.25">
      <c r="B13" s="376">
        <f t="shared" si="3"/>
        <v>2</v>
      </c>
      <c r="C13" s="72">
        <v>1</v>
      </c>
      <c r="D13" s="68">
        <v>32.19</v>
      </c>
      <c r="E13" s="231">
        <v>45150</v>
      </c>
      <c r="F13" s="102">
        <f>D13</f>
        <v>32.19</v>
      </c>
      <c r="G13" s="69" t="s">
        <v>222</v>
      </c>
      <c r="H13" s="70">
        <v>65</v>
      </c>
      <c r="I13" s="128">
        <f t="shared" si="0"/>
        <v>96.809999999999945</v>
      </c>
      <c r="L13" s="376">
        <f t="shared" si="4"/>
        <v>12</v>
      </c>
      <c r="M13" s="72">
        <v>1</v>
      </c>
      <c r="N13" s="68">
        <v>30.6</v>
      </c>
      <c r="O13" s="231">
        <v>45195</v>
      </c>
      <c r="P13" s="102">
        <f>N13</f>
        <v>30.6</v>
      </c>
      <c r="Q13" s="69" t="s">
        <v>730</v>
      </c>
      <c r="R13" s="70">
        <v>71</v>
      </c>
      <c r="S13" s="128">
        <f t="shared" si="1"/>
        <v>348.27</v>
      </c>
      <c r="V13" s="376">
        <f t="shared" si="5"/>
        <v>103</v>
      </c>
      <c r="W13" s="72"/>
      <c r="X13" s="68">
        <v>0</v>
      </c>
      <c r="Y13" s="231"/>
      <c r="Z13" s="102">
        <f>X13</f>
        <v>0</v>
      </c>
      <c r="AA13" s="69"/>
      <c r="AB13" s="70"/>
      <c r="AC13" s="128">
        <f t="shared" si="2"/>
        <v>2882.67</v>
      </c>
    </row>
    <row r="14" spans="1:29" x14ac:dyDescent="0.25">
      <c r="A14" s="19"/>
      <c r="B14" s="591">
        <f t="shared" si="3"/>
        <v>2</v>
      </c>
      <c r="C14" s="72"/>
      <c r="D14" s="68">
        <v>0</v>
      </c>
      <c r="E14" s="231"/>
      <c r="F14" s="102">
        <f t="shared" ref="F14:F26" si="6">D14</f>
        <v>0</v>
      </c>
      <c r="G14" s="69"/>
      <c r="H14" s="70"/>
      <c r="I14" s="581">
        <f t="shared" si="0"/>
        <v>96.809999999999945</v>
      </c>
      <c r="K14" s="19"/>
      <c r="L14" s="376">
        <f t="shared" si="4"/>
        <v>11</v>
      </c>
      <c r="M14" s="72">
        <v>1</v>
      </c>
      <c r="N14" s="68">
        <v>27.48</v>
      </c>
      <c r="O14" s="231">
        <v>45197</v>
      </c>
      <c r="P14" s="102">
        <f t="shared" ref="P14:P26" si="7">N14</f>
        <v>27.48</v>
      </c>
      <c r="Q14" s="69" t="s">
        <v>748</v>
      </c>
      <c r="R14" s="70">
        <v>71</v>
      </c>
      <c r="S14" s="128">
        <f t="shared" si="1"/>
        <v>320.78999999999996</v>
      </c>
      <c r="U14" s="19"/>
      <c r="V14" s="376">
        <f t="shared" si="5"/>
        <v>103</v>
      </c>
      <c r="W14" s="72"/>
      <c r="X14" s="68">
        <v>0</v>
      </c>
      <c r="Y14" s="231"/>
      <c r="Z14" s="102">
        <f t="shared" ref="Z14:Z26" si="8">X14</f>
        <v>0</v>
      </c>
      <c r="AA14" s="69"/>
      <c r="AB14" s="70"/>
      <c r="AC14" s="128">
        <f t="shared" si="2"/>
        <v>2882.67</v>
      </c>
    </row>
    <row r="15" spans="1:29" x14ac:dyDescent="0.25">
      <c r="B15" s="376">
        <f>B14-C15</f>
        <v>-1</v>
      </c>
      <c r="C15" s="72">
        <v>3</v>
      </c>
      <c r="D15" s="68">
        <v>96.81</v>
      </c>
      <c r="E15" s="231">
        <v>45175</v>
      </c>
      <c r="F15" s="102">
        <f t="shared" si="6"/>
        <v>96.81</v>
      </c>
      <c r="G15" s="69" t="s">
        <v>538</v>
      </c>
      <c r="H15" s="70">
        <v>67</v>
      </c>
      <c r="I15" s="128">
        <f t="shared" si="0"/>
        <v>0</v>
      </c>
      <c r="L15" s="376">
        <f>L14-M15</f>
        <v>3</v>
      </c>
      <c r="M15" s="72">
        <v>8</v>
      </c>
      <c r="N15" s="68">
        <v>228.29</v>
      </c>
      <c r="O15" s="231">
        <v>45199</v>
      </c>
      <c r="P15" s="102">
        <f t="shared" si="7"/>
        <v>228.29</v>
      </c>
      <c r="Q15" s="69" t="s">
        <v>768</v>
      </c>
      <c r="R15" s="70">
        <v>71</v>
      </c>
      <c r="S15" s="128">
        <f t="shared" si="1"/>
        <v>92.499999999999972</v>
      </c>
      <c r="V15" s="376">
        <f>V14-W15</f>
        <v>103</v>
      </c>
      <c r="W15" s="72"/>
      <c r="X15" s="68">
        <v>0</v>
      </c>
      <c r="Y15" s="231"/>
      <c r="Z15" s="102">
        <f t="shared" si="8"/>
        <v>0</v>
      </c>
      <c r="AA15" s="69"/>
      <c r="AB15" s="70"/>
      <c r="AC15" s="128">
        <f t="shared" si="2"/>
        <v>2882.67</v>
      </c>
    </row>
    <row r="16" spans="1:29" x14ac:dyDescent="0.25">
      <c r="B16" s="376">
        <f t="shared" ref="B16:B26" si="9">B15-C16</f>
        <v>-1</v>
      </c>
      <c r="C16" s="72"/>
      <c r="D16" s="68">
        <v>0</v>
      </c>
      <c r="E16" s="231"/>
      <c r="F16" s="102">
        <f t="shared" si="6"/>
        <v>0</v>
      </c>
      <c r="G16" s="69"/>
      <c r="H16" s="70"/>
      <c r="I16" s="128">
        <f t="shared" si="0"/>
        <v>0</v>
      </c>
      <c r="L16" s="376">
        <f t="shared" ref="L16:L26" si="10">L15-M16</f>
        <v>3</v>
      </c>
      <c r="M16" s="72"/>
      <c r="N16" s="68">
        <v>0</v>
      </c>
      <c r="O16" s="231"/>
      <c r="P16" s="102">
        <f t="shared" si="7"/>
        <v>0</v>
      </c>
      <c r="Q16" s="69"/>
      <c r="R16" s="70"/>
      <c r="S16" s="128">
        <f t="shared" si="1"/>
        <v>92.499999999999972</v>
      </c>
      <c r="V16" s="376">
        <f t="shared" ref="V16:V26" si="11">V15-W16</f>
        <v>103</v>
      </c>
      <c r="W16" s="72"/>
      <c r="X16" s="68">
        <v>0</v>
      </c>
      <c r="Y16" s="231"/>
      <c r="Z16" s="102">
        <f t="shared" si="8"/>
        <v>0</v>
      </c>
      <c r="AA16" s="69"/>
      <c r="AB16" s="70"/>
      <c r="AC16" s="128">
        <f t="shared" si="2"/>
        <v>2882.67</v>
      </c>
    </row>
    <row r="17" spans="1:29" x14ac:dyDescent="0.25">
      <c r="B17" s="1266">
        <f t="shared" si="9"/>
        <v>-1</v>
      </c>
      <c r="C17" s="72"/>
      <c r="D17" s="68">
        <v>0</v>
      </c>
      <c r="E17" s="231"/>
      <c r="F17" s="102">
        <f t="shared" si="6"/>
        <v>0</v>
      </c>
      <c r="G17" s="69"/>
      <c r="H17" s="70"/>
      <c r="I17" s="128">
        <f t="shared" si="0"/>
        <v>0</v>
      </c>
      <c r="L17" s="376">
        <f t="shared" si="10"/>
        <v>3</v>
      </c>
      <c r="M17" s="72"/>
      <c r="N17" s="68">
        <v>0</v>
      </c>
      <c r="O17" s="231"/>
      <c r="P17" s="102">
        <f t="shared" si="7"/>
        <v>0</v>
      </c>
      <c r="Q17" s="69"/>
      <c r="R17" s="70"/>
      <c r="S17" s="128">
        <f t="shared" si="1"/>
        <v>92.499999999999972</v>
      </c>
      <c r="V17" s="376">
        <f t="shared" si="11"/>
        <v>103</v>
      </c>
      <c r="W17" s="72"/>
      <c r="X17" s="68">
        <v>0</v>
      </c>
      <c r="Y17" s="231"/>
      <c r="Z17" s="102">
        <f t="shared" si="8"/>
        <v>0</v>
      </c>
      <c r="AA17" s="69"/>
      <c r="AB17" s="70"/>
      <c r="AC17" s="128">
        <f t="shared" si="2"/>
        <v>2882.67</v>
      </c>
    </row>
    <row r="18" spans="1:29" x14ac:dyDescent="0.25">
      <c r="B18" s="1266">
        <f t="shared" si="9"/>
        <v>-1</v>
      </c>
      <c r="C18" s="72"/>
      <c r="D18" s="68">
        <v>0</v>
      </c>
      <c r="E18" s="231"/>
      <c r="F18" s="102">
        <f t="shared" si="6"/>
        <v>0</v>
      </c>
      <c r="G18" s="69"/>
      <c r="H18" s="70"/>
      <c r="I18" s="128">
        <f t="shared" si="0"/>
        <v>0</v>
      </c>
      <c r="L18" s="376">
        <f t="shared" si="10"/>
        <v>0</v>
      </c>
      <c r="M18" s="72">
        <v>3</v>
      </c>
      <c r="N18" s="68">
        <v>0</v>
      </c>
      <c r="O18" s="231"/>
      <c r="P18" s="1262">
        <v>92.5</v>
      </c>
      <c r="Q18" s="1270"/>
      <c r="R18" s="1261"/>
      <c r="S18" s="1265">
        <f t="shared" si="1"/>
        <v>0</v>
      </c>
      <c r="V18" s="376">
        <f t="shared" si="11"/>
        <v>103</v>
      </c>
      <c r="W18" s="72"/>
      <c r="X18" s="68">
        <v>0</v>
      </c>
      <c r="Y18" s="231"/>
      <c r="Z18" s="102">
        <f t="shared" si="8"/>
        <v>0</v>
      </c>
      <c r="AA18" s="69"/>
      <c r="AB18" s="70"/>
      <c r="AC18" s="128">
        <f t="shared" si="2"/>
        <v>2882.67</v>
      </c>
    </row>
    <row r="19" spans="1:29" x14ac:dyDescent="0.25">
      <c r="B19" s="1266">
        <f t="shared" si="9"/>
        <v>-1</v>
      </c>
      <c r="C19" s="72"/>
      <c r="D19" s="68">
        <v>0</v>
      </c>
      <c r="E19" s="231"/>
      <c r="F19" s="102">
        <f t="shared" si="6"/>
        <v>0</v>
      </c>
      <c r="G19" s="69"/>
      <c r="H19" s="70"/>
      <c r="I19" s="128">
        <f t="shared" si="0"/>
        <v>0</v>
      </c>
      <c r="L19" s="376">
        <f t="shared" si="10"/>
        <v>0</v>
      </c>
      <c r="M19" s="72"/>
      <c r="N19" s="68">
        <v>0</v>
      </c>
      <c r="O19" s="231"/>
      <c r="P19" s="1262">
        <f t="shared" si="7"/>
        <v>0</v>
      </c>
      <c r="Q19" s="1270"/>
      <c r="R19" s="1261"/>
      <c r="S19" s="1265">
        <f t="shared" si="1"/>
        <v>0</v>
      </c>
      <c r="V19" s="376">
        <f t="shared" si="11"/>
        <v>103</v>
      </c>
      <c r="W19" s="72"/>
      <c r="X19" s="68">
        <v>0</v>
      </c>
      <c r="Y19" s="231"/>
      <c r="Z19" s="102">
        <f t="shared" si="8"/>
        <v>0</v>
      </c>
      <c r="AA19" s="69"/>
      <c r="AB19" s="70"/>
      <c r="AC19" s="128">
        <f t="shared" si="2"/>
        <v>2882.67</v>
      </c>
    </row>
    <row r="20" spans="1:29" x14ac:dyDescent="0.25">
      <c r="B20" s="376">
        <f t="shared" si="9"/>
        <v>-1</v>
      </c>
      <c r="C20" s="72"/>
      <c r="D20" s="68">
        <v>0</v>
      </c>
      <c r="E20" s="231"/>
      <c r="F20" s="102">
        <f t="shared" si="6"/>
        <v>0</v>
      </c>
      <c r="G20" s="69"/>
      <c r="H20" s="799"/>
      <c r="I20" s="128">
        <f t="shared" si="0"/>
        <v>0</v>
      </c>
      <c r="L20" s="376">
        <f t="shared" si="10"/>
        <v>0</v>
      </c>
      <c r="M20" s="72"/>
      <c r="N20" s="68">
        <v>0</v>
      </c>
      <c r="O20" s="231"/>
      <c r="P20" s="1262">
        <f t="shared" si="7"/>
        <v>0</v>
      </c>
      <c r="Q20" s="1270"/>
      <c r="R20" s="1337"/>
      <c r="S20" s="1265">
        <f t="shared" si="1"/>
        <v>0</v>
      </c>
      <c r="V20" s="376">
        <f t="shared" si="11"/>
        <v>103</v>
      </c>
      <c r="W20" s="72"/>
      <c r="X20" s="68">
        <v>0</v>
      </c>
      <c r="Y20" s="231"/>
      <c r="Z20" s="102">
        <f t="shared" si="8"/>
        <v>0</v>
      </c>
      <c r="AA20" s="69"/>
      <c r="AB20" s="799"/>
      <c r="AC20" s="128">
        <f t="shared" si="2"/>
        <v>2882.67</v>
      </c>
    </row>
    <row r="21" spans="1:29" x14ac:dyDescent="0.25">
      <c r="B21" s="376">
        <f t="shared" si="9"/>
        <v>-1</v>
      </c>
      <c r="C21" s="72"/>
      <c r="D21" s="68">
        <v>0</v>
      </c>
      <c r="E21" s="231"/>
      <c r="F21" s="102">
        <f t="shared" si="6"/>
        <v>0</v>
      </c>
      <c r="G21" s="69"/>
      <c r="H21" s="799"/>
      <c r="I21" s="128">
        <f t="shared" si="0"/>
        <v>0</v>
      </c>
      <c r="L21" s="376">
        <f t="shared" si="10"/>
        <v>0</v>
      </c>
      <c r="M21" s="72"/>
      <c r="N21" s="68">
        <v>0</v>
      </c>
      <c r="O21" s="231"/>
      <c r="P21" s="1262">
        <f t="shared" si="7"/>
        <v>0</v>
      </c>
      <c r="Q21" s="1270"/>
      <c r="R21" s="1337"/>
      <c r="S21" s="1265">
        <f t="shared" si="1"/>
        <v>0</v>
      </c>
      <c r="V21" s="376">
        <f t="shared" si="11"/>
        <v>103</v>
      </c>
      <c r="W21" s="72"/>
      <c r="X21" s="68">
        <v>0</v>
      </c>
      <c r="Y21" s="231"/>
      <c r="Z21" s="102">
        <f t="shared" si="8"/>
        <v>0</v>
      </c>
      <c r="AA21" s="69"/>
      <c r="AB21" s="799"/>
      <c r="AC21" s="128">
        <f t="shared" si="2"/>
        <v>2882.67</v>
      </c>
    </row>
    <row r="22" spans="1:29" x14ac:dyDescent="0.25">
      <c r="B22" s="376">
        <f t="shared" si="9"/>
        <v>-1</v>
      </c>
      <c r="C22" s="72"/>
      <c r="D22" s="68">
        <v>0</v>
      </c>
      <c r="E22" s="231"/>
      <c r="F22" s="102">
        <f t="shared" si="6"/>
        <v>0</v>
      </c>
      <c r="G22" s="69"/>
      <c r="H22" s="799"/>
      <c r="I22" s="128">
        <f t="shared" si="0"/>
        <v>0</v>
      </c>
      <c r="L22" s="376">
        <f t="shared" si="10"/>
        <v>0</v>
      </c>
      <c r="M22" s="72"/>
      <c r="N22" s="68">
        <v>0</v>
      </c>
      <c r="O22" s="231"/>
      <c r="P22" s="102">
        <f t="shared" si="7"/>
        <v>0</v>
      </c>
      <c r="Q22" s="69"/>
      <c r="R22" s="799"/>
      <c r="S22" s="128">
        <f t="shared" si="1"/>
        <v>0</v>
      </c>
      <c r="V22" s="376">
        <f t="shared" si="11"/>
        <v>103</v>
      </c>
      <c r="W22" s="72"/>
      <c r="X22" s="68">
        <v>0</v>
      </c>
      <c r="Y22" s="231"/>
      <c r="Z22" s="102">
        <f t="shared" si="8"/>
        <v>0</v>
      </c>
      <c r="AA22" s="69"/>
      <c r="AB22" s="799"/>
      <c r="AC22" s="128">
        <f t="shared" si="2"/>
        <v>2882.67</v>
      </c>
    </row>
    <row r="23" spans="1:29" x14ac:dyDescent="0.25">
      <c r="B23" s="376">
        <f t="shared" si="9"/>
        <v>-1</v>
      </c>
      <c r="C23" s="15"/>
      <c r="D23" s="68">
        <v>0</v>
      </c>
      <c r="E23" s="231"/>
      <c r="F23" s="102">
        <f t="shared" si="6"/>
        <v>0</v>
      </c>
      <c r="G23" s="69"/>
      <c r="H23" s="799"/>
      <c r="I23" s="128">
        <f t="shared" si="0"/>
        <v>0</v>
      </c>
      <c r="L23" s="376">
        <f t="shared" si="10"/>
        <v>0</v>
      </c>
      <c r="M23" s="15"/>
      <c r="N23" s="68">
        <v>0</v>
      </c>
      <c r="O23" s="231"/>
      <c r="P23" s="102">
        <f t="shared" si="7"/>
        <v>0</v>
      </c>
      <c r="Q23" s="69"/>
      <c r="R23" s="799"/>
      <c r="S23" s="128">
        <f t="shared" si="1"/>
        <v>0</v>
      </c>
      <c r="V23" s="376">
        <f t="shared" si="11"/>
        <v>103</v>
      </c>
      <c r="W23" s="15"/>
      <c r="X23" s="68">
        <v>0</v>
      </c>
      <c r="Y23" s="231"/>
      <c r="Z23" s="102">
        <f t="shared" si="8"/>
        <v>0</v>
      </c>
      <c r="AA23" s="69"/>
      <c r="AB23" s="799"/>
      <c r="AC23" s="128">
        <f t="shared" si="2"/>
        <v>2882.67</v>
      </c>
    </row>
    <row r="24" spans="1:29" x14ac:dyDescent="0.25">
      <c r="B24" s="376">
        <f t="shared" si="9"/>
        <v>-1</v>
      </c>
      <c r="C24" s="15"/>
      <c r="D24" s="68">
        <v>0</v>
      </c>
      <c r="E24" s="231"/>
      <c r="F24" s="102">
        <f t="shared" si="6"/>
        <v>0</v>
      </c>
      <c r="G24" s="69"/>
      <c r="H24" s="799"/>
      <c r="I24" s="128">
        <f t="shared" si="0"/>
        <v>0</v>
      </c>
      <c r="L24" s="376">
        <f t="shared" si="10"/>
        <v>0</v>
      </c>
      <c r="M24" s="15"/>
      <c r="N24" s="68">
        <v>0</v>
      </c>
      <c r="O24" s="231"/>
      <c r="P24" s="102">
        <f t="shared" si="7"/>
        <v>0</v>
      </c>
      <c r="Q24" s="69"/>
      <c r="R24" s="799"/>
      <c r="S24" s="128">
        <f t="shared" si="1"/>
        <v>0</v>
      </c>
      <c r="V24" s="376">
        <f t="shared" si="11"/>
        <v>103</v>
      </c>
      <c r="W24" s="15"/>
      <c r="X24" s="68">
        <v>0</v>
      </c>
      <c r="Y24" s="231"/>
      <c r="Z24" s="102">
        <f t="shared" si="8"/>
        <v>0</v>
      </c>
      <c r="AA24" s="69"/>
      <c r="AB24" s="799"/>
      <c r="AC24" s="128">
        <f t="shared" si="2"/>
        <v>2882.67</v>
      </c>
    </row>
    <row r="25" spans="1:29" x14ac:dyDescent="0.25">
      <c r="B25" s="376">
        <f t="shared" si="9"/>
        <v>-1</v>
      </c>
      <c r="C25" s="15"/>
      <c r="D25" s="68">
        <v>0</v>
      </c>
      <c r="E25" s="674"/>
      <c r="F25" s="102">
        <f t="shared" si="6"/>
        <v>0</v>
      </c>
      <c r="G25" s="69"/>
      <c r="H25" s="70"/>
      <c r="I25" s="128">
        <f t="shared" si="0"/>
        <v>0</v>
      </c>
      <c r="L25" s="376">
        <f t="shared" si="10"/>
        <v>0</v>
      </c>
      <c r="M25" s="15"/>
      <c r="N25" s="68">
        <v>0</v>
      </c>
      <c r="O25" s="674"/>
      <c r="P25" s="102">
        <f t="shared" si="7"/>
        <v>0</v>
      </c>
      <c r="Q25" s="69"/>
      <c r="R25" s="70"/>
      <c r="S25" s="128">
        <f t="shared" si="1"/>
        <v>0</v>
      </c>
      <c r="V25" s="376">
        <f t="shared" si="11"/>
        <v>103</v>
      </c>
      <c r="W25" s="15"/>
      <c r="X25" s="68">
        <v>0</v>
      </c>
      <c r="Y25" s="674"/>
      <c r="Z25" s="102">
        <f t="shared" si="8"/>
        <v>0</v>
      </c>
      <c r="AA25" s="69"/>
      <c r="AB25" s="70"/>
      <c r="AC25" s="128">
        <f t="shared" si="2"/>
        <v>2882.67</v>
      </c>
    </row>
    <row r="26" spans="1:29" ht="15.75" thickBot="1" x14ac:dyDescent="0.3">
      <c r="A26" s="117"/>
      <c r="B26" s="677">
        <f t="shared" si="9"/>
        <v>-1</v>
      </c>
      <c r="C26" s="37"/>
      <c r="D26" s="68">
        <v>0</v>
      </c>
      <c r="E26" s="192"/>
      <c r="F26" s="193">
        <f t="shared" si="6"/>
        <v>0</v>
      </c>
      <c r="G26" s="135"/>
      <c r="H26" s="189"/>
      <c r="I26" s="128">
        <f t="shared" si="0"/>
        <v>0</v>
      </c>
      <c r="K26" s="117"/>
      <c r="L26" s="677">
        <f t="shared" si="10"/>
        <v>0</v>
      </c>
      <c r="M26" s="37"/>
      <c r="N26" s="68">
        <v>0</v>
      </c>
      <c r="O26" s="192"/>
      <c r="P26" s="193">
        <f t="shared" si="7"/>
        <v>0</v>
      </c>
      <c r="Q26" s="135"/>
      <c r="R26" s="189"/>
      <c r="S26" s="128">
        <f t="shared" si="1"/>
        <v>0</v>
      </c>
      <c r="U26" s="117"/>
      <c r="V26" s="677">
        <f t="shared" si="11"/>
        <v>103</v>
      </c>
      <c r="W26" s="37"/>
      <c r="X26" s="68">
        <v>0</v>
      </c>
      <c r="Y26" s="192"/>
      <c r="Z26" s="193">
        <f t="shared" si="8"/>
        <v>0</v>
      </c>
      <c r="AA26" s="135"/>
      <c r="AB26" s="189"/>
      <c r="AC26" s="128">
        <f t="shared" si="2"/>
        <v>2882.67</v>
      </c>
    </row>
    <row r="27" spans="1:29" ht="15.75" thickTop="1" x14ac:dyDescent="0.25">
      <c r="A27" s="47">
        <f>SUM(A26:A26)</f>
        <v>0</v>
      </c>
      <c r="C27" s="72">
        <f>SUM(C9:C26)</f>
        <v>18</v>
      </c>
      <c r="D27" s="102">
        <f>SUM(D9:D26)</f>
        <v>525.64</v>
      </c>
      <c r="E27" s="74"/>
      <c r="F27" s="102">
        <f>SUM(F9:F26)</f>
        <v>525.64</v>
      </c>
      <c r="G27" s="148"/>
      <c r="H27" s="148"/>
      <c r="K27" s="47">
        <f>SUM(K26:K26)</f>
        <v>0</v>
      </c>
      <c r="M27" s="72">
        <f>SUM(M9:M26)</f>
        <v>37</v>
      </c>
      <c r="N27" s="102">
        <f>SUM(N9:N26)</f>
        <v>986.55000000000007</v>
      </c>
      <c r="O27" s="74"/>
      <c r="P27" s="102">
        <f>SUM(P9:P26)</f>
        <v>1079.0500000000002</v>
      </c>
      <c r="Q27" s="148"/>
      <c r="R27" s="148"/>
      <c r="U27" s="47">
        <f>SUM(U26:U26)</f>
        <v>0</v>
      </c>
      <c r="W27" s="72">
        <f>SUM(W9:W26)</f>
        <v>8</v>
      </c>
      <c r="X27" s="102">
        <f>SUM(X9:X26)</f>
        <v>196.88</v>
      </c>
      <c r="Y27" s="74"/>
      <c r="Z27" s="102">
        <f>SUM(Z9:Z26)</f>
        <v>196.88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89" t="s">
        <v>21</v>
      </c>
      <c r="E29" s="1590"/>
      <c r="F29" s="137">
        <f>E5+E6-F27+E7+E4</f>
        <v>0</v>
      </c>
      <c r="L29" s="5"/>
      <c r="N29" s="1589" t="s">
        <v>21</v>
      </c>
      <c r="O29" s="1590"/>
      <c r="P29" s="137">
        <f>O5+O6-P27+O7+O4</f>
        <v>-2.2737367544323206E-13</v>
      </c>
      <c r="V29" s="5"/>
      <c r="X29" s="1589" t="s">
        <v>21</v>
      </c>
      <c r="Y29" s="1590"/>
      <c r="Z29" s="137">
        <f>Y5+Y6-Z27+Y7+Y4</f>
        <v>2882.67</v>
      </c>
    </row>
    <row r="30" spans="1:29" ht="15.75" thickBot="1" x14ac:dyDescent="0.3">
      <c r="A30" s="121"/>
      <c r="D30" s="248" t="s">
        <v>4</v>
      </c>
      <c r="E30" s="249"/>
      <c r="F30" s="49">
        <f>F5+F6-C27+F7+F4</f>
        <v>-1</v>
      </c>
      <c r="K30" s="121"/>
      <c r="N30" s="248" t="s">
        <v>4</v>
      </c>
      <c r="O30" s="249"/>
      <c r="P30" s="49">
        <f>P5+P6-M27+P7+P4</f>
        <v>0</v>
      </c>
      <c r="U30" s="121"/>
      <c r="X30" s="1277" t="s">
        <v>4</v>
      </c>
      <c r="Y30" s="1278"/>
      <c r="Z30" s="49">
        <f>Z5+Z6-W27+Z7+Z4</f>
        <v>103</v>
      </c>
    </row>
    <row r="31" spans="1:29" x14ac:dyDescent="0.25">
      <c r="B31" s="5"/>
      <c r="L31" s="5"/>
      <c r="V31" s="5"/>
    </row>
  </sheetData>
  <sortState ref="C10:H11">
    <sortCondition ref="G10:G11"/>
  </sortState>
  <mergeCells count="12">
    <mergeCell ref="U1:AA1"/>
    <mergeCell ref="U5:U6"/>
    <mergeCell ref="X29:Y29"/>
    <mergeCell ref="V5:V7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65" activePane="bottomLeft" state="frozen"/>
      <selection pane="bottomLeft" activeCell="G80" sqref="G8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38" t="s">
        <v>313</v>
      </c>
      <c r="B1" s="1638"/>
      <c r="C1" s="1638"/>
      <c r="D1" s="1638"/>
      <c r="E1" s="1638"/>
      <c r="F1" s="1638"/>
      <c r="G1" s="1638"/>
      <c r="H1" s="1638"/>
      <c r="I1" s="1638"/>
      <c r="J1" s="1638"/>
      <c r="K1" s="43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5"/>
      <c r="D4" s="131"/>
      <c r="E4" s="128">
        <v>67.88</v>
      </c>
      <c r="F4" s="72">
        <v>3</v>
      </c>
      <c r="G4" s="352"/>
    </row>
    <row r="5" spans="1:11" ht="15.75" customHeight="1" thickTop="1" x14ac:dyDescent="0.25">
      <c r="A5" s="1639" t="s">
        <v>186</v>
      </c>
      <c r="B5" s="462" t="s">
        <v>48</v>
      </c>
      <c r="C5" s="597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</row>
    <row r="6" spans="1:11" ht="15.75" customHeight="1" x14ac:dyDescent="0.25">
      <c r="A6" s="1631"/>
      <c r="B6" s="538" t="s">
        <v>85</v>
      </c>
      <c r="C6" s="152"/>
      <c r="D6" s="131"/>
      <c r="E6" s="77">
        <v>16.52</v>
      </c>
      <c r="F6" s="61"/>
    </row>
    <row r="7" spans="1:11" ht="15.75" customHeight="1" thickBot="1" x14ac:dyDescent="0.3">
      <c r="A7" s="484"/>
      <c r="B7" s="154"/>
      <c r="C7" s="459"/>
      <c r="D7" s="460"/>
      <c r="E7" s="461"/>
      <c r="F7" s="43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2" t="s">
        <v>57</v>
      </c>
      <c r="I8" s="247" t="s">
        <v>58</v>
      </c>
      <c r="J8" s="247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303</v>
      </c>
      <c r="H9" s="70">
        <v>81</v>
      </c>
      <c r="I9" s="877">
        <f>E5-F9+E4+E6+E7</f>
        <v>17883.540000000005</v>
      </c>
      <c r="J9" s="878">
        <f>F5-C9+F4+F6+F7</f>
        <v>657</v>
      </c>
      <c r="K9" s="393">
        <f>F9*H9</f>
        <v>66144.599999999991</v>
      </c>
    </row>
    <row r="10" spans="1:11" x14ac:dyDescent="0.25">
      <c r="A10" s="485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39">
        <f>I9-F10</f>
        <v>17883.540000000005</v>
      </c>
      <c r="J10" s="640">
        <f>J9-C10</f>
        <v>657</v>
      </c>
      <c r="K10" s="396">
        <f t="shared" ref="K10:K73" si="2">F10*H10</f>
        <v>0</v>
      </c>
    </row>
    <row r="11" spans="1:11" x14ac:dyDescent="0.25">
      <c r="A11" s="486"/>
      <c r="B11">
        <v>27.22</v>
      </c>
      <c r="C11" s="15">
        <v>10</v>
      </c>
      <c r="D11" s="1012">
        <f t="shared" si="0"/>
        <v>272.2</v>
      </c>
      <c r="E11" s="1035">
        <v>45173</v>
      </c>
      <c r="F11" s="1012">
        <f t="shared" si="1"/>
        <v>272.2</v>
      </c>
      <c r="G11" s="844" t="s">
        <v>523</v>
      </c>
      <c r="H11" s="845">
        <v>81</v>
      </c>
      <c r="I11" s="1036">
        <f t="shared" ref="I11:I74" si="3">I10-F11</f>
        <v>17611.340000000004</v>
      </c>
      <c r="J11" s="395">
        <f t="shared" ref="J11" si="4">J10-C11</f>
        <v>647</v>
      </c>
      <c r="K11" s="396">
        <f t="shared" si="2"/>
        <v>22048.2</v>
      </c>
    </row>
    <row r="12" spans="1:11" x14ac:dyDescent="0.25">
      <c r="A12" s="54" t="s">
        <v>33</v>
      </c>
      <c r="B12">
        <v>27.22</v>
      </c>
      <c r="C12" s="15">
        <v>1</v>
      </c>
      <c r="D12" s="1037">
        <f t="shared" si="0"/>
        <v>27.22</v>
      </c>
      <c r="E12" s="1020">
        <v>45174</v>
      </c>
      <c r="F12" s="1012">
        <f t="shared" si="1"/>
        <v>27.22</v>
      </c>
      <c r="G12" s="844" t="s">
        <v>528</v>
      </c>
      <c r="H12" s="845">
        <v>81</v>
      </c>
      <c r="I12" s="1036">
        <f t="shared" si="3"/>
        <v>17584.120000000003</v>
      </c>
      <c r="J12" s="395">
        <f>J11-C12</f>
        <v>646</v>
      </c>
      <c r="K12" s="396">
        <f t="shared" si="2"/>
        <v>2204.8199999999997</v>
      </c>
    </row>
    <row r="13" spans="1:11" ht="15" customHeight="1" x14ac:dyDescent="0.25">
      <c r="A13" s="374"/>
      <c r="B13">
        <v>27.22</v>
      </c>
      <c r="C13" s="15">
        <v>1</v>
      </c>
      <c r="D13" s="1037">
        <f t="shared" si="0"/>
        <v>27.22</v>
      </c>
      <c r="E13" s="1020">
        <v>45174</v>
      </c>
      <c r="F13" s="1012">
        <f t="shared" si="1"/>
        <v>27.22</v>
      </c>
      <c r="G13" s="844" t="s">
        <v>525</v>
      </c>
      <c r="H13" s="845">
        <v>81</v>
      </c>
      <c r="I13" s="1036">
        <f t="shared" si="3"/>
        <v>17556.900000000001</v>
      </c>
      <c r="J13" s="395">
        <f t="shared" ref="J13:J76" si="5">J12-C13</f>
        <v>645</v>
      </c>
      <c r="K13" s="396">
        <f t="shared" si="2"/>
        <v>2204.8199999999997</v>
      </c>
    </row>
    <row r="14" spans="1:11" x14ac:dyDescent="0.25">
      <c r="A14" s="374"/>
      <c r="B14">
        <v>27.22</v>
      </c>
      <c r="C14" s="15">
        <v>24</v>
      </c>
      <c r="D14" s="1037">
        <f t="shared" si="0"/>
        <v>653.28</v>
      </c>
      <c r="E14" s="1020">
        <v>45174</v>
      </c>
      <c r="F14" s="1012">
        <f t="shared" si="1"/>
        <v>653.28</v>
      </c>
      <c r="G14" s="844" t="s">
        <v>533</v>
      </c>
      <c r="H14" s="845">
        <v>81</v>
      </c>
      <c r="I14" s="1036">
        <f t="shared" si="3"/>
        <v>16903.620000000003</v>
      </c>
      <c r="J14" s="395">
        <f t="shared" si="5"/>
        <v>621</v>
      </c>
      <c r="K14" s="396">
        <f t="shared" si="2"/>
        <v>52915.68</v>
      </c>
    </row>
    <row r="15" spans="1:11" x14ac:dyDescent="0.25">
      <c r="A15" s="374"/>
      <c r="B15">
        <v>27.22</v>
      </c>
      <c r="C15" s="15">
        <v>3</v>
      </c>
      <c r="D15" s="1037">
        <f t="shared" si="0"/>
        <v>81.66</v>
      </c>
      <c r="E15" s="1020">
        <v>45174</v>
      </c>
      <c r="F15" s="1012">
        <f t="shared" si="1"/>
        <v>81.66</v>
      </c>
      <c r="G15" s="844" t="s">
        <v>533</v>
      </c>
      <c r="H15" s="845">
        <v>81</v>
      </c>
      <c r="I15" s="1036">
        <f t="shared" si="3"/>
        <v>16821.960000000003</v>
      </c>
      <c r="J15" s="395">
        <f t="shared" si="5"/>
        <v>618</v>
      </c>
      <c r="K15" s="396">
        <f t="shared" si="2"/>
        <v>6614.46</v>
      </c>
    </row>
    <row r="16" spans="1:11" x14ac:dyDescent="0.25">
      <c r="A16" s="374"/>
      <c r="B16">
        <v>27.22</v>
      </c>
      <c r="C16" s="15">
        <v>5</v>
      </c>
      <c r="D16" s="1037">
        <f t="shared" si="0"/>
        <v>136.1</v>
      </c>
      <c r="E16" s="1020">
        <v>45175</v>
      </c>
      <c r="F16" s="1012">
        <f t="shared" si="1"/>
        <v>136.1</v>
      </c>
      <c r="G16" s="844" t="s">
        <v>521</v>
      </c>
      <c r="H16" s="845">
        <v>81</v>
      </c>
      <c r="I16" s="1036">
        <f t="shared" si="3"/>
        <v>16685.860000000004</v>
      </c>
      <c r="J16" s="395">
        <f t="shared" si="5"/>
        <v>613</v>
      </c>
      <c r="K16" s="396">
        <f t="shared" si="2"/>
        <v>11024.1</v>
      </c>
    </row>
    <row r="17" spans="1:11" x14ac:dyDescent="0.25">
      <c r="A17" s="374"/>
      <c r="B17">
        <v>27.22</v>
      </c>
      <c r="C17" s="15">
        <v>6</v>
      </c>
      <c r="D17" s="1037">
        <f t="shared" si="0"/>
        <v>163.32</v>
      </c>
      <c r="E17" s="1020">
        <v>45175</v>
      </c>
      <c r="F17" s="1012">
        <f t="shared" si="1"/>
        <v>163.32</v>
      </c>
      <c r="G17" s="844" t="s">
        <v>535</v>
      </c>
      <c r="H17" s="845">
        <v>81</v>
      </c>
      <c r="I17" s="1036">
        <f t="shared" si="3"/>
        <v>16522.540000000005</v>
      </c>
      <c r="J17" s="395">
        <f t="shared" si="5"/>
        <v>607</v>
      </c>
      <c r="K17" s="396">
        <f t="shared" si="2"/>
        <v>13228.92</v>
      </c>
    </row>
    <row r="18" spans="1:11" x14ac:dyDescent="0.25">
      <c r="B18">
        <v>27.22</v>
      </c>
      <c r="C18" s="15">
        <v>3</v>
      </c>
      <c r="D18" s="1037">
        <f t="shared" si="0"/>
        <v>81.66</v>
      </c>
      <c r="E18" s="1020">
        <v>45175</v>
      </c>
      <c r="F18" s="1012">
        <f t="shared" si="1"/>
        <v>81.66</v>
      </c>
      <c r="G18" s="844" t="s">
        <v>536</v>
      </c>
      <c r="H18" s="845">
        <v>81</v>
      </c>
      <c r="I18" s="1036">
        <f t="shared" si="3"/>
        <v>16440.880000000005</v>
      </c>
      <c r="J18" s="395">
        <f t="shared" si="5"/>
        <v>604</v>
      </c>
      <c r="K18" s="396">
        <f t="shared" si="2"/>
        <v>6614.46</v>
      </c>
    </row>
    <row r="19" spans="1:11" x14ac:dyDescent="0.25">
      <c r="B19">
        <v>27.22</v>
      </c>
      <c r="C19" s="15">
        <v>1</v>
      </c>
      <c r="D19" s="1037">
        <f t="shared" si="0"/>
        <v>27.22</v>
      </c>
      <c r="E19" s="1020">
        <v>45175</v>
      </c>
      <c r="F19" s="1012">
        <f t="shared" si="1"/>
        <v>27.22</v>
      </c>
      <c r="G19" s="844" t="s">
        <v>542</v>
      </c>
      <c r="H19" s="845">
        <v>81</v>
      </c>
      <c r="I19" s="1036">
        <f t="shared" si="3"/>
        <v>16413.660000000003</v>
      </c>
      <c r="J19" s="395">
        <f t="shared" si="5"/>
        <v>603</v>
      </c>
      <c r="K19" s="396">
        <f t="shared" si="2"/>
        <v>2204.8199999999997</v>
      </c>
    </row>
    <row r="20" spans="1:11" x14ac:dyDescent="0.25">
      <c r="B20">
        <v>27.22</v>
      </c>
      <c r="C20" s="15">
        <v>1</v>
      </c>
      <c r="D20" s="1037">
        <f t="shared" si="0"/>
        <v>27.22</v>
      </c>
      <c r="E20" s="1020">
        <v>45176</v>
      </c>
      <c r="F20" s="1012">
        <f t="shared" si="1"/>
        <v>27.22</v>
      </c>
      <c r="G20" s="844" t="s">
        <v>553</v>
      </c>
      <c r="H20" s="845">
        <v>81</v>
      </c>
      <c r="I20" s="1036">
        <f t="shared" si="3"/>
        <v>16386.440000000002</v>
      </c>
      <c r="J20" s="395">
        <f t="shared" si="5"/>
        <v>602</v>
      </c>
      <c r="K20" s="396">
        <f t="shared" si="2"/>
        <v>2204.8199999999997</v>
      </c>
    </row>
    <row r="21" spans="1:11" x14ac:dyDescent="0.25">
      <c r="B21">
        <v>27.22</v>
      </c>
      <c r="C21" s="15">
        <v>1</v>
      </c>
      <c r="D21" s="1037">
        <f t="shared" si="0"/>
        <v>27.22</v>
      </c>
      <c r="E21" s="1020">
        <v>45176</v>
      </c>
      <c r="F21" s="1012">
        <f t="shared" si="1"/>
        <v>27.22</v>
      </c>
      <c r="G21" s="844" t="s">
        <v>556</v>
      </c>
      <c r="H21" s="845">
        <v>81</v>
      </c>
      <c r="I21" s="1036">
        <f t="shared" si="3"/>
        <v>16359.220000000003</v>
      </c>
      <c r="J21" s="395">
        <f t="shared" si="5"/>
        <v>601</v>
      </c>
      <c r="K21" s="396">
        <f t="shared" si="2"/>
        <v>2204.8199999999997</v>
      </c>
    </row>
    <row r="22" spans="1:11" x14ac:dyDescent="0.25">
      <c r="A22" t="s">
        <v>22</v>
      </c>
      <c r="B22">
        <v>27.22</v>
      </c>
      <c r="C22" s="15">
        <v>5</v>
      </c>
      <c r="D22" s="1037">
        <f t="shared" si="0"/>
        <v>136.1</v>
      </c>
      <c r="E22" s="1020">
        <v>45176</v>
      </c>
      <c r="F22" s="1012">
        <f t="shared" si="1"/>
        <v>136.1</v>
      </c>
      <c r="G22" s="844" t="s">
        <v>559</v>
      </c>
      <c r="H22" s="845">
        <v>81</v>
      </c>
      <c r="I22" s="1036">
        <f t="shared" si="3"/>
        <v>16223.120000000003</v>
      </c>
      <c r="J22" s="395">
        <f t="shared" si="5"/>
        <v>596</v>
      </c>
      <c r="K22" s="396">
        <f t="shared" si="2"/>
        <v>11024.1</v>
      </c>
    </row>
    <row r="23" spans="1:11" x14ac:dyDescent="0.25">
      <c r="B23">
        <v>27.22</v>
      </c>
      <c r="C23" s="15">
        <v>20</v>
      </c>
      <c r="D23" s="1037">
        <f t="shared" si="0"/>
        <v>544.4</v>
      </c>
      <c r="E23" s="1020">
        <v>45176</v>
      </c>
      <c r="F23" s="1012">
        <f t="shared" si="1"/>
        <v>544.4</v>
      </c>
      <c r="G23" s="844" t="s">
        <v>563</v>
      </c>
      <c r="H23" s="845">
        <v>81</v>
      </c>
      <c r="I23" s="1036">
        <f t="shared" si="3"/>
        <v>15678.720000000003</v>
      </c>
      <c r="J23" s="395">
        <f t="shared" si="5"/>
        <v>576</v>
      </c>
      <c r="K23" s="396">
        <f t="shared" si="2"/>
        <v>44096.4</v>
      </c>
    </row>
    <row r="24" spans="1:11" x14ac:dyDescent="0.25">
      <c r="B24">
        <v>27.22</v>
      </c>
      <c r="C24" s="15">
        <v>24</v>
      </c>
      <c r="D24" s="1037">
        <f t="shared" si="0"/>
        <v>653.28</v>
      </c>
      <c r="E24" s="1020">
        <v>45176</v>
      </c>
      <c r="F24" s="1012">
        <f t="shared" si="1"/>
        <v>653.28</v>
      </c>
      <c r="G24" s="844" t="s">
        <v>565</v>
      </c>
      <c r="H24" s="845">
        <v>81</v>
      </c>
      <c r="I24" s="1036">
        <f t="shared" si="3"/>
        <v>15025.440000000002</v>
      </c>
      <c r="J24" s="395">
        <f t="shared" si="5"/>
        <v>552</v>
      </c>
      <c r="K24" s="396">
        <f t="shared" si="2"/>
        <v>52915.68</v>
      </c>
    </row>
    <row r="25" spans="1:11" x14ac:dyDescent="0.25">
      <c r="B25">
        <v>27.22</v>
      </c>
      <c r="C25" s="15">
        <v>2</v>
      </c>
      <c r="D25" s="1037">
        <f t="shared" si="0"/>
        <v>54.44</v>
      </c>
      <c r="E25" s="1020">
        <v>45024</v>
      </c>
      <c r="F25" s="1012">
        <f t="shared" si="1"/>
        <v>54.44</v>
      </c>
      <c r="G25" s="844" t="s">
        <v>570</v>
      </c>
      <c r="H25" s="845">
        <v>81</v>
      </c>
      <c r="I25" s="1036">
        <f t="shared" si="3"/>
        <v>14971.000000000002</v>
      </c>
      <c r="J25" s="395">
        <f t="shared" si="5"/>
        <v>550</v>
      </c>
      <c r="K25" s="396">
        <f t="shared" si="2"/>
        <v>4409.6399999999994</v>
      </c>
    </row>
    <row r="26" spans="1:11" x14ac:dyDescent="0.25">
      <c r="B26">
        <v>27.22</v>
      </c>
      <c r="C26" s="15">
        <v>5</v>
      </c>
      <c r="D26" s="1037">
        <f t="shared" si="0"/>
        <v>136.1</v>
      </c>
      <c r="E26" s="1020">
        <v>45178</v>
      </c>
      <c r="F26" s="1012">
        <f t="shared" si="1"/>
        <v>136.1</v>
      </c>
      <c r="G26" s="844" t="s">
        <v>582</v>
      </c>
      <c r="H26" s="845">
        <v>81</v>
      </c>
      <c r="I26" s="1036">
        <f t="shared" si="3"/>
        <v>14834.900000000001</v>
      </c>
      <c r="J26" s="395">
        <f t="shared" si="5"/>
        <v>545</v>
      </c>
      <c r="K26" s="396">
        <f t="shared" si="2"/>
        <v>11024.1</v>
      </c>
    </row>
    <row r="27" spans="1:11" x14ac:dyDescent="0.25">
      <c r="B27">
        <v>27.22</v>
      </c>
      <c r="C27" s="15">
        <v>24</v>
      </c>
      <c r="D27" s="1037">
        <f t="shared" si="0"/>
        <v>653.28</v>
      </c>
      <c r="E27" s="1020">
        <v>45178</v>
      </c>
      <c r="F27" s="1012">
        <f t="shared" si="1"/>
        <v>653.28</v>
      </c>
      <c r="G27" s="844" t="s">
        <v>583</v>
      </c>
      <c r="H27" s="845">
        <v>81</v>
      </c>
      <c r="I27" s="1036">
        <f t="shared" si="3"/>
        <v>14181.62</v>
      </c>
      <c r="J27" s="395">
        <f t="shared" si="5"/>
        <v>521</v>
      </c>
      <c r="K27" s="396">
        <f t="shared" si="2"/>
        <v>52915.68</v>
      </c>
    </row>
    <row r="28" spans="1:11" x14ac:dyDescent="0.25">
      <c r="B28">
        <v>27.22</v>
      </c>
      <c r="C28" s="15">
        <v>5</v>
      </c>
      <c r="D28" s="1037">
        <f t="shared" si="0"/>
        <v>136.1</v>
      </c>
      <c r="E28" s="1020">
        <v>45178</v>
      </c>
      <c r="F28" s="1012">
        <f t="shared" si="1"/>
        <v>136.1</v>
      </c>
      <c r="G28" s="844" t="s">
        <v>584</v>
      </c>
      <c r="H28" s="845">
        <v>81</v>
      </c>
      <c r="I28" s="1036">
        <f t="shared" si="3"/>
        <v>14045.52</v>
      </c>
      <c r="J28" s="395">
        <f t="shared" si="5"/>
        <v>516</v>
      </c>
      <c r="K28" s="396">
        <f t="shared" si="2"/>
        <v>11024.1</v>
      </c>
    </row>
    <row r="29" spans="1:11" x14ac:dyDescent="0.25">
      <c r="B29">
        <v>27.22</v>
      </c>
      <c r="C29" s="15">
        <v>1</v>
      </c>
      <c r="D29" s="1037">
        <f t="shared" si="0"/>
        <v>27.22</v>
      </c>
      <c r="E29" s="1020">
        <v>45178</v>
      </c>
      <c r="F29" s="1012">
        <f t="shared" si="1"/>
        <v>27.22</v>
      </c>
      <c r="G29" s="844" t="s">
        <v>585</v>
      </c>
      <c r="H29" s="845">
        <v>81</v>
      </c>
      <c r="I29" s="1036">
        <f t="shared" si="3"/>
        <v>14018.300000000001</v>
      </c>
      <c r="J29" s="395">
        <f t="shared" si="5"/>
        <v>515</v>
      </c>
      <c r="K29" s="396">
        <f t="shared" si="2"/>
        <v>2204.8199999999997</v>
      </c>
    </row>
    <row r="30" spans="1:11" x14ac:dyDescent="0.25">
      <c r="B30">
        <v>27.22</v>
      </c>
      <c r="C30" s="15">
        <v>24</v>
      </c>
      <c r="D30" s="1037">
        <f t="shared" si="0"/>
        <v>653.28</v>
      </c>
      <c r="E30" s="1020">
        <v>45178</v>
      </c>
      <c r="F30" s="1012">
        <f t="shared" si="1"/>
        <v>653.28</v>
      </c>
      <c r="G30" s="844" t="s">
        <v>588</v>
      </c>
      <c r="H30" s="845">
        <v>81</v>
      </c>
      <c r="I30" s="1036">
        <f t="shared" si="3"/>
        <v>13365.02</v>
      </c>
      <c r="J30" s="395">
        <f t="shared" si="5"/>
        <v>491</v>
      </c>
      <c r="K30" s="396">
        <f t="shared" si="2"/>
        <v>52915.68</v>
      </c>
    </row>
    <row r="31" spans="1:11" ht="18.75" x14ac:dyDescent="0.3">
      <c r="A31" s="1358" t="s">
        <v>789</v>
      </c>
      <c r="B31" s="1359">
        <v>27.22</v>
      </c>
      <c r="C31" s="1360">
        <v>15</v>
      </c>
      <c r="D31" s="1361">
        <f t="shared" si="0"/>
        <v>408.29999999999995</v>
      </c>
      <c r="E31" s="1020">
        <v>45180</v>
      </c>
      <c r="F31" s="1012">
        <f t="shared" si="1"/>
        <v>408.29999999999995</v>
      </c>
      <c r="G31" s="844" t="s">
        <v>601</v>
      </c>
      <c r="H31" s="845">
        <v>81</v>
      </c>
      <c r="I31" s="1036">
        <f t="shared" si="3"/>
        <v>12956.720000000001</v>
      </c>
      <c r="J31" s="395">
        <f t="shared" si="5"/>
        <v>476</v>
      </c>
      <c r="K31" s="396">
        <f t="shared" si="2"/>
        <v>33072.299999999996</v>
      </c>
    </row>
    <row r="32" spans="1:11" x14ac:dyDescent="0.25">
      <c r="B32">
        <v>27.22</v>
      </c>
      <c r="C32" s="15">
        <v>1</v>
      </c>
      <c r="D32" s="1037">
        <f t="shared" si="0"/>
        <v>27.22</v>
      </c>
      <c r="E32" s="1020">
        <v>45180</v>
      </c>
      <c r="F32" s="1012">
        <f t="shared" si="1"/>
        <v>27.22</v>
      </c>
      <c r="G32" s="844" t="s">
        <v>603</v>
      </c>
      <c r="H32" s="845">
        <v>81</v>
      </c>
      <c r="I32" s="1036">
        <f t="shared" si="3"/>
        <v>12929.500000000002</v>
      </c>
      <c r="J32" s="395">
        <f t="shared" si="5"/>
        <v>475</v>
      </c>
      <c r="K32" s="396">
        <f t="shared" si="2"/>
        <v>2204.8199999999997</v>
      </c>
    </row>
    <row r="33" spans="2:11" x14ac:dyDescent="0.25">
      <c r="B33">
        <v>27.22</v>
      </c>
      <c r="C33" s="15">
        <v>1</v>
      </c>
      <c r="D33" s="1037">
        <f t="shared" si="0"/>
        <v>27.22</v>
      </c>
      <c r="E33" s="1020">
        <v>45181</v>
      </c>
      <c r="F33" s="1012">
        <f t="shared" si="1"/>
        <v>27.22</v>
      </c>
      <c r="G33" s="844" t="s">
        <v>611</v>
      </c>
      <c r="H33" s="845">
        <v>81</v>
      </c>
      <c r="I33" s="1036">
        <f t="shared" si="3"/>
        <v>12902.280000000002</v>
      </c>
      <c r="J33" s="395">
        <f t="shared" si="5"/>
        <v>474</v>
      </c>
      <c r="K33" s="396">
        <f t="shared" si="2"/>
        <v>2204.8199999999997</v>
      </c>
    </row>
    <row r="34" spans="2:11" x14ac:dyDescent="0.25">
      <c r="B34">
        <v>27.22</v>
      </c>
      <c r="C34" s="15">
        <v>3</v>
      </c>
      <c r="D34" s="1037">
        <f t="shared" si="0"/>
        <v>81.66</v>
      </c>
      <c r="E34" s="1020">
        <v>45181</v>
      </c>
      <c r="F34" s="1012">
        <f t="shared" si="1"/>
        <v>81.66</v>
      </c>
      <c r="G34" s="844" t="s">
        <v>615</v>
      </c>
      <c r="H34" s="845">
        <v>81</v>
      </c>
      <c r="I34" s="1036">
        <f t="shared" si="3"/>
        <v>12820.620000000003</v>
      </c>
      <c r="J34" s="395">
        <f t="shared" si="5"/>
        <v>471</v>
      </c>
      <c r="K34" s="396">
        <f t="shared" si="2"/>
        <v>6614.46</v>
      </c>
    </row>
    <row r="35" spans="2:11" x14ac:dyDescent="0.25">
      <c r="B35">
        <v>27.22</v>
      </c>
      <c r="C35" s="15">
        <v>1</v>
      </c>
      <c r="D35" s="1037">
        <f t="shared" si="0"/>
        <v>27.22</v>
      </c>
      <c r="E35" s="1020">
        <v>45181</v>
      </c>
      <c r="F35" s="1012">
        <f t="shared" si="1"/>
        <v>27.22</v>
      </c>
      <c r="G35" s="844" t="s">
        <v>618</v>
      </c>
      <c r="H35" s="845">
        <v>81</v>
      </c>
      <c r="I35" s="1036">
        <f t="shared" si="3"/>
        <v>12793.400000000003</v>
      </c>
      <c r="J35" s="395">
        <f t="shared" si="5"/>
        <v>470</v>
      </c>
      <c r="K35" s="396">
        <f t="shared" si="2"/>
        <v>2204.8199999999997</v>
      </c>
    </row>
    <row r="36" spans="2:11" x14ac:dyDescent="0.25">
      <c r="B36">
        <v>27.22</v>
      </c>
      <c r="C36" s="15">
        <v>24</v>
      </c>
      <c r="D36" s="1037">
        <f t="shared" si="0"/>
        <v>653.28</v>
      </c>
      <c r="E36" s="1020">
        <v>45181</v>
      </c>
      <c r="F36" s="1012">
        <f t="shared" si="1"/>
        <v>653.28</v>
      </c>
      <c r="G36" s="844" t="s">
        <v>621</v>
      </c>
      <c r="H36" s="845">
        <v>81</v>
      </c>
      <c r="I36" s="1036">
        <f t="shared" si="3"/>
        <v>12140.120000000003</v>
      </c>
      <c r="J36" s="395">
        <f t="shared" si="5"/>
        <v>446</v>
      </c>
      <c r="K36" s="396">
        <f t="shared" si="2"/>
        <v>52915.68</v>
      </c>
    </row>
    <row r="37" spans="2:11" x14ac:dyDescent="0.25">
      <c r="B37">
        <v>27.22</v>
      </c>
      <c r="C37" s="15">
        <v>11</v>
      </c>
      <c r="D37" s="1012">
        <f t="shared" si="0"/>
        <v>299.41999999999996</v>
      </c>
      <c r="E37" s="1035">
        <v>45182</v>
      </c>
      <c r="F37" s="1012">
        <f t="shared" si="1"/>
        <v>299.41999999999996</v>
      </c>
      <c r="G37" s="844" t="s">
        <v>626</v>
      </c>
      <c r="H37" s="845">
        <v>81</v>
      </c>
      <c r="I37" s="1036">
        <f t="shared" si="3"/>
        <v>11840.700000000003</v>
      </c>
      <c r="J37" s="395">
        <f t="shared" si="5"/>
        <v>435</v>
      </c>
      <c r="K37" s="396">
        <f t="shared" si="2"/>
        <v>24253.019999999997</v>
      </c>
    </row>
    <row r="38" spans="2:11" x14ac:dyDescent="0.25">
      <c r="B38">
        <v>27.22</v>
      </c>
      <c r="C38" s="15">
        <v>2</v>
      </c>
      <c r="D38" s="1012">
        <f t="shared" si="0"/>
        <v>54.44</v>
      </c>
      <c r="E38" s="1035">
        <v>45182</v>
      </c>
      <c r="F38" s="1012">
        <f t="shared" si="1"/>
        <v>54.44</v>
      </c>
      <c r="G38" s="844" t="s">
        <v>629</v>
      </c>
      <c r="H38" s="845">
        <v>81</v>
      </c>
      <c r="I38" s="1036">
        <f t="shared" si="3"/>
        <v>11786.260000000002</v>
      </c>
      <c r="J38" s="395">
        <f t="shared" si="5"/>
        <v>433</v>
      </c>
      <c r="K38" s="396">
        <f t="shared" si="2"/>
        <v>4409.6399999999994</v>
      </c>
    </row>
    <row r="39" spans="2:11" x14ac:dyDescent="0.25">
      <c r="B39">
        <v>27.22</v>
      </c>
      <c r="C39" s="15">
        <v>10</v>
      </c>
      <c r="D39" s="1012">
        <f t="shared" si="0"/>
        <v>272.2</v>
      </c>
      <c r="E39" s="1035">
        <v>45182</v>
      </c>
      <c r="F39" s="1012">
        <f t="shared" si="1"/>
        <v>272.2</v>
      </c>
      <c r="G39" s="844" t="s">
        <v>630</v>
      </c>
      <c r="H39" s="845">
        <v>81</v>
      </c>
      <c r="I39" s="1036">
        <f t="shared" si="3"/>
        <v>11514.060000000001</v>
      </c>
      <c r="J39" s="395">
        <f t="shared" si="5"/>
        <v>423</v>
      </c>
      <c r="K39" s="396">
        <f t="shared" si="2"/>
        <v>22048.2</v>
      </c>
    </row>
    <row r="40" spans="2:11" x14ac:dyDescent="0.25">
      <c r="B40">
        <v>27.22</v>
      </c>
      <c r="C40" s="15">
        <v>24</v>
      </c>
      <c r="D40" s="1012">
        <f t="shared" si="0"/>
        <v>653.28</v>
      </c>
      <c r="E40" s="1035">
        <v>45182</v>
      </c>
      <c r="F40" s="1012">
        <f t="shared" si="1"/>
        <v>653.28</v>
      </c>
      <c r="G40" s="844" t="s">
        <v>631</v>
      </c>
      <c r="H40" s="845">
        <v>81</v>
      </c>
      <c r="I40" s="1036">
        <f t="shared" si="3"/>
        <v>10860.78</v>
      </c>
      <c r="J40" s="395">
        <f t="shared" si="5"/>
        <v>399</v>
      </c>
      <c r="K40" s="396">
        <f t="shared" si="2"/>
        <v>52915.68</v>
      </c>
    </row>
    <row r="41" spans="2:11" x14ac:dyDescent="0.25">
      <c r="B41">
        <v>27.22</v>
      </c>
      <c r="C41" s="15">
        <v>24</v>
      </c>
      <c r="D41" s="1012">
        <f t="shared" si="0"/>
        <v>653.28</v>
      </c>
      <c r="E41" s="1035">
        <v>45182</v>
      </c>
      <c r="F41" s="1012">
        <f t="shared" si="1"/>
        <v>653.28</v>
      </c>
      <c r="G41" s="844" t="s">
        <v>631</v>
      </c>
      <c r="H41" s="845">
        <v>81</v>
      </c>
      <c r="I41" s="1036">
        <f t="shared" si="3"/>
        <v>10207.5</v>
      </c>
      <c r="J41" s="395">
        <f t="shared" si="5"/>
        <v>375</v>
      </c>
      <c r="K41" s="396">
        <f t="shared" si="2"/>
        <v>52915.68</v>
      </c>
    </row>
    <row r="42" spans="2:11" x14ac:dyDescent="0.25">
      <c r="B42">
        <v>27.22</v>
      </c>
      <c r="C42" s="15">
        <v>1</v>
      </c>
      <c r="D42" s="1012">
        <f t="shared" si="0"/>
        <v>27.22</v>
      </c>
      <c r="E42" s="1035">
        <v>45182</v>
      </c>
      <c r="F42" s="1012">
        <f t="shared" si="1"/>
        <v>27.22</v>
      </c>
      <c r="G42" s="844" t="s">
        <v>634</v>
      </c>
      <c r="H42" s="845">
        <v>81</v>
      </c>
      <c r="I42" s="1036">
        <f t="shared" si="3"/>
        <v>10180.280000000001</v>
      </c>
      <c r="J42" s="395">
        <f t="shared" si="5"/>
        <v>374</v>
      </c>
      <c r="K42" s="396">
        <f t="shared" si="2"/>
        <v>2204.8199999999997</v>
      </c>
    </row>
    <row r="43" spans="2:11" x14ac:dyDescent="0.25">
      <c r="B43">
        <v>27.22</v>
      </c>
      <c r="C43" s="15">
        <v>4</v>
      </c>
      <c r="D43" s="1012">
        <f t="shared" si="0"/>
        <v>108.88</v>
      </c>
      <c r="E43" s="1035">
        <v>45183</v>
      </c>
      <c r="F43" s="1012">
        <f t="shared" si="1"/>
        <v>108.88</v>
      </c>
      <c r="G43" s="844" t="s">
        <v>639</v>
      </c>
      <c r="H43" s="845">
        <v>81</v>
      </c>
      <c r="I43" s="1036">
        <f t="shared" si="3"/>
        <v>10071.400000000001</v>
      </c>
      <c r="J43" s="395">
        <f t="shared" si="5"/>
        <v>370</v>
      </c>
      <c r="K43" s="396">
        <f t="shared" si="2"/>
        <v>8819.2799999999988</v>
      </c>
    </row>
    <row r="44" spans="2:11" x14ac:dyDescent="0.25">
      <c r="B44">
        <v>27.22</v>
      </c>
      <c r="C44" s="15">
        <v>10</v>
      </c>
      <c r="D44" s="1012">
        <f t="shared" si="0"/>
        <v>272.2</v>
      </c>
      <c r="E44" s="1035">
        <v>45183</v>
      </c>
      <c r="F44" s="1012">
        <f t="shared" si="1"/>
        <v>272.2</v>
      </c>
      <c r="G44" s="844" t="s">
        <v>640</v>
      </c>
      <c r="H44" s="845">
        <v>81</v>
      </c>
      <c r="I44" s="1036">
        <f t="shared" si="3"/>
        <v>9799.2000000000007</v>
      </c>
      <c r="J44" s="395">
        <f t="shared" si="5"/>
        <v>360</v>
      </c>
      <c r="K44" s="396">
        <f t="shared" si="2"/>
        <v>22048.2</v>
      </c>
    </row>
    <row r="45" spans="2:11" x14ac:dyDescent="0.25">
      <c r="B45">
        <v>27.22</v>
      </c>
      <c r="C45" s="15">
        <v>1</v>
      </c>
      <c r="D45" s="1012">
        <f t="shared" si="0"/>
        <v>27.22</v>
      </c>
      <c r="E45" s="1035">
        <v>45182</v>
      </c>
      <c r="F45" s="1012">
        <f t="shared" si="1"/>
        <v>27.22</v>
      </c>
      <c r="G45" s="844" t="s">
        <v>644</v>
      </c>
      <c r="H45" s="845">
        <v>81</v>
      </c>
      <c r="I45" s="1036">
        <f t="shared" si="3"/>
        <v>9771.9800000000014</v>
      </c>
      <c r="J45" s="395">
        <f t="shared" si="5"/>
        <v>359</v>
      </c>
      <c r="K45" s="396">
        <f t="shared" si="2"/>
        <v>2204.8199999999997</v>
      </c>
    </row>
    <row r="46" spans="2:11" x14ac:dyDescent="0.25">
      <c r="B46">
        <v>27.22</v>
      </c>
      <c r="C46" s="15">
        <v>10</v>
      </c>
      <c r="D46" s="1012">
        <f t="shared" ref="D46:D74" si="6">C46*B46</f>
        <v>272.2</v>
      </c>
      <c r="E46" s="1035">
        <v>45183</v>
      </c>
      <c r="F46" s="1012">
        <f t="shared" ref="F46:F74" si="7">D46</f>
        <v>272.2</v>
      </c>
      <c r="G46" s="844" t="s">
        <v>646</v>
      </c>
      <c r="H46" s="845">
        <v>81</v>
      </c>
      <c r="I46" s="1036">
        <f t="shared" si="3"/>
        <v>9499.7800000000007</v>
      </c>
      <c r="J46" s="395">
        <f t="shared" si="5"/>
        <v>349</v>
      </c>
      <c r="K46" s="396">
        <f t="shared" si="2"/>
        <v>22048.2</v>
      </c>
    </row>
    <row r="47" spans="2:11" x14ac:dyDescent="0.25">
      <c r="B47">
        <v>27.22</v>
      </c>
      <c r="C47" s="1354">
        <v>1</v>
      </c>
      <c r="D47" s="1353">
        <f t="shared" si="6"/>
        <v>27.22</v>
      </c>
      <c r="E47" s="1355">
        <v>45184</v>
      </c>
      <c r="F47" s="1353">
        <f t="shared" si="7"/>
        <v>27.22</v>
      </c>
      <c r="G47" s="1356" t="s">
        <v>788</v>
      </c>
      <c r="H47" s="1357">
        <v>81</v>
      </c>
      <c r="I47" s="1036">
        <f t="shared" si="3"/>
        <v>9472.5600000000013</v>
      </c>
      <c r="J47" s="395">
        <f t="shared" si="5"/>
        <v>348</v>
      </c>
      <c r="K47" s="396">
        <f t="shared" si="2"/>
        <v>2204.8199999999997</v>
      </c>
    </row>
    <row r="48" spans="2:11" x14ac:dyDescent="0.25">
      <c r="B48">
        <v>27.22</v>
      </c>
      <c r="C48" s="15">
        <v>24</v>
      </c>
      <c r="D48" s="1353">
        <f t="shared" si="6"/>
        <v>653.28</v>
      </c>
      <c r="E48" s="1035">
        <v>45184</v>
      </c>
      <c r="F48" s="1012">
        <f t="shared" si="7"/>
        <v>653.28</v>
      </c>
      <c r="G48" s="844" t="s">
        <v>653</v>
      </c>
      <c r="H48" s="845">
        <v>81</v>
      </c>
      <c r="I48" s="1036">
        <f t="shared" si="3"/>
        <v>8819.2800000000007</v>
      </c>
      <c r="J48" s="395">
        <f t="shared" si="5"/>
        <v>324</v>
      </c>
      <c r="K48" s="396">
        <f t="shared" si="2"/>
        <v>52915.68</v>
      </c>
    </row>
    <row r="49" spans="1:11" x14ac:dyDescent="0.25">
      <c r="B49">
        <v>27.22</v>
      </c>
      <c r="C49" s="15">
        <v>10</v>
      </c>
      <c r="D49" s="1012">
        <f t="shared" si="6"/>
        <v>272.2</v>
      </c>
      <c r="E49" s="1035">
        <v>45184</v>
      </c>
      <c r="F49" s="1012">
        <f t="shared" si="7"/>
        <v>272.2</v>
      </c>
      <c r="G49" s="844" t="s">
        <v>645</v>
      </c>
      <c r="H49" s="845">
        <v>81</v>
      </c>
      <c r="I49" s="1036">
        <f t="shared" si="3"/>
        <v>8547.08</v>
      </c>
      <c r="J49" s="395">
        <f t="shared" si="5"/>
        <v>314</v>
      </c>
      <c r="K49" s="396">
        <f t="shared" si="2"/>
        <v>22048.2</v>
      </c>
    </row>
    <row r="50" spans="1:11" x14ac:dyDescent="0.25">
      <c r="B50">
        <v>27.22</v>
      </c>
      <c r="C50" s="15">
        <v>1</v>
      </c>
      <c r="D50" s="1012">
        <f t="shared" si="6"/>
        <v>27.22</v>
      </c>
      <c r="E50" s="1035">
        <v>45187</v>
      </c>
      <c r="F50" s="1012">
        <f t="shared" si="7"/>
        <v>27.22</v>
      </c>
      <c r="G50" s="844" t="s">
        <v>668</v>
      </c>
      <c r="H50" s="845">
        <v>81</v>
      </c>
      <c r="I50" s="1036">
        <f t="shared" si="3"/>
        <v>8519.86</v>
      </c>
      <c r="J50" s="395">
        <f t="shared" si="5"/>
        <v>313</v>
      </c>
      <c r="K50" s="396">
        <f t="shared" si="2"/>
        <v>2204.8199999999997</v>
      </c>
    </row>
    <row r="51" spans="1:11" x14ac:dyDescent="0.25">
      <c r="B51">
        <v>27.22</v>
      </c>
      <c r="C51" s="15">
        <v>24</v>
      </c>
      <c r="D51" s="1012">
        <f t="shared" si="6"/>
        <v>653.28</v>
      </c>
      <c r="E51" s="1035">
        <v>45187</v>
      </c>
      <c r="F51" s="1012">
        <f t="shared" si="7"/>
        <v>653.28</v>
      </c>
      <c r="G51" s="844" t="s">
        <v>657</v>
      </c>
      <c r="H51" s="845">
        <v>81</v>
      </c>
      <c r="I51" s="1036">
        <f t="shared" si="3"/>
        <v>7866.5800000000008</v>
      </c>
      <c r="J51" s="395">
        <f t="shared" si="5"/>
        <v>289</v>
      </c>
      <c r="K51" s="396">
        <f t="shared" si="2"/>
        <v>52915.68</v>
      </c>
    </row>
    <row r="52" spans="1:11" x14ac:dyDescent="0.25">
      <c r="B52">
        <v>27.22</v>
      </c>
      <c r="C52" s="15">
        <v>2</v>
      </c>
      <c r="D52" s="1012">
        <f t="shared" si="6"/>
        <v>54.44</v>
      </c>
      <c r="E52" s="1035">
        <v>45188</v>
      </c>
      <c r="F52" s="1012">
        <f t="shared" si="7"/>
        <v>54.44</v>
      </c>
      <c r="G52" s="844" t="s">
        <v>671</v>
      </c>
      <c r="H52" s="845">
        <v>81</v>
      </c>
      <c r="I52" s="1036">
        <f t="shared" si="3"/>
        <v>7812.1400000000012</v>
      </c>
      <c r="J52" s="395">
        <f t="shared" si="5"/>
        <v>287</v>
      </c>
      <c r="K52" s="396">
        <f t="shared" si="2"/>
        <v>4409.6399999999994</v>
      </c>
    </row>
    <row r="53" spans="1:11" x14ac:dyDescent="0.25">
      <c r="B53">
        <v>27.22</v>
      </c>
      <c r="C53" s="15">
        <v>1</v>
      </c>
      <c r="D53" s="1012">
        <f t="shared" si="6"/>
        <v>27.22</v>
      </c>
      <c r="E53" s="1035">
        <v>45188</v>
      </c>
      <c r="F53" s="1012">
        <f t="shared" si="7"/>
        <v>27.22</v>
      </c>
      <c r="G53" s="844" t="s">
        <v>672</v>
      </c>
      <c r="H53" s="845">
        <v>81</v>
      </c>
      <c r="I53" s="1036">
        <f t="shared" si="3"/>
        <v>7784.920000000001</v>
      </c>
      <c r="J53" s="395">
        <f t="shared" si="5"/>
        <v>286</v>
      </c>
      <c r="K53" s="396">
        <f t="shared" si="2"/>
        <v>2204.8199999999997</v>
      </c>
    </row>
    <row r="54" spans="1:11" x14ac:dyDescent="0.25">
      <c r="B54">
        <v>27.22</v>
      </c>
      <c r="C54" s="15">
        <v>3</v>
      </c>
      <c r="D54" s="1012">
        <f t="shared" si="6"/>
        <v>81.66</v>
      </c>
      <c r="E54" s="1035">
        <v>45189</v>
      </c>
      <c r="F54" s="1012">
        <f t="shared" si="7"/>
        <v>81.66</v>
      </c>
      <c r="G54" s="844" t="s">
        <v>676</v>
      </c>
      <c r="H54" s="845">
        <v>81</v>
      </c>
      <c r="I54" s="1036">
        <f t="shared" si="3"/>
        <v>7703.2600000000011</v>
      </c>
      <c r="J54" s="395">
        <f t="shared" si="5"/>
        <v>283</v>
      </c>
      <c r="K54" s="396">
        <f t="shared" si="2"/>
        <v>6614.46</v>
      </c>
    </row>
    <row r="55" spans="1:11" x14ac:dyDescent="0.25">
      <c r="B55">
        <v>27.22</v>
      </c>
      <c r="C55" s="15">
        <v>7</v>
      </c>
      <c r="D55" s="1012">
        <f t="shared" si="6"/>
        <v>190.54</v>
      </c>
      <c r="E55" s="1035">
        <v>45189</v>
      </c>
      <c r="F55" s="1012">
        <f t="shared" si="7"/>
        <v>190.54</v>
      </c>
      <c r="G55" s="844" t="s">
        <v>658</v>
      </c>
      <c r="H55" s="845">
        <v>81</v>
      </c>
      <c r="I55" s="1036">
        <f t="shared" si="3"/>
        <v>7512.7200000000012</v>
      </c>
      <c r="J55" s="395">
        <f t="shared" si="5"/>
        <v>276</v>
      </c>
      <c r="K55" s="396">
        <f t="shared" si="2"/>
        <v>15433.74</v>
      </c>
    </row>
    <row r="56" spans="1:11" x14ac:dyDescent="0.25">
      <c r="B56">
        <v>27.22</v>
      </c>
      <c r="C56" s="15">
        <v>2</v>
      </c>
      <c r="D56" s="1012">
        <f t="shared" si="6"/>
        <v>54.44</v>
      </c>
      <c r="E56" s="1035">
        <v>45189</v>
      </c>
      <c r="F56" s="1012">
        <f t="shared" si="7"/>
        <v>54.44</v>
      </c>
      <c r="G56" s="844" t="s">
        <v>678</v>
      </c>
      <c r="H56" s="845">
        <v>81</v>
      </c>
      <c r="I56" s="1036">
        <f t="shared" si="3"/>
        <v>7458.2800000000016</v>
      </c>
      <c r="J56" s="395">
        <f t="shared" si="5"/>
        <v>274</v>
      </c>
      <c r="K56" s="396">
        <f t="shared" si="2"/>
        <v>4409.6399999999994</v>
      </c>
    </row>
    <row r="57" spans="1:11" x14ac:dyDescent="0.25">
      <c r="B57">
        <v>27.22</v>
      </c>
      <c r="C57" s="15">
        <v>7</v>
      </c>
      <c r="D57" s="1012">
        <f t="shared" si="6"/>
        <v>190.54</v>
      </c>
      <c r="E57" s="1035">
        <v>45191</v>
      </c>
      <c r="F57" s="1012">
        <f t="shared" si="7"/>
        <v>190.54</v>
      </c>
      <c r="G57" s="844" t="s">
        <v>696</v>
      </c>
      <c r="H57" s="845">
        <v>81</v>
      </c>
      <c r="I57" s="1036">
        <f t="shared" si="3"/>
        <v>7267.7400000000016</v>
      </c>
      <c r="J57" s="395">
        <f t="shared" si="5"/>
        <v>267</v>
      </c>
      <c r="K57" s="396">
        <f t="shared" si="2"/>
        <v>15433.74</v>
      </c>
    </row>
    <row r="58" spans="1:11" x14ac:dyDescent="0.25">
      <c r="B58">
        <v>27.22</v>
      </c>
      <c r="C58" s="15">
        <v>24</v>
      </c>
      <c r="D58" s="1012">
        <f t="shared" si="6"/>
        <v>653.28</v>
      </c>
      <c r="E58" s="1035">
        <v>45191</v>
      </c>
      <c r="F58" s="1012">
        <f t="shared" si="7"/>
        <v>653.28</v>
      </c>
      <c r="G58" s="844" t="s">
        <v>698</v>
      </c>
      <c r="H58" s="845">
        <v>81</v>
      </c>
      <c r="I58" s="1036">
        <f t="shared" si="3"/>
        <v>6614.4600000000019</v>
      </c>
      <c r="J58" s="395">
        <f t="shared" si="5"/>
        <v>243</v>
      </c>
      <c r="K58" s="396">
        <f t="shared" si="2"/>
        <v>52915.68</v>
      </c>
    </row>
    <row r="59" spans="1:11" x14ac:dyDescent="0.25">
      <c r="B59">
        <v>27.22</v>
      </c>
      <c r="C59" s="15">
        <v>24</v>
      </c>
      <c r="D59" s="1012">
        <f t="shared" si="6"/>
        <v>653.28</v>
      </c>
      <c r="E59" s="1035">
        <v>45192</v>
      </c>
      <c r="F59" s="1012">
        <f t="shared" si="7"/>
        <v>653.28</v>
      </c>
      <c r="G59" s="844" t="s">
        <v>707</v>
      </c>
      <c r="H59" s="845">
        <v>81</v>
      </c>
      <c r="I59" s="1036">
        <f t="shared" si="3"/>
        <v>5961.1800000000021</v>
      </c>
      <c r="J59" s="395">
        <f t="shared" si="5"/>
        <v>219</v>
      </c>
      <c r="K59" s="396">
        <f t="shared" si="2"/>
        <v>52915.68</v>
      </c>
    </row>
    <row r="60" spans="1:11" ht="15.75" thickBot="1" x14ac:dyDescent="0.3">
      <c r="A60" s="116"/>
      <c r="B60">
        <v>27.22</v>
      </c>
      <c r="C60" s="15">
        <v>1</v>
      </c>
      <c r="D60" s="1012">
        <f t="shared" si="6"/>
        <v>27.22</v>
      </c>
      <c r="E60" s="1035">
        <v>45192</v>
      </c>
      <c r="F60" s="1012">
        <f t="shared" si="7"/>
        <v>27.22</v>
      </c>
      <c r="G60" s="844" t="s">
        <v>714</v>
      </c>
      <c r="H60" s="845">
        <v>81</v>
      </c>
      <c r="I60" s="1036">
        <f t="shared" si="3"/>
        <v>5933.9600000000019</v>
      </c>
      <c r="J60" s="395">
        <f t="shared" si="5"/>
        <v>218</v>
      </c>
      <c r="K60" s="396">
        <f t="shared" si="2"/>
        <v>2204.8199999999997</v>
      </c>
    </row>
    <row r="61" spans="1:11" ht="15.75" thickTop="1" x14ac:dyDescent="0.25">
      <c r="B61">
        <v>27.22</v>
      </c>
      <c r="C61" s="15">
        <v>5</v>
      </c>
      <c r="D61" s="1012">
        <f t="shared" si="6"/>
        <v>136.1</v>
      </c>
      <c r="E61" s="1035">
        <v>45194</v>
      </c>
      <c r="F61" s="1012">
        <f t="shared" si="7"/>
        <v>136.1</v>
      </c>
      <c r="G61" s="844" t="s">
        <v>718</v>
      </c>
      <c r="H61" s="845">
        <v>81</v>
      </c>
      <c r="I61" s="1036">
        <f t="shared" si="3"/>
        <v>5797.8600000000015</v>
      </c>
      <c r="J61" s="395">
        <f t="shared" si="5"/>
        <v>213</v>
      </c>
      <c r="K61" s="396">
        <f t="shared" si="2"/>
        <v>11024.1</v>
      </c>
    </row>
    <row r="62" spans="1:11" x14ac:dyDescent="0.25">
      <c r="B62">
        <v>27.22</v>
      </c>
      <c r="C62" s="15">
        <v>24</v>
      </c>
      <c r="D62" s="1012">
        <f t="shared" si="6"/>
        <v>653.28</v>
      </c>
      <c r="E62" s="1035">
        <v>45194</v>
      </c>
      <c r="F62" s="1012">
        <f t="shared" si="7"/>
        <v>653.28</v>
      </c>
      <c r="G62" s="844" t="s">
        <v>722</v>
      </c>
      <c r="H62" s="845">
        <v>81</v>
      </c>
      <c r="I62" s="1036">
        <f t="shared" si="3"/>
        <v>5144.5800000000017</v>
      </c>
      <c r="J62" s="395">
        <f t="shared" si="5"/>
        <v>189</v>
      </c>
      <c r="K62" s="396">
        <f t="shared" si="2"/>
        <v>52915.68</v>
      </c>
    </row>
    <row r="63" spans="1:11" x14ac:dyDescent="0.25">
      <c r="B63">
        <v>27.22</v>
      </c>
      <c r="C63" s="15">
        <v>8</v>
      </c>
      <c r="D63" s="1012">
        <f t="shared" si="6"/>
        <v>217.76</v>
      </c>
      <c r="E63" s="1035">
        <v>45196</v>
      </c>
      <c r="F63" s="1012">
        <f t="shared" si="7"/>
        <v>217.76</v>
      </c>
      <c r="G63" s="844" t="s">
        <v>735</v>
      </c>
      <c r="H63" s="845">
        <v>81</v>
      </c>
      <c r="I63" s="1036">
        <f t="shared" si="3"/>
        <v>4926.8200000000015</v>
      </c>
      <c r="J63" s="395">
        <f t="shared" si="5"/>
        <v>181</v>
      </c>
      <c r="K63" s="396">
        <f t="shared" si="2"/>
        <v>17638.559999999998</v>
      </c>
    </row>
    <row r="64" spans="1:11" x14ac:dyDescent="0.25">
      <c r="B64">
        <v>27.22</v>
      </c>
      <c r="C64" s="15">
        <v>3</v>
      </c>
      <c r="D64" s="1012">
        <f t="shared" si="6"/>
        <v>81.66</v>
      </c>
      <c r="E64" s="1035">
        <v>45196</v>
      </c>
      <c r="F64" s="1012">
        <f t="shared" si="7"/>
        <v>81.66</v>
      </c>
      <c r="G64" s="844" t="s">
        <v>736</v>
      </c>
      <c r="H64" s="845">
        <v>81</v>
      </c>
      <c r="I64" s="1036">
        <f t="shared" si="3"/>
        <v>4845.1600000000017</v>
      </c>
      <c r="J64" s="395">
        <f t="shared" si="5"/>
        <v>178</v>
      </c>
      <c r="K64" s="396">
        <f t="shared" si="2"/>
        <v>6614.46</v>
      </c>
    </row>
    <row r="65" spans="2:11" x14ac:dyDescent="0.25">
      <c r="B65">
        <v>27.22</v>
      </c>
      <c r="C65" s="15">
        <v>24</v>
      </c>
      <c r="D65" s="1012">
        <f t="shared" si="6"/>
        <v>653.28</v>
      </c>
      <c r="E65" s="1035">
        <v>45197</v>
      </c>
      <c r="F65" s="1012">
        <f t="shared" si="7"/>
        <v>653.28</v>
      </c>
      <c r="G65" s="844" t="s">
        <v>760</v>
      </c>
      <c r="H65" s="845">
        <v>81</v>
      </c>
      <c r="I65" s="1036">
        <f t="shared" si="3"/>
        <v>4191.8800000000019</v>
      </c>
      <c r="J65" s="395">
        <f t="shared" si="5"/>
        <v>154</v>
      </c>
      <c r="K65" s="396">
        <f t="shared" si="2"/>
        <v>52915.68</v>
      </c>
    </row>
    <row r="66" spans="2:11" x14ac:dyDescent="0.25">
      <c r="B66">
        <v>27.22</v>
      </c>
      <c r="C66" s="15">
        <v>4</v>
      </c>
      <c r="D66" s="1012">
        <f t="shared" si="6"/>
        <v>108.88</v>
      </c>
      <c r="E66" s="1035">
        <v>45198</v>
      </c>
      <c r="F66" s="1012">
        <f t="shared" si="7"/>
        <v>108.88</v>
      </c>
      <c r="G66" s="844" t="s">
        <v>763</v>
      </c>
      <c r="H66" s="845">
        <v>81</v>
      </c>
      <c r="I66" s="1036">
        <f t="shared" si="3"/>
        <v>4083.0000000000018</v>
      </c>
      <c r="J66" s="395">
        <f t="shared" si="5"/>
        <v>150</v>
      </c>
      <c r="K66" s="396">
        <f t="shared" si="2"/>
        <v>8819.2799999999988</v>
      </c>
    </row>
    <row r="67" spans="2:11" x14ac:dyDescent="0.25">
      <c r="B67">
        <v>27.22</v>
      </c>
      <c r="C67" s="15">
        <v>1</v>
      </c>
      <c r="D67" s="1012">
        <f t="shared" si="6"/>
        <v>27.22</v>
      </c>
      <c r="E67" s="1035">
        <v>45198</v>
      </c>
      <c r="F67" s="1012">
        <f t="shared" si="7"/>
        <v>27.22</v>
      </c>
      <c r="G67" s="844" t="s">
        <v>766</v>
      </c>
      <c r="H67" s="845">
        <v>81</v>
      </c>
      <c r="I67" s="1036">
        <f t="shared" si="3"/>
        <v>4055.780000000002</v>
      </c>
      <c r="J67" s="395">
        <f t="shared" si="5"/>
        <v>149</v>
      </c>
      <c r="K67" s="396">
        <f t="shared" si="2"/>
        <v>2204.8199999999997</v>
      </c>
    </row>
    <row r="68" spans="2:11" x14ac:dyDescent="0.25">
      <c r="B68">
        <v>27.22</v>
      </c>
      <c r="C68" s="15">
        <v>2</v>
      </c>
      <c r="D68" s="1012">
        <f t="shared" si="6"/>
        <v>54.44</v>
      </c>
      <c r="E68" s="1035">
        <v>45199</v>
      </c>
      <c r="F68" s="1012">
        <f t="shared" si="7"/>
        <v>54.44</v>
      </c>
      <c r="G68" s="844" t="s">
        <v>767</v>
      </c>
      <c r="H68" s="845">
        <v>81</v>
      </c>
      <c r="I68" s="1036">
        <f t="shared" si="3"/>
        <v>4001.340000000002</v>
      </c>
      <c r="J68" s="395">
        <f t="shared" si="5"/>
        <v>147</v>
      </c>
      <c r="K68" s="396">
        <f t="shared" si="2"/>
        <v>4409.6399999999994</v>
      </c>
    </row>
    <row r="69" spans="2:11" x14ac:dyDescent="0.25">
      <c r="B69">
        <v>27.22</v>
      </c>
      <c r="C69" s="15">
        <v>24</v>
      </c>
      <c r="D69" s="1012">
        <f t="shared" si="6"/>
        <v>653.28</v>
      </c>
      <c r="E69" s="1035">
        <v>45199</v>
      </c>
      <c r="F69" s="1012">
        <f t="shared" si="7"/>
        <v>653.28</v>
      </c>
      <c r="G69" s="844" t="s">
        <v>768</v>
      </c>
      <c r="H69" s="845">
        <v>81</v>
      </c>
      <c r="I69" s="1036">
        <f t="shared" si="3"/>
        <v>3348.0600000000022</v>
      </c>
      <c r="J69" s="395">
        <f t="shared" si="5"/>
        <v>123</v>
      </c>
      <c r="K69" s="396">
        <f t="shared" si="2"/>
        <v>52915.68</v>
      </c>
    </row>
    <row r="70" spans="2:11" x14ac:dyDescent="0.25">
      <c r="B70">
        <v>27.22</v>
      </c>
      <c r="C70" s="15">
        <v>4</v>
      </c>
      <c r="D70" s="1012">
        <f t="shared" si="6"/>
        <v>108.88</v>
      </c>
      <c r="E70" s="1035">
        <v>45199</v>
      </c>
      <c r="F70" s="1012">
        <f t="shared" si="7"/>
        <v>108.88</v>
      </c>
      <c r="G70" s="844" t="s">
        <v>769</v>
      </c>
      <c r="H70" s="845">
        <v>81</v>
      </c>
      <c r="I70" s="1036">
        <f t="shared" si="3"/>
        <v>3239.1800000000021</v>
      </c>
      <c r="J70" s="395">
        <f t="shared" si="5"/>
        <v>119</v>
      </c>
      <c r="K70" s="396">
        <f t="shared" si="2"/>
        <v>8819.2799999999988</v>
      </c>
    </row>
    <row r="71" spans="2:11" x14ac:dyDescent="0.25">
      <c r="B71">
        <v>27.22</v>
      </c>
      <c r="C71" s="15">
        <v>1</v>
      </c>
      <c r="D71" s="1012">
        <f t="shared" si="6"/>
        <v>27.22</v>
      </c>
      <c r="E71" s="1035">
        <v>45199</v>
      </c>
      <c r="F71" s="1012">
        <f t="shared" si="7"/>
        <v>27.22</v>
      </c>
      <c r="G71" s="844" t="s">
        <v>771</v>
      </c>
      <c r="H71" s="845">
        <v>81</v>
      </c>
      <c r="I71" s="1036">
        <f t="shared" si="3"/>
        <v>3211.9600000000023</v>
      </c>
      <c r="J71" s="395">
        <f t="shared" si="5"/>
        <v>118</v>
      </c>
      <c r="K71" s="396">
        <f t="shared" si="2"/>
        <v>2204.8199999999997</v>
      </c>
    </row>
    <row r="72" spans="2:11" x14ac:dyDescent="0.25">
      <c r="B72">
        <v>27.22</v>
      </c>
      <c r="C72" s="15">
        <v>32</v>
      </c>
      <c r="D72" s="1012">
        <f t="shared" si="6"/>
        <v>871.04</v>
      </c>
      <c r="E72" s="1035">
        <v>45201</v>
      </c>
      <c r="F72" s="1012">
        <f t="shared" si="7"/>
        <v>871.04</v>
      </c>
      <c r="G72" s="844" t="s">
        <v>778</v>
      </c>
      <c r="H72" s="845">
        <v>81</v>
      </c>
      <c r="I72" s="1036">
        <f t="shared" si="3"/>
        <v>2340.9200000000023</v>
      </c>
      <c r="J72" s="395">
        <f t="shared" si="5"/>
        <v>86</v>
      </c>
      <c r="K72" s="396">
        <f t="shared" si="2"/>
        <v>70554.239999999991</v>
      </c>
    </row>
    <row r="73" spans="2:11" x14ac:dyDescent="0.25">
      <c r="B73">
        <v>27.22</v>
      </c>
      <c r="C73" s="15">
        <v>20</v>
      </c>
      <c r="D73" s="1012">
        <f t="shared" si="6"/>
        <v>544.4</v>
      </c>
      <c r="E73" s="1035">
        <v>45201</v>
      </c>
      <c r="F73" s="1012">
        <f t="shared" si="7"/>
        <v>544.4</v>
      </c>
      <c r="G73" s="844" t="s">
        <v>780</v>
      </c>
      <c r="H73" s="845">
        <v>81</v>
      </c>
      <c r="I73" s="1036">
        <f t="shared" si="3"/>
        <v>1796.5200000000023</v>
      </c>
      <c r="J73" s="395">
        <f t="shared" si="5"/>
        <v>66</v>
      </c>
      <c r="K73" s="396">
        <f t="shared" si="2"/>
        <v>44096.4</v>
      </c>
    </row>
    <row r="74" spans="2:11" x14ac:dyDescent="0.25">
      <c r="B74">
        <v>27.22</v>
      </c>
      <c r="C74" s="15">
        <v>5</v>
      </c>
      <c r="D74" s="1012">
        <f t="shared" si="6"/>
        <v>136.1</v>
      </c>
      <c r="E74" s="1035">
        <v>45201</v>
      </c>
      <c r="F74" s="1012">
        <f t="shared" si="7"/>
        <v>136.1</v>
      </c>
      <c r="G74" s="844" t="s">
        <v>782</v>
      </c>
      <c r="H74" s="845">
        <v>81</v>
      </c>
      <c r="I74" s="1036">
        <f t="shared" si="3"/>
        <v>1660.4200000000023</v>
      </c>
      <c r="J74" s="395">
        <f t="shared" si="5"/>
        <v>61</v>
      </c>
      <c r="K74" s="396">
        <f t="shared" ref="K74:K114" si="8">F74*H74</f>
        <v>11024.1</v>
      </c>
    </row>
    <row r="75" spans="2:11" x14ac:dyDescent="0.25">
      <c r="B75">
        <v>27.22</v>
      </c>
      <c r="C75" s="15"/>
      <c r="D75" s="1012">
        <f t="shared" ref="D75:D114" si="9">C75*B75</f>
        <v>0</v>
      </c>
      <c r="E75" s="1035"/>
      <c r="F75" s="1012">
        <f t="shared" ref="F75:F114" si="10">D75</f>
        <v>0</v>
      </c>
      <c r="G75" s="844"/>
      <c r="H75" s="845"/>
      <c r="I75" s="1036">
        <f t="shared" ref="I75:I113" si="11">I74-F75</f>
        <v>1660.4200000000023</v>
      </c>
      <c r="J75" s="395">
        <f t="shared" si="5"/>
        <v>61</v>
      </c>
      <c r="K75" s="396">
        <f t="shared" si="8"/>
        <v>0</v>
      </c>
    </row>
    <row r="76" spans="2:11" x14ac:dyDescent="0.25">
      <c r="B76">
        <v>27.22</v>
      </c>
      <c r="C76" s="15"/>
      <c r="D76" s="1012">
        <f t="shared" si="9"/>
        <v>0</v>
      </c>
      <c r="E76" s="1035"/>
      <c r="F76" s="1012">
        <f t="shared" si="10"/>
        <v>0</v>
      </c>
      <c r="G76" s="844"/>
      <c r="H76" s="845"/>
      <c r="I76" s="1036">
        <f t="shared" si="11"/>
        <v>1660.4200000000023</v>
      </c>
      <c r="J76" s="395">
        <f t="shared" si="5"/>
        <v>61</v>
      </c>
      <c r="K76" s="396">
        <f t="shared" si="8"/>
        <v>0</v>
      </c>
    </row>
    <row r="77" spans="2:11" x14ac:dyDescent="0.25">
      <c r="B77">
        <v>27.22</v>
      </c>
      <c r="C77" s="15"/>
      <c r="D77" s="1012">
        <f t="shared" si="9"/>
        <v>0</v>
      </c>
      <c r="E77" s="1035"/>
      <c r="F77" s="1012">
        <f t="shared" si="10"/>
        <v>0</v>
      </c>
      <c r="G77" s="844"/>
      <c r="H77" s="845"/>
      <c r="I77" s="1036">
        <f t="shared" si="11"/>
        <v>1660.4200000000023</v>
      </c>
      <c r="J77" s="395">
        <f t="shared" ref="J77:J113" si="12">J76-C77</f>
        <v>61</v>
      </c>
      <c r="K77" s="396">
        <f t="shared" si="8"/>
        <v>0</v>
      </c>
    </row>
    <row r="78" spans="2:11" x14ac:dyDescent="0.25">
      <c r="B78">
        <v>27.22</v>
      </c>
      <c r="C78" s="15"/>
      <c r="D78" s="1012">
        <f t="shared" si="9"/>
        <v>0</v>
      </c>
      <c r="E78" s="1035"/>
      <c r="F78" s="1012">
        <f t="shared" si="10"/>
        <v>0</v>
      </c>
      <c r="G78" s="844"/>
      <c r="H78" s="845"/>
      <c r="I78" s="1036">
        <f t="shared" si="11"/>
        <v>1660.4200000000023</v>
      </c>
      <c r="J78" s="395">
        <f t="shared" si="12"/>
        <v>61</v>
      </c>
      <c r="K78" s="396">
        <f t="shared" si="8"/>
        <v>0</v>
      </c>
    </row>
    <row r="79" spans="2:11" x14ac:dyDescent="0.25">
      <c r="B79">
        <v>27.22</v>
      </c>
      <c r="C79" s="15"/>
      <c r="D79" s="1012">
        <f t="shared" si="9"/>
        <v>0</v>
      </c>
      <c r="E79" s="1035"/>
      <c r="F79" s="1012">
        <f t="shared" si="10"/>
        <v>0</v>
      </c>
      <c r="G79" s="844"/>
      <c r="H79" s="845"/>
      <c r="I79" s="1036">
        <f t="shared" si="11"/>
        <v>1660.4200000000023</v>
      </c>
      <c r="J79" s="395">
        <f t="shared" si="12"/>
        <v>61</v>
      </c>
      <c r="K79" s="396">
        <f t="shared" si="8"/>
        <v>0</v>
      </c>
    </row>
    <row r="80" spans="2:11" x14ac:dyDescent="0.25">
      <c r="B80">
        <v>27.22</v>
      </c>
      <c r="C80" s="15"/>
      <c r="D80" s="68">
        <f t="shared" si="9"/>
        <v>0</v>
      </c>
      <c r="E80" s="232"/>
      <c r="F80" s="68">
        <f t="shared" si="10"/>
        <v>0</v>
      </c>
      <c r="G80" s="69"/>
      <c r="H80" s="70"/>
      <c r="I80" s="394">
        <f t="shared" si="11"/>
        <v>1660.4200000000023</v>
      </c>
      <c r="J80" s="395">
        <f t="shared" si="12"/>
        <v>61</v>
      </c>
      <c r="K80" s="396">
        <f t="shared" si="8"/>
        <v>0</v>
      </c>
    </row>
    <row r="81" spans="2:11" x14ac:dyDescent="0.25">
      <c r="B81">
        <v>27.22</v>
      </c>
      <c r="C81" s="15"/>
      <c r="D81" s="68">
        <f t="shared" si="9"/>
        <v>0</v>
      </c>
      <c r="E81" s="232"/>
      <c r="F81" s="68">
        <f t="shared" si="10"/>
        <v>0</v>
      </c>
      <c r="G81" s="69"/>
      <c r="H81" s="70"/>
      <c r="I81" s="394">
        <f t="shared" si="11"/>
        <v>1660.4200000000023</v>
      </c>
      <c r="J81" s="395">
        <f t="shared" si="12"/>
        <v>61</v>
      </c>
      <c r="K81" s="396">
        <f t="shared" si="8"/>
        <v>0</v>
      </c>
    </row>
    <row r="82" spans="2:11" x14ac:dyDescent="0.25">
      <c r="B82">
        <v>27.22</v>
      </c>
      <c r="C82" s="15"/>
      <c r="D82" s="68">
        <f t="shared" si="9"/>
        <v>0</v>
      </c>
      <c r="E82" s="232"/>
      <c r="F82" s="68">
        <f t="shared" si="10"/>
        <v>0</v>
      </c>
      <c r="G82" s="69"/>
      <c r="H82" s="70"/>
      <c r="I82" s="394">
        <f t="shared" si="11"/>
        <v>1660.4200000000023</v>
      </c>
      <c r="J82" s="395">
        <f t="shared" si="12"/>
        <v>61</v>
      </c>
      <c r="K82" s="396">
        <f t="shared" si="8"/>
        <v>0</v>
      </c>
    </row>
    <row r="83" spans="2:11" x14ac:dyDescent="0.25">
      <c r="B83">
        <v>27.22</v>
      </c>
      <c r="C83" s="15"/>
      <c r="D83" s="68">
        <f t="shared" si="9"/>
        <v>0</v>
      </c>
      <c r="E83" s="232"/>
      <c r="F83" s="68">
        <f t="shared" si="10"/>
        <v>0</v>
      </c>
      <c r="G83" s="69"/>
      <c r="H83" s="70"/>
      <c r="I83" s="394">
        <f t="shared" si="11"/>
        <v>1660.4200000000023</v>
      </c>
      <c r="J83" s="395">
        <f t="shared" si="12"/>
        <v>61</v>
      </c>
      <c r="K83" s="396">
        <f t="shared" si="8"/>
        <v>0</v>
      </c>
    </row>
    <row r="84" spans="2:11" x14ac:dyDescent="0.25">
      <c r="B84">
        <v>27.22</v>
      </c>
      <c r="C84" s="15"/>
      <c r="D84" s="68">
        <f t="shared" si="9"/>
        <v>0</v>
      </c>
      <c r="E84" s="232"/>
      <c r="F84" s="68">
        <f t="shared" si="10"/>
        <v>0</v>
      </c>
      <c r="G84" s="69"/>
      <c r="H84" s="70"/>
      <c r="I84" s="394">
        <f t="shared" si="11"/>
        <v>1660.4200000000023</v>
      </c>
      <c r="J84" s="395">
        <f t="shared" si="12"/>
        <v>61</v>
      </c>
      <c r="K84" s="396">
        <f t="shared" si="8"/>
        <v>0</v>
      </c>
    </row>
    <row r="85" spans="2:11" x14ac:dyDescent="0.25">
      <c r="B85">
        <v>27.22</v>
      </c>
      <c r="C85" s="15"/>
      <c r="D85" s="68">
        <f t="shared" si="9"/>
        <v>0</v>
      </c>
      <c r="E85" s="232"/>
      <c r="F85" s="68">
        <f t="shared" si="10"/>
        <v>0</v>
      </c>
      <c r="G85" s="69"/>
      <c r="H85" s="70"/>
      <c r="I85" s="394">
        <f t="shared" si="11"/>
        <v>1660.4200000000023</v>
      </c>
      <c r="J85" s="395">
        <f t="shared" si="12"/>
        <v>61</v>
      </c>
      <c r="K85" s="396">
        <f t="shared" si="8"/>
        <v>0</v>
      </c>
    </row>
    <row r="86" spans="2:11" x14ac:dyDescent="0.25">
      <c r="B86">
        <v>27.22</v>
      </c>
      <c r="C86" s="15"/>
      <c r="D86" s="68">
        <f t="shared" si="9"/>
        <v>0</v>
      </c>
      <c r="E86" s="232"/>
      <c r="F86" s="68">
        <f t="shared" si="10"/>
        <v>0</v>
      </c>
      <c r="G86" s="69"/>
      <c r="H86" s="70"/>
      <c r="I86" s="394">
        <f t="shared" si="11"/>
        <v>1660.4200000000023</v>
      </c>
      <c r="J86" s="395">
        <f t="shared" si="12"/>
        <v>61</v>
      </c>
      <c r="K86" s="396">
        <f t="shared" si="8"/>
        <v>0</v>
      </c>
    </row>
    <row r="87" spans="2:11" x14ac:dyDescent="0.25">
      <c r="B87">
        <v>27.22</v>
      </c>
      <c r="C87" s="15"/>
      <c r="D87" s="68">
        <f t="shared" si="9"/>
        <v>0</v>
      </c>
      <c r="E87" s="232"/>
      <c r="F87" s="68">
        <f t="shared" si="10"/>
        <v>0</v>
      </c>
      <c r="G87" s="69"/>
      <c r="H87" s="70"/>
      <c r="I87" s="394">
        <f t="shared" si="11"/>
        <v>1660.4200000000023</v>
      </c>
      <c r="J87" s="395">
        <f t="shared" si="12"/>
        <v>61</v>
      </c>
      <c r="K87" s="396">
        <f t="shared" si="8"/>
        <v>0</v>
      </c>
    </row>
    <row r="88" spans="2:11" x14ac:dyDescent="0.25">
      <c r="B88">
        <v>27.22</v>
      </c>
      <c r="C88" s="15"/>
      <c r="D88" s="68">
        <f t="shared" si="9"/>
        <v>0</v>
      </c>
      <c r="E88" s="232"/>
      <c r="F88" s="68">
        <f t="shared" si="10"/>
        <v>0</v>
      </c>
      <c r="G88" s="69"/>
      <c r="H88" s="70"/>
      <c r="I88" s="394">
        <f t="shared" si="11"/>
        <v>1660.4200000000023</v>
      </c>
      <c r="J88" s="395">
        <f t="shared" si="12"/>
        <v>61</v>
      </c>
      <c r="K88" s="396">
        <f t="shared" si="8"/>
        <v>0</v>
      </c>
    </row>
    <row r="89" spans="2:11" x14ac:dyDescent="0.25">
      <c r="B89">
        <v>27.22</v>
      </c>
      <c r="C89" s="15"/>
      <c r="D89" s="68">
        <f t="shared" si="9"/>
        <v>0</v>
      </c>
      <c r="E89" s="232"/>
      <c r="F89" s="68">
        <f t="shared" si="10"/>
        <v>0</v>
      </c>
      <c r="G89" s="69"/>
      <c r="H89" s="70"/>
      <c r="I89" s="394">
        <f t="shared" si="11"/>
        <v>1660.4200000000023</v>
      </c>
      <c r="J89" s="395">
        <f t="shared" si="12"/>
        <v>61</v>
      </c>
      <c r="K89" s="396">
        <f t="shared" si="8"/>
        <v>0</v>
      </c>
    </row>
    <row r="90" spans="2:11" x14ac:dyDescent="0.25">
      <c r="B90">
        <v>27.22</v>
      </c>
      <c r="C90" s="15"/>
      <c r="D90" s="68">
        <f t="shared" si="9"/>
        <v>0</v>
      </c>
      <c r="E90" s="232"/>
      <c r="F90" s="68">
        <f t="shared" si="10"/>
        <v>0</v>
      </c>
      <c r="G90" s="69"/>
      <c r="H90" s="70"/>
      <c r="I90" s="394">
        <f t="shared" si="11"/>
        <v>1660.4200000000023</v>
      </c>
      <c r="J90" s="395">
        <f t="shared" si="12"/>
        <v>61</v>
      </c>
      <c r="K90" s="396">
        <f t="shared" si="8"/>
        <v>0</v>
      </c>
    </row>
    <row r="91" spans="2:11" x14ac:dyDescent="0.25">
      <c r="B91">
        <v>27.22</v>
      </c>
      <c r="C91" s="15"/>
      <c r="D91" s="68">
        <f t="shared" si="9"/>
        <v>0</v>
      </c>
      <c r="E91" s="232"/>
      <c r="F91" s="68">
        <f t="shared" si="10"/>
        <v>0</v>
      </c>
      <c r="G91" s="69"/>
      <c r="H91" s="70"/>
      <c r="I91" s="394">
        <f t="shared" si="11"/>
        <v>1660.4200000000023</v>
      </c>
      <c r="J91" s="395">
        <f t="shared" si="12"/>
        <v>61</v>
      </c>
      <c r="K91" s="396">
        <f t="shared" si="8"/>
        <v>0</v>
      </c>
    </row>
    <row r="92" spans="2:11" x14ac:dyDescent="0.25">
      <c r="B92">
        <v>27.22</v>
      </c>
      <c r="C92" s="15"/>
      <c r="D92" s="68">
        <f t="shared" si="9"/>
        <v>0</v>
      </c>
      <c r="E92" s="232"/>
      <c r="F92" s="68">
        <f t="shared" si="10"/>
        <v>0</v>
      </c>
      <c r="G92" s="69"/>
      <c r="H92" s="70"/>
      <c r="I92" s="394">
        <f t="shared" si="11"/>
        <v>1660.4200000000023</v>
      </c>
      <c r="J92" s="395">
        <f t="shared" si="12"/>
        <v>61</v>
      </c>
      <c r="K92" s="396">
        <f t="shared" si="8"/>
        <v>0</v>
      </c>
    </row>
    <row r="93" spans="2:11" x14ac:dyDescent="0.25">
      <c r="B93">
        <v>27.22</v>
      </c>
      <c r="C93" s="15"/>
      <c r="D93" s="68">
        <f t="shared" si="9"/>
        <v>0</v>
      </c>
      <c r="E93" s="232"/>
      <c r="F93" s="68">
        <f t="shared" si="10"/>
        <v>0</v>
      </c>
      <c r="G93" s="69"/>
      <c r="H93" s="70"/>
      <c r="I93" s="394">
        <f t="shared" si="11"/>
        <v>1660.4200000000023</v>
      </c>
      <c r="J93" s="395">
        <f t="shared" si="12"/>
        <v>61</v>
      </c>
      <c r="K93" s="396">
        <f t="shared" si="8"/>
        <v>0</v>
      </c>
    </row>
    <row r="94" spans="2:11" x14ac:dyDescent="0.25">
      <c r="B94">
        <v>27.22</v>
      </c>
      <c r="C94" s="15"/>
      <c r="D94" s="68">
        <f t="shared" si="9"/>
        <v>0</v>
      </c>
      <c r="E94" s="232"/>
      <c r="F94" s="68">
        <f t="shared" si="10"/>
        <v>0</v>
      </c>
      <c r="G94" s="69"/>
      <c r="H94" s="70"/>
      <c r="I94" s="394">
        <f t="shared" si="11"/>
        <v>1660.4200000000023</v>
      </c>
      <c r="J94" s="395">
        <f t="shared" si="12"/>
        <v>61</v>
      </c>
      <c r="K94" s="396">
        <f t="shared" si="8"/>
        <v>0</v>
      </c>
    </row>
    <row r="95" spans="2:11" x14ac:dyDescent="0.25">
      <c r="B95">
        <v>27.22</v>
      </c>
      <c r="C95" s="15"/>
      <c r="D95" s="68">
        <f t="shared" si="9"/>
        <v>0</v>
      </c>
      <c r="E95" s="232"/>
      <c r="F95" s="68">
        <f t="shared" si="10"/>
        <v>0</v>
      </c>
      <c r="G95" s="69"/>
      <c r="H95" s="70"/>
      <c r="I95" s="394">
        <f t="shared" si="11"/>
        <v>1660.4200000000023</v>
      </c>
      <c r="J95" s="395">
        <f t="shared" si="12"/>
        <v>61</v>
      </c>
      <c r="K95" s="396">
        <f t="shared" si="8"/>
        <v>0</v>
      </c>
    </row>
    <row r="96" spans="2:11" x14ac:dyDescent="0.25">
      <c r="B96">
        <v>27.22</v>
      </c>
      <c r="C96" s="15"/>
      <c r="D96" s="68">
        <f t="shared" si="9"/>
        <v>0</v>
      </c>
      <c r="E96" s="232"/>
      <c r="F96" s="68">
        <f t="shared" si="10"/>
        <v>0</v>
      </c>
      <c r="G96" s="69"/>
      <c r="H96" s="70"/>
      <c r="I96" s="394">
        <f t="shared" si="11"/>
        <v>1660.4200000000023</v>
      </c>
      <c r="J96" s="395">
        <f t="shared" si="12"/>
        <v>61</v>
      </c>
      <c r="K96" s="396">
        <f t="shared" si="8"/>
        <v>0</v>
      </c>
    </row>
    <row r="97" spans="2:11" x14ac:dyDescent="0.25">
      <c r="B97">
        <v>27.22</v>
      </c>
      <c r="C97" s="15"/>
      <c r="D97" s="68">
        <f t="shared" si="9"/>
        <v>0</v>
      </c>
      <c r="E97" s="232"/>
      <c r="F97" s="68">
        <f t="shared" si="10"/>
        <v>0</v>
      </c>
      <c r="G97" s="69"/>
      <c r="H97" s="70"/>
      <c r="I97" s="394">
        <f t="shared" si="11"/>
        <v>1660.4200000000023</v>
      </c>
      <c r="J97" s="395">
        <f t="shared" si="12"/>
        <v>61</v>
      </c>
      <c r="K97" s="396">
        <f t="shared" si="8"/>
        <v>0</v>
      </c>
    </row>
    <row r="98" spans="2:11" x14ac:dyDescent="0.25">
      <c r="B98">
        <v>27.22</v>
      </c>
      <c r="C98" s="15"/>
      <c r="D98" s="68">
        <f t="shared" si="9"/>
        <v>0</v>
      </c>
      <c r="E98" s="232"/>
      <c r="F98" s="68">
        <f t="shared" si="10"/>
        <v>0</v>
      </c>
      <c r="G98" s="69"/>
      <c r="H98" s="70"/>
      <c r="I98" s="394">
        <f t="shared" si="11"/>
        <v>1660.4200000000023</v>
      </c>
      <c r="J98" s="395">
        <f t="shared" si="12"/>
        <v>61</v>
      </c>
      <c r="K98" s="396">
        <f t="shared" si="8"/>
        <v>0</v>
      </c>
    </row>
    <row r="99" spans="2:11" x14ac:dyDescent="0.25">
      <c r="B99">
        <v>27.22</v>
      </c>
      <c r="C99" s="15"/>
      <c r="D99" s="68">
        <f t="shared" si="9"/>
        <v>0</v>
      </c>
      <c r="E99" s="232"/>
      <c r="F99" s="68">
        <f t="shared" si="10"/>
        <v>0</v>
      </c>
      <c r="G99" s="69"/>
      <c r="H99" s="70"/>
      <c r="I99" s="394">
        <f t="shared" si="11"/>
        <v>1660.4200000000023</v>
      </c>
      <c r="J99" s="395">
        <f t="shared" si="12"/>
        <v>61</v>
      </c>
      <c r="K99" s="396">
        <f t="shared" si="8"/>
        <v>0</v>
      </c>
    </row>
    <row r="100" spans="2:11" x14ac:dyDescent="0.25">
      <c r="B100">
        <v>27.22</v>
      </c>
      <c r="C100" s="15"/>
      <c r="D100" s="68">
        <f t="shared" si="9"/>
        <v>0</v>
      </c>
      <c r="E100" s="232"/>
      <c r="F100" s="68">
        <f t="shared" si="10"/>
        <v>0</v>
      </c>
      <c r="G100" s="69"/>
      <c r="H100" s="70"/>
      <c r="I100" s="394">
        <f t="shared" si="11"/>
        <v>1660.4200000000023</v>
      </c>
      <c r="J100" s="395">
        <f t="shared" si="12"/>
        <v>61</v>
      </c>
      <c r="K100" s="396">
        <f t="shared" si="8"/>
        <v>0</v>
      </c>
    </row>
    <row r="101" spans="2:11" x14ac:dyDescent="0.25">
      <c r="B101">
        <v>27.22</v>
      </c>
      <c r="C101" s="15"/>
      <c r="D101" s="68">
        <f t="shared" si="9"/>
        <v>0</v>
      </c>
      <c r="E101" s="232"/>
      <c r="F101" s="68">
        <f t="shared" si="10"/>
        <v>0</v>
      </c>
      <c r="G101" s="69"/>
      <c r="H101" s="70"/>
      <c r="I101" s="394">
        <f t="shared" si="11"/>
        <v>1660.4200000000023</v>
      </c>
      <c r="J101" s="395">
        <f t="shared" si="12"/>
        <v>61</v>
      </c>
      <c r="K101" s="396">
        <f t="shared" si="8"/>
        <v>0</v>
      </c>
    </row>
    <row r="102" spans="2:11" x14ac:dyDescent="0.25">
      <c r="B102">
        <v>27.22</v>
      </c>
      <c r="C102" s="15"/>
      <c r="D102" s="68">
        <f t="shared" si="9"/>
        <v>0</v>
      </c>
      <c r="E102" s="232"/>
      <c r="F102" s="68">
        <f t="shared" si="10"/>
        <v>0</v>
      </c>
      <c r="G102" s="69"/>
      <c r="H102" s="70"/>
      <c r="I102" s="394">
        <f t="shared" si="11"/>
        <v>1660.4200000000023</v>
      </c>
      <c r="J102" s="395">
        <f t="shared" si="12"/>
        <v>61</v>
      </c>
      <c r="K102" s="396">
        <f t="shared" si="8"/>
        <v>0</v>
      </c>
    </row>
    <row r="103" spans="2:11" x14ac:dyDescent="0.25">
      <c r="B103">
        <v>27.22</v>
      </c>
      <c r="C103" s="15"/>
      <c r="D103" s="68">
        <f t="shared" si="9"/>
        <v>0</v>
      </c>
      <c r="E103" s="232"/>
      <c r="F103" s="68">
        <f t="shared" si="10"/>
        <v>0</v>
      </c>
      <c r="G103" s="69"/>
      <c r="H103" s="70"/>
      <c r="I103" s="394">
        <f t="shared" si="11"/>
        <v>1660.4200000000023</v>
      </c>
      <c r="J103" s="395">
        <f t="shared" si="12"/>
        <v>61</v>
      </c>
      <c r="K103" s="396">
        <f t="shared" si="8"/>
        <v>0</v>
      </c>
    </row>
    <row r="104" spans="2:11" x14ac:dyDescent="0.25">
      <c r="B104">
        <v>27.22</v>
      </c>
      <c r="C104" s="15"/>
      <c r="D104" s="68">
        <f t="shared" si="9"/>
        <v>0</v>
      </c>
      <c r="E104" s="232"/>
      <c r="F104" s="68">
        <f t="shared" si="10"/>
        <v>0</v>
      </c>
      <c r="G104" s="69"/>
      <c r="H104" s="70"/>
      <c r="I104" s="394">
        <f t="shared" si="11"/>
        <v>1660.4200000000023</v>
      </c>
      <c r="J104" s="395">
        <f t="shared" si="12"/>
        <v>61</v>
      </c>
      <c r="K104" s="396">
        <f t="shared" si="8"/>
        <v>0</v>
      </c>
    </row>
    <row r="105" spans="2:11" x14ac:dyDescent="0.25">
      <c r="B105">
        <v>27.22</v>
      </c>
      <c r="C105" s="15"/>
      <c r="D105" s="68">
        <f t="shared" si="9"/>
        <v>0</v>
      </c>
      <c r="E105" s="232"/>
      <c r="F105" s="68">
        <f t="shared" si="10"/>
        <v>0</v>
      </c>
      <c r="G105" s="69"/>
      <c r="H105" s="70"/>
      <c r="I105" s="394">
        <f t="shared" si="11"/>
        <v>1660.4200000000023</v>
      </c>
      <c r="J105" s="395">
        <f t="shared" si="12"/>
        <v>61</v>
      </c>
      <c r="K105" s="396">
        <f t="shared" si="8"/>
        <v>0</v>
      </c>
    </row>
    <row r="106" spans="2:11" x14ac:dyDescent="0.25">
      <c r="B106">
        <v>27.22</v>
      </c>
      <c r="C106" s="15"/>
      <c r="D106" s="68">
        <f t="shared" si="9"/>
        <v>0</v>
      </c>
      <c r="E106" s="232"/>
      <c r="F106" s="68">
        <f t="shared" si="10"/>
        <v>0</v>
      </c>
      <c r="G106" s="69"/>
      <c r="H106" s="70"/>
      <c r="I106" s="394">
        <f t="shared" si="11"/>
        <v>1660.4200000000023</v>
      </c>
      <c r="J106" s="395">
        <f t="shared" si="12"/>
        <v>61</v>
      </c>
      <c r="K106" s="396">
        <f t="shared" si="8"/>
        <v>0</v>
      </c>
    </row>
    <row r="107" spans="2:11" x14ac:dyDescent="0.25">
      <c r="B107">
        <v>27.22</v>
      </c>
      <c r="C107" s="15"/>
      <c r="D107" s="68">
        <f t="shared" si="9"/>
        <v>0</v>
      </c>
      <c r="E107" s="232"/>
      <c r="F107" s="68">
        <f t="shared" si="10"/>
        <v>0</v>
      </c>
      <c r="G107" s="69"/>
      <c r="H107" s="70"/>
      <c r="I107" s="394">
        <f t="shared" si="11"/>
        <v>1660.4200000000023</v>
      </c>
      <c r="J107" s="395">
        <f t="shared" si="12"/>
        <v>61</v>
      </c>
      <c r="K107" s="396">
        <f t="shared" si="8"/>
        <v>0</v>
      </c>
    </row>
    <row r="108" spans="2:11" x14ac:dyDescent="0.25">
      <c r="B108">
        <v>27.22</v>
      </c>
      <c r="C108" s="15"/>
      <c r="D108" s="68">
        <f t="shared" si="9"/>
        <v>0</v>
      </c>
      <c r="E108" s="232"/>
      <c r="F108" s="68">
        <f t="shared" si="10"/>
        <v>0</v>
      </c>
      <c r="G108" s="69"/>
      <c r="H108" s="70"/>
      <c r="I108" s="394">
        <f t="shared" si="11"/>
        <v>1660.4200000000023</v>
      </c>
      <c r="J108" s="395">
        <f t="shared" si="12"/>
        <v>61</v>
      </c>
      <c r="K108" s="396">
        <f t="shared" si="8"/>
        <v>0</v>
      </c>
    </row>
    <row r="109" spans="2:11" x14ac:dyDescent="0.25">
      <c r="B109">
        <v>27.22</v>
      </c>
      <c r="C109" s="15"/>
      <c r="D109" s="68">
        <f t="shared" si="9"/>
        <v>0</v>
      </c>
      <c r="E109" s="232"/>
      <c r="F109" s="68">
        <f t="shared" si="10"/>
        <v>0</v>
      </c>
      <c r="G109" s="69"/>
      <c r="H109" s="70"/>
      <c r="I109" s="394">
        <f t="shared" si="11"/>
        <v>1660.4200000000023</v>
      </c>
      <c r="J109" s="395">
        <f t="shared" si="12"/>
        <v>61</v>
      </c>
      <c r="K109" s="396">
        <f t="shared" si="8"/>
        <v>0</v>
      </c>
    </row>
    <row r="110" spans="2:11" x14ac:dyDescent="0.25">
      <c r="B110">
        <v>27.22</v>
      </c>
      <c r="C110" s="15"/>
      <c r="D110" s="68">
        <f t="shared" si="9"/>
        <v>0</v>
      </c>
      <c r="E110" s="232"/>
      <c r="F110" s="68">
        <f t="shared" si="10"/>
        <v>0</v>
      </c>
      <c r="G110" s="69"/>
      <c r="H110" s="70"/>
      <c r="I110" s="394">
        <f t="shared" si="11"/>
        <v>1660.4200000000023</v>
      </c>
      <c r="J110" s="395">
        <f t="shared" si="12"/>
        <v>61</v>
      </c>
      <c r="K110" s="396">
        <f t="shared" si="8"/>
        <v>0</v>
      </c>
    </row>
    <row r="111" spans="2:11" x14ac:dyDescent="0.25">
      <c r="B111">
        <v>27.22</v>
      </c>
      <c r="C111" s="15"/>
      <c r="D111" s="68">
        <f t="shared" si="9"/>
        <v>0</v>
      </c>
      <c r="E111" s="232"/>
      <c r="F111" s="68">
        <f t="shared" si="10"/>
        <v>0</v>
      </c>
      <c r="G111" s="69"/>
      <c r="H111" s="70"/>
      <c r="I111" s="394">
        <f t="shared" si="11"/>
        <v>1660.4200000000023</v>
      </c>
      <c r="J111" s="395">
        <f t="shared" si="12"/>
        <v>61</v>
      </c>
      <c r="K111" s="396">
        <f t="shared" si="8"/>
        <v>0</v>
      </c>
    </row>
    <row r="112" spans="2:11" x14ac:dyDescent="0.25">
      <c r="B112">
        <v>27.22</v>
      </c>
      <c r="C112" s="15"/>
      <c r="D112" s="68">
        <f t="shared" si="9"/>
        <v>0</v>
      </c>
      <c r="E112" s="232"/>
      <c r="F112" s="68">
        <f t="shared" si="10"/>
        <v>0</v>
      </c>
      <c r="G112" s="69"/>
      <c r="H112" s="70"/>
      <c r="I112" s="394">
        <f t="shared" si="11"/>
        <v>1660.4200000000023</v>
      </c>
      <c r="J112" s="395">
        <f t="shared" si="12"/>
        <v>61</v>
      </c>
      <c r="K112" s="39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9"/>
        <v>0</v>
      </c>
      <c r="E113" s="232"/>
      <c r="F113" s="68">
        <f t="shared" si="10"/>
        <v>0</v>
      </c>
      <c r="G113" s="69"/>
      <c r="H113" s="70"/>
      <c r="I113" s="394">
        <f t="shared" si="11"/>
        <v>1660.4200000000023</v>
      </c>
      <c r="J113" s="395">
        <f t="shared" si="12"/>
        <v>61</v>
      </c>
      <c r="K113" s="397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9"/>
        <v>0</v>
      </c>
      <c r="E114" s="153"/>
      <c r="F114" s="146">
        <f t="shared" si="10"/>
        <v>0</v>
      </c>
      <c r="G114" s="135"/>
      <c r="H114" s="546"/>
      <c r="I114" s="24"/>
      <c r="J114" s="24"/>
      <c r="K114" s="189">
        <f t="shared" si="8"/>
        <v>0</v>
      </c>
    </row>
    <row r="115" spans="1:11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61</v>
      </c>
    </row>
    <row r="119" spans="1:11" ht="15.75" thickBot="1" x14ac:dyDescent="0.3"/>
    <row r="120" spans="1:11" ht="15.75" thickBot="1" x14ac:dyDescent="0.3">
      <c r="C120" s="1595" t="s">
        <v>11</v>
      </c>
      <c r="D120" s="1596"/>
      <c r="E120" s="56">
        <f>E4+E5+E6-F115</f>
        <v>1660.4200000000019</v>
      </c>
      <c r="G120" s="47"/>
      <c r="H120" s="90"/>
    </row>
  </sheetData>
  <sortState ref="C46:H74">
    <sortCondition ref="G46:G74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I1" zoomScaleNormal="100" workbookViewId="0">
      <pane ySplit="8" topLeftCell="A21" activePane="bottomLeft" state="frozen"/>
      <selection pane="bottomLeft" activeCell="R30" sqref="R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607" t="s">
        <v>314</v>
      </c>
      <c r="B1" s="1607"/>
      <c r="C1" s="1607"/>
      <c r="D1" s="1607"/>
      <c r="E1" s="1607"/>
      <c r="F1" s="1607"/>
      <c r="G1" s="1607"/>
      <c r="H1" s="11">
        <v>1</v>
      </c>
      <c r="L1" s="1607" t="str">
        <f>A1</f>
        <v>INVENTARIO     DEL MES DE      AGOSTO     2023</v>
      </c>
      <c r="M1" s="1607"/>
      <c r="N1" s="1607"/>
      <c r="O1" s="1607"/>
      <c r="P1" s="1607"/>
      <c r="Q1" s="1607"/>
      <c r="R1" s="1607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599"/>
      <c r="D4" s="600"/>
      <c r="E4" s="58"/>
      <c r="F4" s="61"/>
      <c r="G4" s="72"/>
      <c r="M4" s="82"/>
      <c r="N4" s="599"/>
      <c r="O4" s="600"/>
      <c r="P4" s="58">
        <v>253.65</v>
      </c>
      <c r="Q4" s="61">
        <v>14</v>
      </c>
      <c r="R4" s="72"/>
    </row>
    <row r="5" spans="1:20" ht="15.75" customHeight="1" x14ac:dyDescent="0.25">
      <c r="A5" s="1597" t="s">
        <v>79</v>
      </c>
      <c r="B5" s="821" t="s">
        <v>62</v>
      </c>
      <c r="C5" s="124">
        <v>89</v>
      </c>
      <c r="D5" s="130">
        <v>45098</v>
      </c>
      <c r="E5" s="68">
        <v>2352.94</v>
      </c>
      <c r="F5" s="72">
        <v>131</v>
      </c>
      <c r="G5" s="47">
        <f>F68</f>
        <v>2352.94</v>
      </c>
      <c r="H5" s="7">
        <f>E5-G5+E4+E6+E7</f>
        <v>0</v>
      </c>
      <c r="L5" s="1597" t="s">
        <v>79</v>
      </c>
      <c r="M5" s="821" t="s">
        <v>62</v>
      </c>
      <c r="N5" s="124">
        <v>86</v>
      </c>
      <c r="O5" s="130">
        <v>45170</v>
      </c>
      <c r="P5" s="68">
        <v>2013.8</v>
      </c>
      <c r="Q5" s="72">
        <v>111</v>
      </c>
      <c r="R5" s="47">
        <f>Q68</f>
        <v>1573.6499999999996</v>
      </c>
      <c r="S5" s="7">
        <f>P5-R5+P4+P6+P7</f>
        <v>693.8000000000003</v>
      </c>
    </row>
    <row r="6" spans="1:20" ht="15" customHeight="1" x14ac:dyDescent="0.25">
      <c r="A6" s="1597"/>
      <c r="B6" s="1640" t="s">
        <v>131</v>
      </c>
      <c r="C6" s="556"/>
      <c r="D6" s="556"/>
      <c r="E6" s="556"/>
      <c r="F6" s="601"/>
      <c r="L6" s="1597"/>
      <c r="M6" s="1640" t="s">
        <v>131</v>
      </c>
      <c r="N6" s="556"/>
      <c r="O6" s="556"/>
      <c r="P6" s="556"/>
      <c r="Q6" s="601"/>
    </row>
    <row r="7" spans="1:20" ht="15.75" thickBot="1" x14ac:dyDescent="0.3">
      <c r="B7" s="1641"/>
      <c r="C7" s="602"/>
      <c r="D7" s="602"/>
      <c r="E7" s="602"/>
      <c r="F7" s="601"/>
      <c r="M7" s="1641"/>
      <c r="N7" s="602"/>
      <c r="O7" s="602"/>
      <c r="P7" s="602"/>
      <c r="Q7" s="601"/>
    </row>
    <row r="8" spans="1:20" ht="16.5" thickTop="1" thickBot="1" x14ac:dyDescent="0.3">
      <c r="B8" s="63" t="s">
        <v>7</v>
      </c>
      <c r="C8" s="583" t="s">
        <v>8</v>
      </c>
      <c r="D8" s="584" t="s">
        <v>3</v>
      </c>
      <c r="E8" s="585" t="s">
        <v>2</v>
      </c>
      <c r="F8" s="9" t="s">
        <v>9</v>
      </c>
      <c r="G8" s="10" t="s">
        <v>15</v>
      </c>
      <c r="H8" s="24"/>
      <c r="M8" s="63" t="s">
        <v>7</v>
      </c>
      <c r="N8" s="583" t="s">
        <v>8</v>
      </c>
      <c r="O8" s="584" t="s">
        <v>3</v>
      </c>
      <c r="P8" s="585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591">
        <f>F4+F5+F6+F7-C9</f>
        <v>131</v>
      </c>
      <c r="C9" s="72"/>
      <c r="D9" s="68"/>
      <c r="E9" s="232"/>
      <c r="F9" s="68">
        <f t="shared" ref="F9:F67" si="0">D9</f>
        <v>0</v>
      </c>
      <c r="G9" s="69"/>
      <c r="H9" s="70"/>
      <c r="I9" s="582">
        <f>E6+E5+E4-F9+E7</f>
        <v>2352.94</v>
      </c>
      <c r="L9" s="54" t="s">
        <v>32</v>
      </c>
      <c r="M9" s="591">
        <f>Q4+Q5+Q6+Q7-N9</f>
        <v>125</v>
      </c>
      <c r="N9" s="72"/>
      <c r="O9" s="68"/>
      <c r="P9" s="232"/>
      <c r="Q9" s="68">
        <f t="shared" ref="Q9:Q67" si="1">O9</f>
        <v>0</v>
      </c>
      <c r="R9" s="69"/>
      <c r="S9" s="70"/>
      <c r="T9" s="582">
        <f>P6+P5+P4-Q9+P7</f>
        <v>2267.4499999999998</v>
      </c>
    </row>
    <row r="10" spans="1:20" x14ac:dyDescent="0.25">
      <c r="A10" s="76"/>
      <c r="B10" s="174">
        <f t="shared" ref="B10:B11" si="2">B9-C10</f>
        <v>111</v>
      </c>
      <c r="C10" s="72">
        <v>20</v>
      </c>
      <c r="D10" s="68">
        <v>350.97</v>
      </c>
      <c r="E10" s="232">
        <v>45099</v>
      </c>
      <c r="F10" s="68">
        <f t="shared" ref="F10" si="3">D10</f>
        <v>350.97</v>
      </c>
      <c r="G10" s="69" t="s">
        <v>138</v>
      </c>
      <c r="H10" s="513">
        <v>89</v>
      </c>
      <c r="I10" s="77">
        <f t="shared" ref="I10:I11" si="4">I9-F10</f>
        <v>2001.97</v>
      </c>
      <c r="L10" s="76"/>
      <c r="M10" s="174">
        <f t="shared" ref="M10:M11" si="5">M9-N10</f>
        <v>110</v>
      </c>
      <c r="N10" s="72">
        <v>15</v>
      </c>
      <c r="O10" s="68">
        <v>270.98</v>
      </c>
      <c r="P10" s="232">
        <v>45173</v>
      </c>
      <c r="Q10" s="68">
        <f t="shared" si="1"/>
        <v>270.98</v>
      </c>
      <c r="R10" s="69" t="s">
        <v>527</v>
      </c>
      <c r="S10" s="70">
        <v>89</v>
      </c>
      <c r="T10" s="77">
        <f t="shared" ref="T10:T11" si="6">T9-Q10</f>
        <v>1996.4699999999998</v>
      </c>
    </row>
    <row r="11" spans="1:20" x14ac:dyDescent="0.25">
      <c r="A11" s="12"/>
      <c r="B11" s="579">
        <f t="shared" si="2"/>
        <v>111</v>
      </c>
      <c r="C11" s="123"/>
      <c r="D11" s="476"/>
      <c r="E11" s="732"/>
      <c r="F11" s="476">
        <f t="shared" si="0"/>
        <v>0</v>
      </c>
      <c r="G11" s="314"/>
      <c r="H11" s="315"/>
      <c r="I11" s="582">
        <f t="shared" si="4"/>
        <v>2001.97</v>
      </c>
      <c r="K11" s="590"/>
      <c r="L11" s="12"/>
      <c r="M11" s="174">
        <f t="shared" si="5"/>
        <v>109</v>
      </c>
      <c r="N11" s="123">
        <v>1</v>
      </c>
      <c r="O11" s="68">
        <v>15.99</v>
      </c>
      <c r="P11" s="232">
        <v>45174</v>
      </c>
      <c r="Q11" s="68">
        <f t="shared" si="1"/>
        <v>15.99</v>
      </c>
      <c r="R11" s="69" t="s">
        <v>525</v>
      </c>
      <c r="S11" s="70">
        <v>91</v>
      </c>
      <c r="T11" s="77">
        <f t="shared" si="6"/>
        <v>1980.4799999999998</v>
      </c>
    </row>
    <row r="12" spans="1:20" x14ac:dyDescent="0.25">
      <c r="A12" s="54" t="s">
        <v>33</v>
      </c>
      <c r="B12" s="376">
        <f>B11-C12</f>
        <v>107</v>
      </c>
      <c r="C12" s="123">
        <v>4</v>
      </c>
      <c r="D12" s="590">
        <v>78.319999999999993</v>
      </c>
      <c r="E12" s="854">
        <v>45114</v>
      </c>
      <c r="F12" s="590">
        <f t="shared" si="0"/>
        <v>78.319999999999993</v>
      </c>
      <c r="G12" s="798" t="s">
        <v>151</v>
      </c>
      <c r="H12" s="799">
        <v>91</v>
      </c>
      <c r="I12" s="77">
        <f>I11-F12</f>
        <v>1923.65</v>
      </c>
      <c r="K12" s="590"/>
      <c r="L12" s="54" t="s">
        <v>33</v>
      </c>
      <c r="M12" s="376">
        <f>M11-N12</f>
        <v>103</v>
      </c>
      <c r="N12" s="123">
        <v>6</v>
      </c>
      <c r="O12" s="68">
        <v>106.52</v>
      </c>
      <c r="P12" s="232">
        <v>45175</v>
      </c>
      <c r="Q12" s="68">
        <f t="shared" si="1"/>
        <v>106.52</v>
      </c>
      <c r="R12" s="69" t="s">
        <v>538</v>
      </c>
      <c r="S12" s="70">
        <v>91</v>
      </c>
      <c r="T12" s="77">
        <f>T11-Q12</f>
        <v>1873.9599999999998</v>
      </c>
    </row>
    <row r="13" spans="1:20" x14ac:dyDescent="0.25">
      <c r="A13" s="76"/>
      <c r="B13" s="376">
        <f t="shared" ref="B13:B66" si="7">B12-C13</f>
        <v>102</v>
      </c>
      <c r="C13" s="123">
        <v>5</v>
      </c>
      <c r="D13" s="590">
        <v>86.97</v>
      </c>
      <c r="E13" s="854">
        <v>45115</v>
      </c>
      <c r="F13" s="590">
        <f t="shared" si="0"/>
        <v>86.97</v>
      </c>
      <c r="G13" s="798" t="s">
        <v>152</v>
      </c>
      <c r="H13" s="799">
        <v>91</v>
      </c>
      <c r="I13" s="77">
        <f t="shared" ref="I13:I67" si="8">I12-F13</f>
        <v>1836.68</v>
      </c>
      <c r="K13" s="590"/>
      <c r="L13" s="76"/>
      <c r="M13" s="376">
        <f t="shared" ref="M13:M66" si="9">M12-N13</f>
        <v>102</v>
      </c>
      <c r="N13" s="123">
        <v>1</v>
      </c>
      <c r="O13" s="68">
        <v>18.649999999999999</v>
      </c>
      <c r="P13" s="232">
        <v>45176</v>
      </c>
      <c r="Q13" s="68">
        <f t="shared" si="1"/>
        <v>18.649999999999999</v>
      </c>
      <c r="R13" s="69" t="s">
        <v>552</v>
      </c>
      <c r="S13" s="70">
        <v>91</v>
      </c>
      <c r="T13" s="77">
        <f t="shared" ref="T13:T67" si="10">T12-Q13</f>
        <v>1855.3099999999997</v>
      </c>
    </row>
    <row r="14" spans="1:20" x14ac:dyDescent="0.25">
      <c r="A14" s="12"/>
      <c r="B14" s="376">
        <f t="shared" si="7"/>
        <v>101</v>
      </c>
      <c r="C14" s="123">
        <v>1</v>
      </c>
      <c r="D14" s="590">
        <v>17.989999999999998</v>
      </c>
      <c r="E14" s="854">
        <v>45119</v>
      </c>
      <c r="F14" s="590">
        <f t="shared" si="0"/>
        <v>17.989999999999998</v>
      </c>
      <c r="G14" s="798" t="s">
        <v>155</v>
      </c>
      <c r="H14" s="799">
        <v>91</v>
      </c>
      <c r="I14" s="77">
        <f t="shared" si="8"/>
        <v>1818.69</v>
      </c>
      <c r="K14" s="590"/>
      <c r="L14" s="12"/>
      <c r="M14" s="376">
        <f t="shared" si="9"/>
        <v>101</v>
      </c>
      <c r="N14" s="123">
        <v>1</v>
      </c>
      <c r="O14" s="68">
        <v>17.649999999999999</v>
      </c>
      <c r="P14" s="232">
        <v>45176</v>
      </c>
      <c r="Q14" s="68">
        <f t="shared" si="1"/>
        <v>17.649999999999999</v>
      </c>
      <c r="R14" s="69" t="s">
        <v>554</v>
      </c>
      <c r="S14" s="70">
        <v>91</v>
      </c>
      <c r="T14" s="77">
        <f t="shared" si="10"/>
        <v>1837.6599999999996</v>
      </c>
    </row>
    <row r="15" spans="1:20" x14ac:dyDescent="0.25">
      <c r="B15" s="376">
        <f t="shared" si="7"/>
        <v>99</v>
      </c>
      <c r="C15" s="123">
        <v>2</v>
      </c>
      <c r="D15" s="590">
        <v>34.020000000000003</v>
      </c>
      <c r="E15" s="854">
        <v>45121</v>
      </c>
      <c r="F15" s="590">
        <f t="shared" si="0"/>
        <v>34.020000000000003</v>
      </c>
      <c r="G15" s="798" t="s">
        <v>158</v>
      </c>
      <c r="H15" s="799">
        <v>91</v>
      </c>
      <c r="I15" s="77">
        <f t="shared" si="8"/>
        <v>1784.67</v>
      </c>
      <c r="K15" s="590"/>
      <c r="M15" s="376">
        <f t="shared" si="9"/>
        <v>100</v>
      </c>
      <c r="N15" s="123">
        <v>1</v>
      </c>
      <c r="O15" s="68">
        <v>16.09</v>
      </c>
      <c r="P15" s="232">
        <v>45176</v>
      </c>
      <c r="Q15" s="68">
        <f t="shared" si="1"/>
        <v>16.09</v>
      </c>
      <c r="R15" s="69" t="s">
        <v>554</v>
      </c>
      <c r="S15" s="70">
        <v>91</v>
      </c>
      <c r="T15" s="77">
        <f t="shared" si="10"/>
        <v>1821.5699999999997</v>
      </c>
    </row>
    <row r="16" spans="1:20" x14ac:dyDescent="0.25">
      <c r="B16" s="376">
        <f t="shared" si="7"/>
        <v>89</v>
      </c>
      <c r="C16" s="123">
        <v>10</v>
      </c>
      <c r="D16" s="590">
        <v>183.04</v>
      </c>
      <c r="E16" s="854">
        <v>45132</v>
      </c>
      <c r="F16" s="590">
        <f t="shared" si="0"/>
        <v>183.04</v>
      </c>
      <c r="G16" s="798" t="s">
        <v>170</v>
      </c>
      <c r="H16" s="886">
        <v>89</v>
      </c>
      <c r="I16" s="77">
        <f t="shared" si="8"/>
        <v>1601.63</v>
      </c>
      <c r="K16" s="590"/>
      <c r="M16" s="376">
        <f t="shared" si="9"/>
        <v>99</v>
      </c>
      <c r="N16" s="123">
        <v>1</v>
      </c>
      <c r="O16" s="68">
        <v>19.55</v>
      </c>
      <c r="P16" s="232">
        <v>45177</v>
      </c>
      <c r="Q16" s="68">
        <f t="shared" si="1"/>
        <v>19.55</v>
      </c>
      <c r="R16" s="69" t="s">
        <v>569</v>
      </c>
      <c r="S16" s="70">
        <v>91</v>
      </c>
      <c r="T16" s="77">
        <f t="shared" si="10"/>
        <v>1802.0199999999998</v>
      </c>
    </row>
    <row r="17" spans="2:20" x14ac:dyDescent="0.25">
      <c r="B17" s="591">
        <f t="shared" si="7"/>
        <v>88</v>
      </c>
      <c r="C17" s="123">
        <v>1</v>
      </c>
      <c r="D17" s="590">
        <v>16.329999999999998</v>
      </c>
      <c r="E17" s="854">
        <v>45134</v>
      </c>
      <c r="F17" s="590">
        <f t="shared" si="0"/>
        <v>16.329999999999998</v>
      </c>
      <c r="G17" s="798" t="s">
        <v>173</v>
      </c>
      <c r="H17" s="799">
        <v>91</v>
      </c>
      <c r="I17" s="582">
        <f t="shared" si="8"/>
        <v>1585.3000000000002</v>
      </c>
      <c r="K17" s="590"/>
      <c r="M17" s="376">
        <f t="shared" si="9"/>
        <v>79</v>
      </c>
      <c r="N17" s="123">
        <v>20</v>
      </c>
      <c r="O17" s="68">
        <v>365.52</v>
      </c>
      <c r="P17" s="232">
        <v>45177</v>
      </c>
      <c r="Q17" s="68">
        <f t="shared" si="1"/>
        <v>365.52</v>
      </c>
      <c r="R17" s="69" t="s">
        <v>576</v>
      </c>
      <c r="S17" s="70">
        <v>84</v>
      </c>
      <c r="T17" s="77">
        <f t="shared" si="10"/>
        <v>1436.4999999999998</v>
      </c>
    </row>
    <row r="18" spans="2:20" x14ac:dyDescent="0.25">
      <c r="B18" s="376">
        <f t="shared" si="7"/>
        <v>88</v>
      </c>
      <c r="C18" s="123"/>
      <c r="D18" s="590"/>
      <c r="E18" s="854"/>
      <c r="F18" s="590">
        <f t="shared" si="0"/>
        <v>0</v>
      </c>
      <c r="G18" s="798"/>
      <c r="H18" s="799"/>
      <c r="I18" s="77">
        <f t="shared" si="8"/>
        <v>1585.3000000000002</v>
      </c>
      <c r="K18" s="5"/>
      <c r="M18" s="376">
        <f t="shared" si="9"/>
        <v>78</v>
      </c>
      <c r="N18" s="123">
        <v>1</v>
      </c>
      <c r="O18" s="68">
        <v>20.09</v>
      </c>
      <c r="P18" s="232">
        <v>45183</v>
      </c>
      <c r="Q18" s="68">
        <f t="shared" si="1"/>
        <v>20.09</v>
      </c>
      <c r="R18" s="69" t="s">
        <v>641</v>
      </c>
      <c r="S18" s="70">
        <v>91</v>
      </c>
      <c r="T18" s="77">
        <f t="shared" si="10"/>
        <v>1416.4099999999999</v>
      </c>
    </row>
    <row r="19" spans="2:20" x14ac:dyDescent="0.25">
      <c r="B19" s="376">
        <f t="shared" si="7"/>
        <v>85</v>
      </c>
      <c r="C19" s="123">
        <v>3</v>
      </c>
      <c r="D19" s="662">
        <v>50.56</v>
      </c>
      <c r="E19" s="921">
        <v>45141</v>
      </c>
      <c r="F19" s="662">
        <f t="shared" si="0"/>
        <v>50.56</v>
      </c>
      <c r="G19" s="517" t="s">
        <v>199</v>
      </c>
      <c r="H19" s="353">
        <v>91</v>
      </c>
      <c r="I19" s="77">
        <f t="shared" si="8"/>
        <v>1534.7400000000002</v>
      </c>
      <c r="M19" s="376">
        <f t="shared" si="9"/>
        <v>66</v>
      </c>
      <c r="N19" s="123">
        <v>12</v>
      </c>
      <c r="O19" s="68">
        <v>213.72</v>
      </c>
      <c r="P19" s="232">
        <v>45184</v>
      </c>
      <c r="Q19" s="68">
        <f t="shared" si="1"/>
        <v>213.72</v>
      </c>
      <c r="R19" s="69" t="s">
        <v>653</v>
      </c>
      <c r="S19" s="70">
        <v>91</v>
      </c>
      <c r="T19" s="77">
        <f t="shared" si="10"/>
        <v>1202.6899999999998</v>
      </c>
    </row>
    <row r="20" spans="2:20" x14ac:dyDescent="0.25">
      <c r="B20" s="376">
        <f t="shared" si="7"/>
        <v>84</v>
      </c>
      <c r="C20" s="123">
        <v>1</v>
      </c>
      <c r="D20" s="662">
        <v>17.91</v>
      </c>
      <c r="E20" s="921">
        <v>45141</v>
      </c>
      <c r="F20" s="662">
        <f t="shared" si="0"/>
        <v>17.91</v>
      </c>
      <c r="G20" s="517" t="s">
        <v>205</v>
      </c>
      <c r="H20" s="353">
        <v>91</v>
      </c>
      <c r="I20" s="77">
        <f t="shared" si="8"/>
        <v>1516.8300000000002</v>
      </c>
      <c r="M20" s="376">
        <f t="shared" si="9"/>
        <v>65</v>
      </c>
      <c r="N20" s="123">
        <v>1</v>
      </c>
      <c r="O20" s="68">
        <v>20.65</v>
      </c>
      <c r="P20" s="232">
        <v>45185</v>
      </c>
      <c r="Q20" s="68">
        <f t="shared" si="1"/>
        <v>20.65</v>
      </c>
      <c r="R20" s="69" t="s">
        <v>661</v>
      </c>
      <c r="S20" s="70">
        <v>91</v>
      </c>
      <c r="T20" s="77">
        <f t="shared" si="10"/>
        <v>1182.0399999999997</v>
      </c>
    </row>
    <row r="21" spans="2:20" x14ac:dyDescent="0.25">
      <c r="B21" s="376">
        <f t="shared" si="7"/>
        <v>76</v>
      </c>
      <c r="C21" s="123">
        <v>8</v>
      </c>
      <c r="D21" s="662">
        <v>144.43</v>
      </c>
      <c r="E21" s="921">
        <v>45145</v>
      </c>
      <c r="F21" s="662">
        <f t="shared" si="0"/>
        <v>144.43</v>
      </c>
      <c r="G21" s="517" t="s">
        <v>204</v>
      </c>
      <c r="H21" s="353">
        <v>91</v>
      </c>
      <c r="I21" s="77">
        <f t="shared" si="8"/>
        <v>1372.4</v>
      </c>
      <c r="M21" s="376">
        <f t="shared" si="9"/>
        <v>64</v>
      </c>
      <c r="N21" s="123">
        <v>1</v>
      </c>
      <c r="O21" s="68">
        <v>19.87</v>
      </c>
      <c r="P21" s="232">
        <v>45185</v>
      </c>
      <c r="Q21" s="68">
        <f t="shared" si="1"/>
        <v>19.87</v>
      </c>
      <c r="R21" s="69" t="s">
        <v>661</v>
      </c>
      <c r="S21" s="70">
        <v>91</v>
      </c>
      <c r="T21" s="77">
        <f t="shared" si="10"/>
        <v>1162.1699999999998</v>
      </c>
    </row>
    <row r="22" spans="2:20" x14ac:dyDescent="0.25">
      <c r="B22" s="376">
        <f t="shared" si="7"/>
        <v>73</v>
      </c>
      <c r="C22" s="123">
        <v>3</v>
      </c>
      <c r="D22" s="662">
        <v>56.27</v>
      </c>
      <c r="E22" s="921">
        <v>45147</v>
      </c>
      <c r="F22" s="662">
        <f t="shared" si="0"/>
        <v>56.27</v>
      </c>
      <c r="G22" s="517" t="s">
        <v>216</v>
      </c>
      <c r="H22" s="353">
        <v>91</v>
      </c>
      <c r="I22" s="77">
        <f t="shared" si="8"/>
        <v>1316.13</v>
      </c>
      <c r="M22" s="376">
        <f t="shared" si="9"/>
        <v>63</v>
      </c>
      <c r="N22" s="123">
        <v>1</v>
      </c>
      <c r="O22" s="68">
        <v>9.0399999999999991</v>
      </c>
      <c r="P22" s="232">
        <v>45188</v>
      </c>
      <c r="Q22" s="68">
        <f t="shared" si="1"/>
        <v>9.0399999999999991</v>
      </c>
      <c r="R22" s="69" t="s">
        <v>672</v>
      </c>
      <c r="S22" s="70">
        <v>91</v>
      </c>
      <c r="T22" s="77">
        <f t="shared" si="10"/>
        <v>1153.1299999999999</v>
      </c>
    </row>
    <row r="23" spans="2:20" x14ac:dyDescent="0.25">
      <c r="B23" s="376">
        <f t="shared" si="7"/>
        <v>65</v>
      </c>
      <c r="C23" s="123">
        <v>8</v>
      </c>
      <c r="D23" s="662">
        <v>140.44</v>
      </c>
      <c r="E23" s="921">
        <v>45149</v>
      </c>
      <c r="F23" s="662">
        <f t="shared" si="0"/>
        <v>140.44</v>
      </c>
      <c r="G23" s="517" t="s">
        <v>221</v>
      </c>
      <c r="H23" s="353">
        <v>91</v>
      </c>
      <c r="I23" s="77">
        <f t="shared" si="8"/>
        <v>1175.69</v>
      </c>
      <c r="M23" s="376">
        <f t="shared" si="9"/>
        <v>62</v>
      </c>
      <c r="N23" s="123">
        <v>1</v>
      </c>
      <c r="O23" s="68">
        <v>19.79</v>
      </c>
      <c r="P23" s="232">
        <v>45189</v>
      </c>
      <c r="Q23" s="68">
        <f t="shared" si="1"/>
        <v>19.79</v>
      </c>
      <c r="R23" s="69" t="s">
        <v>677</v>
      </c>
      <c r="S23" s="70">
        <v>91</v>
      </c>
      <c r="T23" s="77">
        <f t="shared" si="10"/>
        <v>1133.3399999999999</v>
      </c>
    </row>
    <row r="24" spans="2:20" x14ac:dyDescent="0.25">
      <c r="B24" s="376">
        <f t="shared" si="7"/>
        <v>55</v>
      </c>
      <c r="C24" s="123">
        <v>10</v>
      </c>
      <c r="D24" s="662">
        <v>187.84</v>
      </c>
      <c r="E24" s="921">
        <v>45152</v>
      </c>
      <c r="F24" s="662">
        <f t="shared" si="0"/>
        <v>187.84</v>
      </c>
      <c r="G24" s="517" t="s">
        <v>229</v>
      </c>
      <c r="H24" s="353">
        <v>89</v>
      </c>
      <c r="I24" s="77">
        <f t="shared" si="8"/>
        <v>987.85</v>
      </c>
      <c r="M24" s="376">
        <f t="shared" si="9"/>
        <v>56</v>
      </c>
      <c r="N24" s="123">
        <v>6</v>
      </c>
      <c r="O24" s="68">
        <v>109.94</v>
      </c>
      <c r="P24" s="232">
        <v>45189</v>
      </c>
      <c r="Q24" s="68">
        <f t="shared" si="1"/>
        <v>109.94</v>
      </c>
      <c r="R24" s="69" t="s">
        <v>690</v>
      </c>
      <c r="S24" s="70">
        <v>91</v>
      </c>
      <c r="T24" s="77">
        <f t="shared" si="10"/>
        <v>1023.3999999999999</v>
      </c>
    </row>
    <row r="25" spans="2:20" x14ac:dyDescent="0.25">
      <c r="B25" s="376">
        <f t="shared" si="7"/>
        <v>49</v>
      </c>
      <c r="C25" s="123">
        <v>6</v>
      </c>
      <c r="D25" s="662">
        <v>116.46</v>
      </c>
      <c r="E25" s="921">
        <v>45154</v>
      </c>
      <c r="F25" s="662">
        <f t="shared" si="0"/>
        <v>116.46</v>
      </c>
      <c r="G25" s="517" t="s">
        <v>233</v>
      </c>
      <c r="H25" s="353">
        <v>91</v>
      </c>
      <c r="I25" s="77">
        <f t="shared" si="8"/>
        <v>871.39</v>
      </c>
      <c r="M25" s="376">
        <f t="shared" si="9"/>
        <v>55</v>
      </c>
      <c r="N25" s="123">
        <v>1</v>
      </c>
      <c r="O25" s="68">
        <v>18.829999999999998</v>
      </c>
      <c r="P25" s="232">
        <v>45191</v>
      </c>
      <c r="Q25" s="68">
        <f t="shared" si="1"/>
        <v>18.829999999999998</v>
      </c>
      <c r="R25" s="69" t="s">
        <v>700</v>
      </c>
      <c r="S25" s="70">
        <v>91</v>
      </c>
      <c r="T25" s="77">
        <f t="shared" si="10"/>
        <v>1004.5699999999998</v>
      </c>
    </row>
    <row r="26" spans="2:20" x14ac:dyDescent="0.25">
      <c r="B26" s="376">
        <f t="shared" si="7"/>
        <v>29</v>
      </c>
      <c r="C26" s="123">
        <v>20</v>
      </c>
      <c r="D26" s="662">
        <v>365.6</v>
      </c>
      <c r="E26" s="921">
        <v>45157</v>
      </c>
      <c r="F26" s="662">
        <f t="shared" si="0"/>
        <v>365.6</v>
      </c>
      <c r="G26" s="517" t="s">
        <v>246</v>
      </c>
      <c r="H26" s="353">
        <v>89</v>
      </c>
      <c r="I26" s="77">
        <f t="shared" si="8"/>
        <v>505.78999999999996</v>
      </c>
      <c r="M26" s="376">
        <f t="shared" si="9"/>
        <v>54</v>
      </c>
      <c r="N26" s="123">
        <v>1</v>
      </c>
      <c r="O26" s="68">
        <v>21.29</v>
      </c>
      <c r="P26" s="232">
        <v>45197</v>
      </c>
      <c r="Q26" s="68">
        <f t="shared" si="1"/>
        <v>21.29</v>
      </c>
      <c r="R26" s="69" t="s">
        <v>750</v>
      </c>
      <c r="S26" s="70">
        <v>91</v>
      </c>
      <c r="T26" s="77">
        <f t="shared" si="10"/>
        <v>983.27999999999986</v>
      </c>
    </row>
    <row r="27" spans="2:20" x14ac:dyDescent="0.25">
      <c r="B27" s="376">
        <f t="shared" si="7"/>
        <v>27</v>
      </c>
      <c r="C27" s="123">
        <v>2</v>
      </c>
      <c r="D27" s="662">
        <v>43.27</v>
      </c>
      <c r="E27" s="921">
        <v>45164</v>
      </c>
      <c r="F27" s="662">
        <f t="shared" si="0"/>
        <v>43.27</v>
      </c>
      <c r="G27" s="517" t="s">
        <v>263</v>
      </c>
      <c r="H27" s="353">
        <v>91</v>
      </c>
      <c r="I27" s="77">
        <f t="shared" si="8"/>
        <v>462.52</v>
      </c>
      <c r="M27" s="376">
        <f t="shared" si="9"/>
        <v>48</v>
      </c>
      <c r="N27" s="123">
        <v>6</v>
      </c>
      <c r="O27" s="68">
        <v>108.6</v>
      </c>
      <c r="P27" s="232">
        <v>45197</v>
      </c>
      <c r="Q27" s="68">
        <f t="shared" si="1"/>
        <v>108.6</v>
      </c>
      <c r="R27" s="69" t="s">
        <v>760</v>
      </c>
      <c r="S27" s="70">
        <v>91</v>
      </c>
      <c r="T27" s="77">
        <f t="shared" si="10"/>
        <v>874.67999999999984</v>
      </c>
    </row>
    <row r="28" spans="2:20" x14ac:dyDescent="0.25">
      <c r="B28" s="376">
        <f t="shared" si="7"/>
        <v>26</v>
      </c>
      <c r="C28" s="123">
        <v>1</v>
      </c>
      <c r="D28" s="662">
        <v>15.57</v>
      </c>
      <c r="E28" s="921">
        <v>45164</v>
      </c>
      <c r="F28" s="662">
        <f t="shared" si="0"/>
        <v>15.57</v>
      </c>
      <c r="G28" s="517" t="s">
        <v>264</v>
      </c>
      <c r="H28" s="353">
        <v>91</v>
      </c>
      <c r="I28" s="77">
        <f t="shared" si="8"/>
        <v>446.95</v>
      </c>
      <c r="M28" s="376">
        <f t="shared" si="9"/>
        <v>40</v>
      </c>
      <c r="N28" s="123">
        <v>8</v>
      </c>
      <c r="O28" s="68">
        <v>144.78</v>
      </c>
      <c r="P28" s="232">
        <v>45201</v>
      </c>
      <c r="Q28" s="68">
        <f t="shared" si="1"/>
        <v>144.78</v>
      </c>
      <c r="R28" s="69" t="s">
        <v>778</v>
      </c>
      <c r="S28" s="70">
        <v>91</v>
      </c>
      <c r="T28" s="77">
        <f t="shared" si="10"/>
        <v>729.89999999999986</v>
      </c>
    </row>
    <row r="29" spans="2:20" x14ac:dyDescent="0.25">
      <c r="B29" s="376">
        <f t="shared" si="7"/>
        <v>23</v>
      </c>
      <c r="C29" s="123">
        <v>3</v>
      </c>
      <c r="D29" s="662">
        <v>47.7</v>
      </c>
      <c r="E29" s="921">
        <v>45164</v>
      </c>
      <c r="F29" s="662">
        <f t="shared" si="0"/>
        <v>47.7</v>
      </c>
      <c r="G29" s="517" t="s">
        <v>267</v>
      </c>
      <c r="H29" s="353">
        <v>91</v>
      </c>
      <c r="I29" s="77">
        <f t="shared" si="8"/>
        <v>399.25</v>
      </c>
      <c r="M29" s="376">
        <f t="shared" si="9"/>
        <v>38</v>
      </c>
      <c r="N29" s="123">
        <v>2</v>
      </c>
      <c r="O29" s="68">
        <v>36.1</v>
      </c>
      <c r="P29" s="232">
        <v>45201</v>
      </c>
      <c r="Q29" s="68">
        <f t="shared" si="1"/>
        <v>36.1</v>
      </c>
      <c r="R29" s="69" t="s">
        <v>782</v>
      </c>
      <c r="S29" s="70">
        <v>91</v>
      </c>
      <c r="T29" s="77">
        <f t="shared" si="10"/>
        <v>693.79999999999984</v>
      </c>
    </row>
    <row r="30" spans="2:20" x14ac:dyDescent="0.25">
      <c r="B30" s="376">
        <f t="shared" si="7"/>
        <v>20</v>
      </c>
      <c r="C30" s="123">
        <v>3</v>
      </c>
      <c r="D30" s="662">
        <v>46.55</v>
      </c>
      <c r="E30" s="921">
        <v>45168</v>
      </c>
      <c r="F30" s="662">
        <f t="shared" si="0"/>
        <v>46.55</v>
      </c>
      <c r="G30" s="517" t="s">
        <v>281</v>
      </c>
      <c r="H30" s="353">
        <v>89</v>
      </c>
      <c r="I30" s="77">
        <f t="shared" si="8"/>
        <v>352.7</v>
      </c>
      <c r="M30" s="376">
        <f t="shared" si="9"/>
        <v>38</v>
      </c>
      <c r="N30" s="123"/>
      <c r="O30" s="68"/>
      <c r="P30" s="232"/>
      <c r="Q30" s="68">
        <f t="shared" si="1"/>
        <v>0</v>
      </c>
      <c r="R30" s="69"/>
      <c r="S30" s="70"/>
      <c r="T30" s="77">
        <f t="shared" si="10"/>
        <v>693.79999999999984</v>
      </c>
    </row>
    <row r="31" spans="2:20" x14ac:dyDescent="0.25">
      <c r="B31" s="591">
        <f t="shared" si="7"/>
        <v>20</v>
      </c>
      <c r="C31" s="72"/>
      <c r="D31" s="662"/>
      <c r="E31" s="921"/>
      <c r="F31" s="662">
        <f t="shared" si="0"/>
        <v>0</v>
      </c>
      <c r="G31" s="517"/>
      <c r="H31" s="353"/>
      <c r="I31" s="582">
        <f t="shared" si="8"/>
        <v>352.7</v>
      </c>
      <c r="M31" s="376">
        <f t="shared" si="9"/>
        <v>38</v>
      </c>
      <c r="N31" s="72"/>
      <c r="O31" s="68"/>
      <c r="P31" s="232"/>
      <c r="Q31" s="68">
        <f t="shared" si="1"/>
        <v>0</v>
      </c>
      <c r="R31" s="69"/>
      <c r="S31" s="70"/>
      <c r="T31" s="77">
        <f t="shared" si="10"/>
        <v>693.79999999999984</v>
      </c>
    </row>
    <row r="32" spans="2:20" x14ac:dyDescent="0.25">
      <c r="B32" s="376">
        <f t="shared" si="7"/>
        <v>14</v>
      </c>
      <c r="C32" s="72">
        <v>6</v>
      </c>
      <c r="D32" s="1012">
        <v>99.05</v>
      </c>
      <c r="E32" s="1035">
        <v>45173</v>
      </c>
      <c r="F32" s="1012">
        <f t="shared" si="0"/>
        <v>99.05</v>
      </c>
      <c r="G32" s="844" t="s">
        <v>522</v>
      </c>
      <c r="H32" s="845">
        <v>91</v>
      </c>
      <c r="I32" s="77">
        <f t="shared" si="8"/>
        <v>253.64999999999998</v>
      </c>
      <c r="M32" s="376">
        <f t="shared" si="9"/>
        <v>38</v>
      </c>
      <c r="N32" s="72"/>
      <c r="O32" s="68"/>
      <c r="P32" s="232"/>
      <c r="Q32" s="68">
        <f t="shared" si="1"/>
        <v>0</v>
      </c>
      <c r="R32" s="69"/>
      <c r="S32" s="70"/>
      <c r="T32" s="77">
        <f t="shared" si="10"/>
        <v>693.79999999999984</v>
      </c>
    </row>
    <row r="33" spans="2:20" x14ac:dyDescent="0.25">
      <c r="B33" s="376">
        <f t="shared" si="7"/>
        <v>14</v>
      </c>
      <c r="C33" s="72"/>
      <c r="D33" s="1012"/>
      <c r="E33" s="1035"/>
      <c r="F33" s="1012">
        <f t="shared" si="0"/>
        <v>0</v>
      </c>
      <c r="G33" s="844"/>
      <c r="H33" s="845"/>
      <c r="I33" s="77">
        <f t="shared" si="8"/>
        <v>253.64999999999998</v>
      </c>
      <c r="M33" s="376">
        <f t="shared" si="9"/>
        <v>38</v>
      </c>
      <c r="N33" s="72"/>
      <c r="O33" s="68"/>
      <c r="P33" s="232"/>
      <c r="Q33" s="68">
        <f t="shared" si="1"/>
        <v>0</v>
      </c>
      <c r="R33" s="69"/>
      <c r="S33" s="70"/>
      <c r="T33" s="77">
        <f t="shared" si="10"/>
        <v>693.79999999999984</v>
      </c>
    </row>
    <row r="34" spans="2:20" x14ac:dyDescent="0.25">
      <c r="B34" s="376">
        <f t="shared" si="7"/>
        <v>0</v>
      </c>
      <c r="C34" s="72">
        <v>14</v>
      </c>
      <c r="D34" s="1012"/>
      <c r="E34" s="1035"/>
      <c r="F34" s="1257">
        <v>253.65</v>
      </c>
      <c r="G34" s="1258"/>
      <c r="H34" s="1259"/>
      <c r="I34" s="1260">
        <f t="shared" si="8"/>
        <v>0</v>
      </c>
      <c r="M34" s="376">
        <f t="shared" si="9"/>
        <v>38</v>
      </c>
      <c r="N34" s="72"/>
      <c r="O34" s="68"/>
      <c r="P34" s="232"/>
      <c r="Q34" s="68">
        <f t="shared" si="1"/>
        <v>0</v>
      </c>
      <c r="R34" s="69"/>
      <c r="S34" s="70"/>
      <c r="T34" s="77">
        <f t="shared" si="10"/>
        <v>693.79999999999984</v>
      </c>
    </row>
    <row r="35" spans="2:20" x14ac:dyDescent="0.25">
      <c r="B35" s="376">
        <f t="shared" si="7"/>
        <v>0</v>
      </c>
      <c r="C35" s="72"/>
      <c r="D35" s="1012"/>
      <c r="E35" s="1035"/>
      <c r="F35" s="1257">
        <f t="shared" si="0"/>
        <v>0</v>
      </c>
      <c r="G35" s="1258"/>
      <c r="H35" s="1259"/>
      <c r="I35" s="1260">
        <f t="shared" si="8"/>
        <v>0</v>
      </c>
      <c r="M35" s="376">
        <f t="shared" si="9"/>
        <v>38</v>
      </c>
      <c r="N35" s="72"/>
      <c r="O35" s="68"/>
      <c r="P35" s="232"/>
      <c r="Q35" s="68">
        <f t="shared" si="1"/>
        <v>0</v>
      </c>
      <c r="R35" s="69"/>
      <c r="S35" s="70"/>
      <c r="T35" s="77">
        <f t="shared" si="10"/>
        <v>693.79999999999984</v>
      </c>
    </row>
    <row r="36" spans="2:20" x14ac:dyDescent="0.25">
      <c r="B36" s="376">
        <f t="shared" si="7"/>
        <v>0</v>
      </c>
      <c r="C36" s="72"/>
      <c r="D36" s="1012"/>
      <c r="E36" s="1035"/>
      <c r="F36" s="1257">
        <f t="shared" si="0"/>
        <v>0</v>
      </c>
      <c r="G36" s="1258"/>
      <c r="H36" s="1259"/>
      <c r="I36" s="1260">
        <f t="shared" si="8"/>
        <v>0</v>
      </c>
      <c r="M36" s="376">
        <f t="shared" si="9"/>
        <v>38</v>
      </c>
      <c r="N36" s="72"/>
      <c r="O36" s="68"/>
      <c r="P36" s="232"/>
      <c r="Q36" s="68">
        <f t="shared" si="1"/>
        <v>0</v>
      </c>
      <c r="R36" s="69"/>
      <c r="S36" s="70"/>
      <c r="T36" s="77">
        <f t="shared" si="10"/>
        <v>693.79999999999984</v>
      </c>
    </row>
    <row r="37" spans="2:20" x14ac:dyDescent="0.25">
      <c r="B37" s="376">
        <f t="shared" si="7"/>
        <v>0</v>
      </c>
      <c r="C37" s="72"/>
      <c r="D37" s="1012"/>
      <c r="E37" s="1035"/>
      <c r="F37" s="1257">
        <f t="shared" si="0"/>
        <v>0</v>
      </c>
      <c r="G37" s="1258"/>
      <c r="H37" s="1259"/>
      <c r="I37" s="1260">
        <f t="shared" si="8"/>
        <v>0</v>
      </c>
      <c r="M37" s="376">
        <f t="shared" si="9"/>
        <v>38</v>
      </c>
      <c r="N37" s="72"/>
      <c r="O37" s="68"/>
      <c r="P37" s="232"/>
      <c r="Q37" s="68">
        <f t="shared" si="1"/>
        <v>0</v>
      </c>
      <c r="R37" s="69"/>
      <c r="S37" s="70"/>
      <c r="T37" s="77">
        <f t="shared" si="10"/>
        <v>693.79999999999984</v>
      </c>
    </row>
    <row r="38" spans="2:20" x14ac:dyDescent="0.25">
      <c r="B38" s="376">
        <f t="shared" si="7"/>
        <v>0</v>
      </c>
      <c r="C38" s="15"/>
      <c r="D38" s="1012"/>
      <c r="E38" s="1035"/>
      <c r="F38" s="1012">
        <f t="shared" si="0"/>
        <v>0</v>
      </c>
      <c r="G38" s="844"/>
      <c r="H38" s="845"/>
      <c r="I38" s="77">
        <f t="shared" si="8"/>
        <v>0</v>
      </c>
      <c r="M38" s="376">
        <f t="shared" si="9"/>
        <v>38</v>
      </c>
      <c r="N38" s="15"/>
      <c r="O38" s="68"/>
      <c r="P38" s="232"/>
      <c r="Q38" s="68">
        <f t="shared" si="1"/>
        <v>0</v>
      </c>
      <c r="R38" s="69"/>
      <c r="S38" s="70"/>
      <c r="T38" s="77">
        <f t="shared" si="10"/>
        <v>693.79999999999984</v>
      </c>
    </row>
    <row r="39" spans="2:20" x14ac:dyDescent="0.25">
      <c r="B39" s="376">
        <f t="shared" si="7"/>
        <v>0</v>
      </c>
      <c r="C39" s="15"/>
      <c r="D39" s="1012"/>
      <c r="E39" s="1035"/>
      <c r="F39" s="1012">
        <f t="shared" si="0"/>
        <v>0</v>
      </c>
      <c r="G39" s="844"/>
      <c r="H39" s="845"/>
      <c r="I39" s="77">
        <f t="shared" si="8"/>
        <v>0</v>
      </c>
      <c r="M39" s="376">
        <f t="shared" si="9"/>
        <v>38</v>
      </c>
      <c r="N39" s="15"/>
      <c r="O39" s="68"/>
      <c r="P39" s="232"/>
      <c r="Q39" s="68">
        <f t="shared" si="1"/>
        <v>0</v>
      </c>
      <c r="R39" s="69"/>
      <c r="S39" s="70"/>
      <c r="T39" s="77">
        <f t="shared" si="10"/>
        <v>693.79999999999984</v>
      </c>
    </row>
    <row r="40" spans="2:20" x14ac:dyDescent="0.25">
      <c r="B40" s="376">
        <f t="shared" si="7"/>
        <v>0</v>
      </c>
      <c r="C40" s="15"/>
      <c r="D40" s="1012"/>
      <c r="E40" s="1035"/>
      <c r="F40" s="1012">
        <f t="shared" si="0"/>
        <v>0</v>
      </c>
      <c r="G40" s="844"/>
      <c r="H40" s="845"/>
      <c r="I40" s="77">
        <f t="shared" si="8"/>
        <v>0</v>
      </c>
      <c r="M40" s="376">
        <f t="shared" si="9"/>
        <v>38</v>
      </c>
      <c r="N40" s="15"/>
      <c r="O40" s="68"/>
      <c r="P40" s="232"/>
      <c r="Q40" s="68">
        <f t="shared" si="1"/>
        <v>0</v>
      </c>
      <c r="R40" s="69"/>
      <c r="S40" s="70"/>
      <c r="T40" s="77">
        <f t="shared" si="10"/>
        <v>693.79999999999984</v>
      </c>
    </row>
    <row r="41" spans="2:20" x14ac:dyDescent="0.25">
      <c r="B41" s="376">
        <f t="shared" si="7"/>
        <v>0</v>
      </c>
      <c r="C41" s="15"/>
      <c r="D41" s="1012"/>
      <c r="E41" s="1035"/>
      <c r="F41" s="1012">
        <f t="shared" si="0"/>
        <v>0</v>
      </c>
      <c r="G41" s="844"/>
      <c r="H41" s="845"/>
      <c r="I41" s="77">
        <f t="shared" si="8"/>
        <v>0</v>
      </c>
      <c r="M41" s="376">
        <f t="shared" si="9"/>
        <v>38</v>
      </c>
      <c r="N41" s="15"/>
      <c r="O41" s="68"/>
      <c r="P41" s="232"/>
      <c r="Q41" s="68">
        <f t="shared" si="1"/>
        <v>0</v>
      </c>
      <c r="R41" s="69"/>
      <c r="S41" s="70"/>
      <c r="T41" s="77">
        <f t="shared" si="10"/>
        <v>693.79999999999984</v>
      </c>
    </row>
    <row r="42" spans="2:20" x14ac:dyDescent="0.25">
      <c r="B42" s="376">
        <f t="shared" si="7"/>
        <v>0</v>
      </c>
      <c r="C42" s="15"/>
      <c r="D42" s="1012"/>
      <c r="E42" s="1035"/>
      <c r="F42" s="1012">
        <f t="shared" si="0"/>
        <v>0</v>
      </c>
      <c r="G42" s="844"/>
      <c r="H42" s="845"/>
      <c r="I42" s="77">
        <f t="shared" si="8"/>
        <v>0</v>
      </c>
      <c r="M42" s="376">
        <f t="shared" si="9"/>
        <v>38</v>
      </c>
      <c r="N42" s="15"/>
      <c r="O42" s="68"/>
      <c r="P42" s="232"/>
      <c r="Q42" s="68">
        <f t="shared" si="1"/>
        <v>0</v>
      </c>
      <c r="R42" s="69"/>
      <c r="S42" s="70"/>
      <c r="T42" s="77">
        <f t="shared" si="10"/>
        <v>693.79999999999984</v>
      </c>
    </row>
    <row r="43" spans="2:20" x14ac:dyDescent="0.25">
      <c r="B43" s="376">
        <f t="shared" si="7"/>
        <v>0</v>
      </c>
      <c r="C43" s="15"/>
      <c r="D43" s="1012"/>
      <c r="E43" s="1035"/>
      <c r="F43" s="1012">
        <f t="shared" si="0"/>
        <v>0</v>
      </c>
      <c r="G43" s="844"/>
      <c r="H43" s="845"/>
      <c r="I43" s="77">
        <f t="shared" si="8"/>
        <v>0</v>
      </c>
      <c r="M43" s="376">
        <f t="shared" si="9"/>
        <v>38</v>
      </c>
      <c r="N43" s="15"/>
      <c r="O43" s="68"/>
      <c r="P43" s="232"/>
      <c r="Q43" s="68">
        <f t="shared" si="1"/>
        <v>0</v>
      </c>
      <c r="R43" s="69"/>
      <c r="S43" s="70"/>
      <c r="T43" s="77">
        <f t="shared" si="10"/>
        <v>693.79999999999984</v>
      </c>
    </row>
    <row r="44" spans="2:20" x14ac:dyDescent="0.25">
      <c r="B44" s="376">
        <f t="shared" si="7"/>
        <v>0</v>
      </c>
      <c r="C44" s="15"/>
      <c r="D44" s="1012"/>
      <c r="E44" s="1035"/>
      <c r="F44" s="1012">
        <f t="shared" si="0"/>
        <v>0</v>
      </c>
      <c r="G44" s="844"/>
      <c r="H44" s="845"/>
      <c r="I44" s="77">
        <f t="shared" si="8"/>
        <v>0</v>
      </c>
      <c r="M44" s="376">
        <f t="shared" si="9"/>
        <v>38</v>
      </c>
      <c r="N44" s="15"/>
      <c r="O44" s="68"/>
      <c r="P44" s="232"/>
      <c r="Q44" s="68">
        <f t="shared" si="1"/>
        <v>0</v>
      </c>
      <c r="R44" s="69"/>
      <c r="S44" s="70"/>
      <c r="T44" s="77">
        <f t="shared" si="10"/>
        <v>693.79999999999984</v>
      </c>
    </row>
    <row r="45" spans="2:20" x14ac:dyDescent="0.25">
      <c r="B45" s="376">
        <f t="shared" si="7"/>
        <v>0</v>
      </c>
      <c r="C45" s="15"/>
      <c r="D45" s="1012"/>
      <c r="E45" s="1035"/>
      <c r="F45" s="1012">
        <f t="shared" si="0"/>
        <v>0</v>
      </c>
      <c r="G45" s="844"/>
      <c r="H45" s="845"/>
      <c r="I45" s="77">
        <f t="shared" si="8"/>
        <v>0</v>
      </c>
      <c r="M45" s="376">
        <f t="shared" si="9"/>
        <v>38</v>
      </c>
      <c r="N45" s="15"/>
      <c r="O45" s="68"/>
      <c r="P45" s="232"/>
      <c r="Q45" s="68">
        <f t="shared" si="1"/>
        <v>0</v>
      </c>
      <c r="R45" s="69"/>
      <c r="S45" s="70"/>
      <c r="T45" s="77">
        <f t="shared" si="10"/>
        <v>693.79999999999984</v>
      </c>
    </row>
    <row r="46" spans="2:20" x14ac:dyDescent="0.25">
      <c r="B46" s="376">
        <f t="shared" si="7"/>
        <v>0</v>
      </c>
      <c r="C46" s="15"/>
      <c r="D46" s="1012"/>
      <c r="E46" s="1035"/>
      <c r="F46" s="1012">
        <f t="shared" si="0"/>
        <v>0</v>
      </c>
      <c r="G46" s="844"/>
      <c r="H46" s="845"/>
      <c r="I46" s="77">
        <f t="shared" si="8"/>
        <v>0</v>
      </c>
      <c r="M46" s="376">
        <f t="shared" si="9"/>
        <v>38</v>
      </c>
      <c r="N46" s="15"/>
      <c r="O46" s="68"/>
      <c r="P46" s="232"/>
      <c r="Q46" s="68">
        <f t="shared" si="1"/>
        <v>0</v>
      </c>
      <c r="R46" s="69"/>
      <c r="S46" s="70"/>
      <c r="T46" s="77">
        <f t="shared" si="10"/>
        <v>693.79999999999984</v>
      </c>
    </row>
    <row r="47" spans="2:20" x14ac:dyDescent="0.25">
      <c r="B47" s="376">
        <f t="shared" si="7"/>
        <v>0</v>
      </c>
      <c r="C47" s="15"/>
      <c r="D47" s="1012"/>
      <c r="E47" s="1035"/>
      <c r="F47" s="1012">
        <f t="shared" si="0"/>
        <v>0</v>
      </c>
      <c r="G47" s="844"/>
      <c r="H47" s="845"/>
      <c r="I47" s="77">
        <f t="shared" si="8"/>
        <v>0</v>
      </c>
      <c r="M47" s="376">
        <f t="shared" si="9"/>
        <v>38</v>
      </c>
      <c r="N47" s="15"/>
      <c r="O47" s="68"/>
      <c r="P47" s="232"/>
      <c r="Q47" s="68">
        <f t="shared" si="1"/>
        <v>0</v>
      </c>
      <c r="R47" s="69"/>
      <c r="S47" s="70"/>
      <c r="T47" s="77">
        <f t="shared" si="10"/>
        <v>693.79999999999984</v>
      </c>
    </row>
    <row r="48" spans="2:20" x14ac:dyDescent="0.25">
      <c r="B48" s="376">
        <f t="shared" si="7"/>
        <v>0</v>
      </c>
      <c r="C48" s="15"/>
      <c r="D48" s="1012"/>
      <c r="E48" s="1035"/>
      <c r="F48" s="1012">
        <f t="shared" si="0"/>
        <v>0</v>
      </c>
      <c r="G48" s="844"/>
      <c r="H48" s="845"/>
      <c r="I48" s="77">
        <f t="shared" si="8"/>
        <v>0</v>
      </c>
      <c r="M48" s="376">
        <f t="shared" si="9"/>
        <v>38</v>
      </c>
      <c r="N48" s="15"/>
      <c r="O48" s="68"/>
      <c r="P48" s="232"/>
      <c r="Q48" s="68">
        <f t="shared" si="1"/>
        <v>0</v>
      </c>
      <c r="R48" s="69"/>
      <c r="S48" s="70"/>
      <c r="T48" s="77">
        <f t="shared" si="10"/>
        <v>693.79999999999984</v>
      </c>
    </row>
    <row r="49" spans="2:20" x14ac:dyDescent="0.25">
      <c r="B49" s="376">
        <f t="shared" si="7"/>
        <v>0</v>
      </c>
      <c r="C49" s="15"/>
      <c r="D49" s="1012"/>
      <c r="E49" s="1035"/>
      <c r="F49" s="1012">
        <f t="shared" si="0"/>
        <v>0</v>
      </c>
      <c r="G49" s="844"/>
      <c r="H49" s="845"/>
      <c r="I49" s="77">
        <f t="shared" si="8"/>
        <v>0</v>
      </c>
      <c r="M49" s="376">
        <f t="shared" si="9"/>
        <v>38</v>
      </c>
      <c r="N49" s="15"/>
      <c r="O49" s="68"/>
      <c r="P49" s="232"/>
      <c r="Q49" s="68">
        <f t="shared" si="1"/>
        <v>0</v>
      </c>
      <c r="R49" s="69"/>
      <c r="S49" s="70"/>
      <c r="T49" s="77">
        <f t="shared" si="10"/>
        <v>693.79999999999984</v>
      </c>
    </row>
    <row r="50" spans="2:20" x14ac:dyDescent="0.25">
      <c r="B50" s="376">
        <f t="shared" si="7"/>
        <v>0</v>
      </c>
      <c r="C50" s="15"/>
      <c r="D50" s="1012"/>
      <c r="E50" s="1035"/>
      <c r="F50" s="1012">
        <f t="shared" si="0"/>
        <v>0</v>
      </c>
      <c r="G50" s="844"/>
      <c r="H50" s="845"/>
      <c r="I50" s="77">
        <f t="shared" si="8"/>
        <v>0</v>
      </c>
      <c r="M50" s="376">
        <f t="shared" si="9"/>
        <v>38</v>
      </c>
      <c r="N50" s="15"/>
      <c r="O50" s="68"/>
      <c r="P50" s="232"/>
      <c r="Q50" s="68">
        <f t="shared" si="1"/>
        <v>0</v>
      </c>
      <c r="R50" s="69"/>
      <c r="S50" s="70"/>
      <c r="T50" s="77">
        <f t="shared" si="10"/>
        <v>693.79999999999984</v>
      </c>
    </row>
    <row r="51" spans="2:20" x14ac:dyDescent="0.25">
      <c r="B51" s="376">
        <f t="shared" si="7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8"/>
        <v>0</v>
      </c>
      <c r="M51" s="376">
        <f t="shared" si="9"/>
        <v>38</v>
      </c>
      <c r="N51" s="15"/>
      <c r="O51" s="68"/>
      <c r="P51" s="232"/>
      <c r="Q51" s="68">
        <f t="shared" si="1"/>
        <v>0</v>
      </c>
      <c r="R51" s="69"/>
      <c r="S51" s="70"/>
      <c r="T51" s="77">
        <f t="shared" si="10"/>
        <v>693.79999999999984</v>
      </c>
    </row>
    <row r="52" spans="2:20" x14ac:dyDescent="0.25">
      <c r="B52" s="376">
        <f t="shared" si="7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8"/>
        <v>0</v>
      </c>
      <c r="M52" s="376">
        <f t="shared" si="9"/>
        <v>38</v>
      </c>
      <c r="N52" s="15"/>
      <c r="O52" s="68"/>
      <c r="P52" s="232"/>
      <c r="Q52" s="68">
        <f t="shared" si="1"/>
        <v>0</v>
      </c>
      <c r="R52" s="69"/>
      <c r="S52" s="70"/>
      <c r="T52" s="77">
        <f t="shared" si="10"/>
        <v>693.79999999999984</v>
      </c>
    </row>
    <row r="53" spans="2:20" x14ac:dyDescent="0.25">
      <c r="B53" s="376">
        <f t="shared" si="7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8"/>
        <v>0</v>
      </c>
      <c r="M53" s="376">
        <f t="shared" si="9"/>
        <v>38</v>
      </c>
      <c r="N53" s="15"/>
      <c r="O53" s="68"/>
      <c r="P53" s="232"/>
      <c r="Q53" s="68">
        <f t="shared" si="1"/>
        <v>0</v>
      </c>
      <c r="R53" s="69"/>
      <c r="S53" s="70"/>
      <c r="T53" s="77">
        <f t="shared" si="10"/>
        <v>693.79999999999984</v>
      </c>
    </row>
    <row r="54" spans="2:20" x14ac:dyDescent="0.25">
      <c r="B54" s="376">
        <f t="shared" si="7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8"/>
        <v>0</v>
      </c>
      <c r="M54" s="376">
        <f t="shared" si="9"/>
        <v>38</v>
      </c>
      <c r="N54" s="15"/>
      <c r="O54" s="68"/>
      <c r="P54" s="232"/>
      <c r="Q54" s="68">
        <f t="shared" si="1"/>
        <v>0</v>
      </c>
      <c r="R54" s="69"/>
      <c r="S54" s="70"/>
      <c r="T54" s="77">
        <f t="shared" si="10"/>
        <v>693.79999999999984</v>
      </c>
    </row>
    <row r="55" spans="2:20" x14ac:dyDescent="0.25">
      <c r="B55" s="376">
        <f t="shared" si="7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8"/>
        <v>0</v>
      </c>
      <c r="M55" s="376">
        <f t="shared" si="9"/>
        <v>38</v>
      </c>
      <c r="N55" s="15"/>
      <c r="O55" s="68"/>
      <c r="P55" s="232"/>
      <c r="Q55" s="68">
        <f t="shared" si="1"/>
        <v>0</v>
      </c>
      <c r="R55" s="69"/>
      <c r="S55" s="70"/>
      <c r="T55" s="77">
        <f t="shared" si="10"/>
        <v>693.79999999999984</v>
      </c>
    </row>
    <row r="56" spans="2:20" x14ac:dyDescent="0.25">
      <c r="B56" s="376">
        <f t="shared" si="7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8"/>
        <v>0</v>
      </c>
      <c r="M56" s="376">
        <f t="shared" si="9"/>
        <v>38</v>
      </c>
      <c r="N56" s="15"/>
      <c r="O56" s="68"/>
      <c r="P56" s="232"/>
      <c r="Q56" s="68">
        <f t="shared" si="1"/>
        <v>0</v>
      </c>
      <c r="R56" s="69"/>
      <c r="S56" s="70"/>
      <c r="T56" s="77">
        <f t="shared" si="10"/>
        <v>693.79999999999984</v>
      </c>
    </row>
    <row r="57" spans="2:20" x14ac:dyDescent="0.25">
      <c r="B57" s="376">
        <f t="shared" si="7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8"/>
        <v>0</v>
      </c>
      <c r="M57" s="376">
        <f t="shared" si="9"/>
        <v>38</v>
      </c>
      <c r="N57" s="15"/>
      <c r="O57" s="68"/>
      <c r="P57" s="232"/>
      <c r="Q57" s="68">
        <f t="shared" si="1"/>
        <v>0</v>
      </c>
      <c r="R57" s="69"/>
      <c r="S57" s="70"/>
      <c r="T57" s="77">
        <f t="shared" si="10"/>
        <v>693.79999999999984</v>
      </c>
    </row>
    <row r="58" spans="2:20" x14ac:dyDescent="0.25">
      <c r="B58" s="376">
        <f t="shared" si="7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8"/>
        <v>0</v>
      </c>
      <c r="M58" s="376">
        <f t="shared" si="9"/>
        <v>38</v>
      </c>
      <c r="N58" s="15"/>
      <c r="O58" s="68"/>
      <c r="P58" s="232"/>
      <c r="Q58" s="68">
        <f t="shared" si="1"/>
        <v>0</v>
      </c>
      <c r="R58" s="69"/>
      <c r="S58" s="70"/>
      <c r="T58" s="77">
        <f t="shared" si="10"/>
        <v>693.79999999999984</v>
      </c>
    </row>
    <row r="59" spans="2:20" x14ac:dyDescent="0.25">
      <c r="B59" s="376">
        <f t="shared" si="7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8"/>
        <v>0</v>
      </c>
      <c r="M59" s="376">
        <f t="shared" si="9"/>
        <v>38</v>
      </c>
      <c r="N59" s="15"/>
      <c r="O59" s="68"/>
      <c r="P59" s="232"/>
      <c r="Q59" s="68">
        <f t="shared" si="1"/>
        <v>0</v>
      </c>
      <c r="R59" s="69"/>
      <c r="S59" s="70"/>
      <c r="T59" s="77">
        <f t="shared" si="10"/>
        <v>693.79999999999984</v>
      </c>
    </row>
    <row r="60" spans="2:20" x14ac:dyDescent="0.25">
      <c r="B60" s="376">
        <f t="shared" si="7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8"/>
        <v>0</v>
      </c>
      <c r="M60" s="376">
        <f t="shared" si="9"/>
        <v>38</v>
      </c>
      <c r="N60" s="15"/>
      <c r="O60" s="68"/>
      <c r="P60" s="232"/>
      <c r="Q60" s="68">
        <f t="shared" si="1"/>
        <v>0</v>
      </c>
      <c r="R60" s="69"/>
      <c r="S60" s="70"/>
      <c r="T60" s="77">
        <f t="shared" si="10"/>
        <v>693.79999999999984</v>
      </c>
    </row>
    <row r="61" spans="2:20" x14ac:dyDescent="0.25">
      <c r="B61" s="376">
        <f t="shared" si="7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8"/>
        <v>0</v>
      </c>
      <c r="M61" s="376">
        <f t="shared" si="9"/>
        <v>38</v>
      </c>
      <c r="N61" s="15"/>
      <c r="O61" s="68"/>
      <c r="P61" s="232"/>
      <c r="Q61" s="68">
        <f t="shared" si="1"/>
        <v>0</v>
      </c>
      <c r="R61" s="69"/>
      <c r="S61" s="70"/>
      <c r="T61" s="77">
        <f t="shared" si="10"/>
        <v>693.79999999999984</v>
      </c>
    </row>
    <row r="62" spans="2:20" x14ac:dyDescent="0.25">
      <c r="B62" s="376">
        <f t="shared" si="7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8"/>
        <v>0</v>
      </c>
      <c r="M62" s="376">
        <f t="shared" si="9"/>
        <v>38</v>
      </c>
      <c r="N62" s="15"/>
      <c r="O62" s="68"/>
      <c r="P62" s="232"/>
      <c r="Q62" s="68">
        <f t="shared" si="1"/>
        <v>0</v>
      </c>
      <c r="R62" s="69"/>
      <c r="S62" s="70"/>
      <c r="T62" s="77">
        <f t="shared" si="10"/>
        <v>693.79999999999984</v>
      </c>
    </row>
    <row r="63" spans="2:20" x14ac:dyDescent="0.25">
      <c r="B63" s="376">
        <f t="shared" si="7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8"/>
        <v>0</v>
      </c>
      <c r="M63" s="376">
        <f t="shared" si="9"/>
        <v>38</v>
      </c>
      <c r="N63" s="15"/>
      <c r="O63" s="68"/>
      <c r="P63" s="232"/>
      <c r="Q63" s="68">
        <f t="shared" si="1"/>
        <v>0</v>
      </c>
      <c r="R63" s="69"/>
      <c r="S63" s="70"/>
      <c r="T63" s="77">
        <f t="shared" si="10"/>
        <v>693.79999999999984</v>
      </c>
    </row>
    <row r="64" spans="2:20" x14ac:dyDescent="0.25">
      <c r="B64" s="376">
        <f t="shared" si="7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8"/>
        <v>0</v>
      </c>
      <c r="M64" s="376">
        <f t="shared" si="9"/>
        <v>38</v>
      </c>
      <c r="N64" s="15"/>
      <c r="O64" s="68"/>
      <c r="P64" s="232"/>
      <c r="Q64" s="68">
        <f t="shared" si="1"/>
        <v>0</v>
      </c>
      <c r="R64" s="69"/>
      <c r="S64" s="70"/>
      <c r="T64" s="77">
        <f t="shared" si="10"/>
        <v>693.79999999999984</v>
      </c>
    </row>
    <row r="65" spans="2:20" x14ac:dyDescent="0.25">
      <c r="B65" s="376">
        <f t="shared" si="7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8"/>
        <v>0</v>
      </c>
      <c r="M65" s="376">
        <f t="shared" si="9"/>
        <v>38</v>
      </c>
      <c r="N65" s="15"/>
      <c r="O65" s="68"/>
      <c r="P65" s="232"/>
      <c r="Q65" s="68">
        <f t="shared" si="1"/>
        <v>0</v>
      </c>
      <c r="R65" s="69"/>
      <c r="S65" s="70"/>
      <c r="T65" s="77">
        <f t="shared" si="10"/>
        <v>693.79999999999984</v>
      </c>
    </row>
    <row r="66" spans="2:20" x14ac:dyDescent="0.25">
      <c r="B66" s="376">
        <f t="shared" si="7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8"/>
        <v>0</v>
      </c>
      <c r="M66" s="376">
        <f t="shared" si="9"/>
        <v>38</v>
      </c>
      <c r="N66" s="15"/>
      <c r="O66" s="68"/>
      <c r="P66" s="232"/>
      <c r="Q66" s="68">
        <f t="shared" si="1"/>
        <v>0</v>
      </c>
      <c r="R66" s="69"/>
      <c r="S66" s="70"/>
      <c r="T66" s="77">
        <f t="shared" si="10"/>
        <v>693.79999999999984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8"/>
        <v>0</v>
      </c>
      <c r="M67" s="3"/>
      <c r="N67" s="36"/>
      <c r="O67" s="146"/>
      <c r="P67" s="237"/>
      <c r="Q67" s="146">
        <f t="shared" si="1"/>
        <v>0</v>
      </c>
      <c r="R67" s="195"/>
      <c r="S67" s="74"/>
      <c r="T67" s="77">
        <f t="shared" si="10"/>
        <v>693.79999999999984</v>
      </c>
    </row>
    <row r="68" spans="2:20" x14ac:dyDescent="0.25">
      <c r="C68" s="53">
        <f>SUM(C9:C67)</f>
        <v>131</v>
      </c>
      <c r="D68" s="120">
        <f>SUM(D9:D67)</f>
        <v>2099.29</v>
      </c>
      <c r="E68" s="160"/>
      <c r="F68" s="120">
        <f>SUM(F9:F67)</f>
        <v>2352.94</v>
      </c>
      <c r="G68" s="155"/>
      <c r="H68" s="155"/>
      <c r="N68" s="53">
        <f>SUM(N9:N67)</f>
        <v>87</v>
      </c>
      <c r="O68" s="120">
        <f>SUM(O9:O67)</f>
        <v>1573.6499999999996</v>
      </c>
      <c r="P68" s="160"/>
      <c r="Q68" s="120">
        <f>SUM(Q9:Q67)</f>
        <v>1573.6499999999996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0</v>
      </c>
      <c r="M71" s="90"/>
      <c r="O71" s="45" t="s">
        <v>4</v>
      </c>
      <c r="P71" s="55">
        <f>Q5-N68+Q4+Q6+Q7</f>
        <v>38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95" t="s">
        <v>11</v>
      </c>
      <c r="D73" s="1596"/>
      <c r="E73" s="56">
        <f>E5-F68+E4+E6+E7</f>
        <v>0</v>
      </c>
      <c r="M73" s="90"/>
      <c r="N73" s="1595" t="s">
        <v>11</v>
      </c>
      <c r="O73" s="1596"/>
      <c r="P73" s="56">
        <f>P5-Q68+P4+P6+P7</f>
        <v>693.8000000000003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98"/>
      <c r="B5" s="1642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98"/>
      <c r="B6" s="1642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95" t="s">
        <v>11</v>
      </c>
      <c r="D60" s="159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98"/>
      <c r="B4" s="1643" t="s">
        <v>78</v>
      </c>
      <c r="C4" s="124"/>
      <c r="D4" s="130"/>
      <c r="E4" s="120"/>
      <c r="F4" s="72"/>
      <c r="G4" s="427"/>
      <c r="H4" s="322"/>
    </row>
    <row r="5" spans="1:9" ht="15" customHeight="1" x14ac:dyDescent="0.25">
      <c r="A5" s="1598"/>
      <c r="B5" s="1644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597"/>
      <c r="B6" s="1644"/>
      <c r="C6" s="124"/>
      <c r="D6" s="218"/>
      <c r="E6" s="77"/>
      <c r="F6" s="61"/>
    </row>
    <row r="7" spans="1:9" ht="15.75" x14ac:dyDescent="0.25">
      <c r="A7" s="1597"/>
      <c r="B7" s="659"/>
      <c r="C7" s="124"/>
      <c r="D7" s="218"/>
      <c r="E7" s="77"/>
      <c r="F7" s="61"/>
    </row>
    <row r="8" spans="1:9" ht="16.5" thickBot="1" x14ac:dyDescent="0.3">
      <c r="A8" s="1597"/>
      <c r="B8" s="65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6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95" t="s">
        <v>11</v>
      </c>
      <c r="D61" s="159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93"/>
      <c r="B1" s="1593"/>
      <c r="C1" s="1593"/>
      <c r="D1" s="1593"/>
      <c r="E1" s="1593"/>
      <c r="F1" s="1593"/>
      <c r="G1" s="159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1330"/>
      <c r="B4" s="1323"/>
      <c r="C4" s="727"/>
      <c r="D4" s="1324"/>
      <c r="E4" s="1329"/>
      <c r="F4" s="227"/>
    </row>
    <row r="5" spans="1:11" ht="15" customHeight="1" x14ac:dyDescent="0.25">
      <c r="A5" s="1645"/>
      <c r="B5" s="1325"/>
      <c r="C5" s="1326"/>
      <c r="D5" s="1324"/>
      <c r="E5" s="1329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646"/>
      <c r="B6" s="1327"/>
      <c r="C6" s="1328"/>
      <c r="D6" s="1324"/>
      <c r="E6" s="1329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47" t="s">
        <v>11</v>
      </c>
      <c r="D56" s="1648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8"/>
      <c r="B5" s="1598"/>
      <c r="C5" s="357"/>
      <c r="D5" s="130"/>
      <c r="E5" s="197"/>
      <c r="F5" s="61"/>
      <c r="G5" s="5"/>
    </row>
    <row r="6" spans="1:9" x14ac:dyDescent="0.25">
      <c r="A6" s="1598"/>
      <c r="B6" s="159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6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5" t="s">
        <v>11</v>
      </c>
      <c r="D83" s="159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4"/>
      <c r="B1" s="1584"/>
      <c r="C1" s="1584"/>
      <c r="D1" s="1584"/>
      <c r="E1" s="1584"/>
      <c r="F1" s="1584"/>
      <c r="G1" s="158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49" t="s">
        <v>98</v>
      </c>
      <c r="C4" s="17"/>
      <c r="E4" s="239"/>
      <c r="F4" s="226"/>
    </row>
    <row r="5" spans="1:10" ht="15" customHeight="1" x14ac:dyDescent="0.25">
      <c r="A5" s="1652"/>
      <c r="B5" s="1650"/>
      <c r="C5" s="347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53"/>
      <c r="B6" s="1651"/>
      <c r="C6" s="348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65">
        <f>F5-C8</f>
        <v>0</v>
      </c>
      <c r="C8" s="15"/>
      <c r="D8" s="168"/>
      <c r="E8" s="369"/>
      <c r="F8" s="68">
        <f t="shared" ref="F8:F94" si="0">D8</f>
        <v>0</v>
      </c>
      <c r="G8" s="69"/>
      <c r="H8" s="70"/>
      <c r="I8" s="1038">
        <f>E5+E4-F8+E6</f>
        <v>0</v>
      </c>
      <c r="J8" s="209">
        <f>F4+F5+F6-C8</f>
        <v>0</v>
      </c>
    </row>
    <row r="9" spans="1:10" ht="15.75" x14ac:dyDescent="0.25">
      <c r="A9" s="185"/>
      <c r="B9" s="665">
        <f>B8-C9</f>
        <v>0</v>
      </c>
      <c r="C9" s="15"/>
      <c r="D9" s="168"/>
      <c r="E9" s="369"/>
      <c r="F9" s="68">
        <f t="shared" si="0"/>
        <v>0</v>
      </c>
      <c r="G9" s="69"/>
      <c r="H9" s="70"/>
      <c r="I9" s="1038">
        <f>I8-F9</f>
        <v>0</v>
      </c>
      <c r="J9" s="209">
        <f>J8-C9</f>
        <v>0</v>
      </c>
    </row>
    <row r="10" spans="1:10" ht="15.75" x14ac:dyDescent="0.25">
      <c r="A10" s="174"/>
      <c r="B10" s="665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1038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65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1038">
        <f t="shared" si="2"/>
        <v>0</v>
      </c>
      <c r="J11" s="209">
        <f t="shared" si="3"/>
        <v>0</v>
      </c>
    </row>
    <row r="12" spans="1:10" ht="15.75" x14ac:dyDescent="0.25">
      <c r="A12" s="72"/>
      <c r="B12" s="665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1038">
        <f t="shared" si="2"/>
        <v>0</v>
      </c>
      <c r="J12" s="209">
        <f t="shared" si="3"/>
        <v>0</v>
      </c>
    </row>
    <row r="13" spans="1:10" ht="15.75" x14ac:dyDescent="0.25">
      <c r="A13" s="72"/>
      <c r="B13" s="665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1038">
        <f t="shared" si="2"/>
        <v>0</v>
      </c>
      <c r="J13" s="209">
        <f t="shared" si="3"/>
        <v>0</v>
      </c>
    </row>
    <row r="14" spans="1:10" ht="15.75" x14ac:dyDescent="0.25">
      <c r="B14" s="665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1038">
        <f t="shared" si="2"/>
        <v>0</v>
      </c>
      <c r="J14" s="209">
        <f t="shared" si="3"/>
        <v>0</v>
      </c>
    </row>
    <row r="15" spans="1:10" ht="15.75" x14ac:dyDescent="0.25">
      <c r="B15" s="665">
        <f t="shared" si="1"/>
        <v>0</v>
      </c>
      <c r="C15" s="15"/>
      <c r="D15" s="168"/>
      <c r="E15" s="1039"/>
      <c r="F15" s="68">
        <f t="shared" si="0"/>
        <v>0</v>
      </c>
      <c r="G15" s="69"/>
      <c r="H15" s="70"/>
      <c r="I15" s="1038">
        <f t="shared" si="2"/>
        <v>0</v>
      </c>
      <c r="J15" s="209">
        <f t="shared" si="3"/>
        <v>0</v>
      </c>
    </row>
    <row r="16" spans="1:10" ht="15.75" x14ac:dyDescent="0.25">
      <c r="A16" s="80"/>
      <c r="B16" s="665">
        <f t="shared" si="1"/>
        <v>0</v>
      </c>
      <c r="C16" s="15"/>
      <c r="D16" s="168"/>
      <c r="E16" s="1039"/>
      <c r="F16" s="68">
        <f t="shared" si="0"/>
        <v>0</v>
      </c>
      <c r="G16" s="69"/>
      <c r="H16" s="70"/>
      <c r="I16" s="1038">
        <f t="shared" si="2"/>
        <v>0</v>
      </c>
      <c r="J16" s="209">
        <f t="shared" si="3"/>
        <v>0</v>
      </c>
    </row>
    <row r="17" spans="1:10" ht="15.75" x14ac:dyDescent="0.25">
      <c r="A17" s="82"/>
      <c r="B17" s="665">
        <f t="shared" si="1"/>
        <v>0</v>
      </c>
      <c r="C17" s="15"/>
      <c r="D17" s="168"/>
      <c r="E17" s="1039"/>
      <c r="F17" s="68">
        <f t="shared" si="0"/>
        <v>0</v>
      </c>
      <c r="G17" s="69"/>
      <c r="H17" s="70"/>
      <c r="I17" s="1038">
        <f t="shared" si="2"/>
        <v>0</v>
      </c>
      <c r="J17" s="209">
        <f t="shared" si="3"/>
        <v>0</v>
      </c>
    </row>
    <row r="18" spans="1:10" ht="15.75" x14ac:dyDescent="0.25">
      <c r="A18" s="2"/>
      <c r="B18" s="665">
        <f t="shared" si="1"/>
        <v>0</v>
      </c>
      <c r="C18" s="15"/>
      <c r="D18" s="168"/>
      <c r="E18" s="1039"/>
      <c r="F18" s="68">
        <f t="shared" si="0"/>
        <v>0</v>
      </c>
      <c r="G18" s="69"/>
      <c r="H18" s="70"/>
      <c r="I18" s="1038">
        <f t="shared" si="2"/>
        <v>0</v>
      </c>
      <c r="J18" s="209">
        <f t="shared" si="3"/>
        <v>0</v>
      </c>
    </row>
    <row r="19" spans="1:10" ht="15.75" x14ac:dyDescent="0.25">
      <c r="A19" s="2"/>
      <c r="B19" s="665">
        <f t="shared" si="1"/>
        <v>0</v>
      </c>
      <c r="C19" s="15"/>
      <c r="D19" s="168"/>
      <c r="E19" s="1039"/>
      <c r="F19" s="68">
        <f t="shared" si="0"/>
        <v>0</v>
      </c>
      <c r="G19" s="69"/>
      <c r="H19" s="70"/>
      <c r="I19" s="1038">
        <f t="shared" si="2"/>
        <v>0</v>
      </c>
      <c r="J19" s="209">
        <f t="shared" si="3"/>
        <v>0</v>
      </c>
    </row>
    <row r="20" spans="1:10" ht="15.75" x14ac:dyDescent="0.25">
      <c r="A20" s="2"/>
      <c r="B20" s="665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1038">
        <f>I19-F20</f>
        <v>0</v>
      </c>
      <c r="J20" s="209">
        <f t="shared" si="3"/>
        <v>0</v>
      </c>
    </row>
    <row r="21" spans="1:10" ht="15.75" x14ac:dyDescent="0.25">
      <c r="A21" s="2"/>
      <c r="B21" s="665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1038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65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1038">
        <f t="shared" si="4"/>
        <v>0</v>
      </c>
      <c r="J22" s="209">
        <f t="shared" si="3"/>
        <v>0</v>
      </c>
    </row>
    <row r="23" spans="1:10" ht="15.75" x14ac:dyDescent="0.25">
      <c r="A23" s="2"/>
      <c r="B23" s="665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1038">
        <f t="shared" si="4"/>
        <v>0</v>
      </c>
      <c r="J23" s="209">
        <f t="shared" si="3"/>
        <v>0</v>
      </c>
    </row>
    <row r="24" spans="1:10" ht="15.75" x14ac:dyDescent="0.25">
      <c r="A24" s="2"/>
      <c r="B24" s="665">
        <f t="shared" si="1"/>
        <v>0</v>
      </c>
      <c r="C24" s="15"/>
      <c r="D24" s="168"/>
      <c r="E24" s="369"/>
      <c r="F24" s="68">
        <f t="shared" si="0"/>
        <v>0</v>
      </c>
      <c r="G24" s="69"/>
      <c r="H24" s="70"/>
      <c r="I24" s="1038">
        <f t="shared" si="4"/>
        <v>0</v>
      </c>
      <c r="J24" s="209">
        <f t="shared" si="3"/>
        <v>0</v>
      </c>
    </row>
    <row r="25" spans="1:10" ht="15.75" x14ac:dyDescent="0.25">
      <c r="A25" s="2"/>
      <c r="B25" s="665">
        <f t="shared" si="1"/>
        <v>0</v>
      </c>
      <c r="C25" s="15"/>
      <c r="D25" s="168"/>
      <c r="E25" s="369"/>
      <c r="F25" s="68">
        <f t="shared" si="0"/>
        <v>0</v>
      </c>
      <c r="G25" s="69"/>
      <c r="H25" s="70"/>
      <c r="I25" s="1038">
        <f t="shared" si="4"/>
        <v>0</v>
      </c>
      <c r="J25" s="209">
        <f t="shared" si="3"/>
        <v>0</v>
      </c>
    </row>
    <row r="26" spans="1:10" ht="15.75" x14ac:dyDescent="0.25">
      <c r="A26" s="2"/>
      <c r="B26" s="665">
        <f t="shared" si="1"/>
        <v>0</v>
      </c>
      <c r="C26" s="15"/>
      <c r="D26" s="168"/>
      <c r="E26" s="369"/>
      <c r="F26" s="68">
        <f t="shared" si="0"/>
        <v>0</v>
      </c>
      <c r="G26" s="69"/>
      <c r="H26" s="70"/>
      <c r="I26" s="1038">
        <f t="shared" si="4"/>
        <v>0</v>
      </c>
      <c r="J26" s="209">
        <f t="shared" si="3"/>
        <v>0</v>
      </c>
    </row>
    <row r="27" spans="1:10" ht="15.75" x14ac:dyDescent="0.25">
      <c r="A27" s="169"/>
      <c r="B27" s="665">
        <f t="shared" si="1"/>
        <v>0</v>
      </c>
      <c r="C27" s="15"/>
      <c r="D27" s="168"/>
      <c r="E27" s="369"/>
      <c r="F27" s="68">
        <f t="shared" si="0"/>
        <v>0</v>
      </c>
      <c r="G27" s="69"/>
      <c r="H27" s="70"/>
      <c r="I27" s="1038">
        <f t="shared" si="4"/>
        <v>0</v>
      </c>
      <c r="J27" s="209">
        <f t="shared" si="3"/>
        <v>0</v>
      </c>
    </row>
    <row r="28" spans="1:10" ht="15.75" x14ac:dyDescent="0.25">
      <c r="A28" s="169"/>
      <c r="B28" s="665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1038">
        <f t="shared" si="4"/>
        <v>0</v>
      </c>
      <c r="J28" s="209">
        <f t="shared" si="3"/>
        <v>0</v>
      </c>
    </row>
    <row r="29" spans="1:10" ht="15.75" x14ac:dyDescent="0.25">
      <c r="A29" s="169"/>
      <c r="B29" s="665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1038">
        <f t="shared" si="4"/>
        <v>0</v>
      </c>
      <c r="J29" s="209">
        <f t="shared" si="3"/>
        <v>0</v>
      </c>
    </row>
    <row r="30" spans="1:10" ht="15.75" x14ac:dyDescent="0.25">
      <c r="A30" s="169"/>
      <c r="B30" s="665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1038">
        <f t="shared" si="4"/>
        <v>0</v>
      </c>
      <c r="J30" s="209">
        <f t="shared" si="3"/>
        <v>0</v>
      </c>
    </row>
    <row r="31" spans="1:10" ht="15.75" x14ac:dyDescent="0.25">
      <c r="A31" s="169"/>
      <c r="B31" s="665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1038">
        <f t="shared" si="4"/>
        <v>0</v>
      </c>
      <c r="J31" s="209">
        <f t="shared" si="3"/>
        <v>0</v>
      </c>
    </row>
    <row r="32" spans="1:10" ht="15.75" x14ac:dyDescent="0.25">
      <c r="A32" s="2"/>
      <c r="B32" s="665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1038">
        <f t="shared" si="4"/>
        <v>0</v>
      </c>
      <c r="J32" s="209">
        <f t="shared" si="3"/>
        <v>0</v>
      </c>
    </row>
    <row r="33" spans="1:10" ht="15.75" x14ac:dyDescent="0.25">
      <c r="A33" s="2"/>
      <c r="B33" s="665">
        <f t="shared" si="1"/>
        <v>0</v>
      </c>
      <c r="C33" s="15"/>
      <c r="D33" s="168"/>
      <c r="E33" s="1039"/>
      <c r="F33" s="68">
        <f t="shared" si="0"/>
        <v>0</v>
      </c>
      <c r="G33" s="69"/>
      <c r="H33" s="70"/>
      <c r="I33" s="1038">
        <f t="shared" si="4"/>
        <v>0</v>
      </c>
      <c r="J33" s="209">
        <f t="shared" si="3"/>
        <v>0</v>
      </c>
    </row>
    <row r="34" spans="1:10" ht="15.75" x14ac:dyDescent="0.25">
      <c r="A34" s="2"/>
      <c r="B34" s="665">
        <f t="shared" si="1"/>
        <v>0</v>
      </c>
      <c r="C34" s="15"/>
      <c r="D34" s="168"/>
      <c r="E34" s="1039"/>
      <c r="F34" s="68">
        <f t="shared" si="0"/>
        <v>0</v>
      </c>
      <c r="G34" s="69"/>
      <c r="H34" s="70"/>
      <c r="I34" s="1038">
        <f t="shared" si="4"/>
        <v>0</v>
      </c>
      <c r="J34" s="209">
        <f t="shared" si="3"/>
        <v>0</v>
      </c>
    </row>
    <row r="35" spans="1:10" ht="15.75" x14ac:dyDescent="0.25">
      <c r="A35" s="2"/>
      <c r="B35" s="665">
        <f t="shared" si="1"/>
        <v>0</v>
      </c>
      <c r="C35" s="15"/>
      <c r="D35" s="168"/>
      <c r="E35" s="1039"/>
      <c r="F35" s="68">
        <f t="shared" si="0"/>
        <v>0</v>
      </c>
      <c r="G35" s="69"/>
      <c r="H35" s="70"/>
      <c r="I35" s="1038">
        <f t="shared" si="4"/>
        <v>0</v>
      </c>
      <c r="J35" s="209">
        <f t="shared" si="3"/>
        <v>0</v>
      </c>
    </row>
    <row r="36" spans="1:10" ht="15.75" x14ac:dyDescent="0.25">
      <c r="A36" s="2"/>
      <c r="B36" s="665">
        <f t="shared" si="1"/>
        <v>0</v>
      </c>
      <c r="C36" s="15"/>
      <c r="D36" s="168"/>
      <c r="E36" s="1039"/>
      <c r="F36" s="68">
        <f t="shared" si="0"/>
        <v>0</v>
      </c>
      <c r="G36" s="69"/>
      <c r="H36" s="70"/>
      <c r="I36" s="1038">
        <f t="shared" si="4"/>
        <v>0</v>
      </c>
      <c r="J36" s="209">
        <f t="shared" si="3"/>
        <v>0</v>
      </c>
    </row>
    <row r="37" spans="1:10" ht="15.75" x14ac:dyDescent="0.25">
      <c r="A37" s="2"/>
      <c r="B37" s="665">
        <f t="shared" si="1"/>
        <v>0</v>
      </c>
      <c r="C37" s="15"/>
      <c r="D37" s="168"/>
      <c r="E37" s="1039"/>
      <c r="F37" s="68">
        <f t="shared" si="0"/>
        <v>0</v>
      </c>
      <c r="G37" s="69"/>
      <c r="H37" s="70"/>
      <c r="I37" s="1038">
        <f t="shared" si="4"/>
        <v>0</v>
      </c>
      <c r="J37" s="209">
        <f t="shared" si="3"/>
        <v>0</v>
      </c>
    </row>
    <row r="38" spans="1:10" ht="15.75" x14ac:dyDescent="0.25">
      <c r="A38" s="2"/>
      <c r="B38" s="665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1038">
        <f t="shared" si="4"/>
        <v>0</v>
      </c>
      <c r="J38" s="209">
        <f t="shared" si="3"/>
        <v>0</v>
      </c>
    </row>
    <row r="39" spans="1:10" ht="15.75" x14ac:dyDescent="0.25">
      <c r="A39" s="2"/>
      <c r="B39" s="665">
        <f t="shared" si="1"/>
        <v>0</v>
      </c>
      <c r="C39" s="15"/>
      <c r="D39" s="168"/>
      <c r="E39" s="1039"/>
      <c r="F39" s="68">
        <f t="shared" si="0"/>
        <v>0</v>
      </c>
      <c r="G39" s="69"/>
      <c r="H39" s="70"/>
      <c r="I39" s="1038">
        <f t="shared" si="4"/>
        <v>0</v>
      </c>
      <c r="J39" s="209">
        <f t="shared" si="3"/>
        <v>0</v>
      </c>
    </row>
    <row r="40" spans="1:10" ht="15.75" x14ac:dyDescent="0.25">
      <c r="A40" s="2"/>
      <c r="B40" s="665">
        <f t="shared" si="1"/>
        <v>0</v>
      </c>
      <c r="C40" s="15"/>
      <c r="D40" s="168"/>
      <c r="E40" s="1039"/>
      <c r="F40" s="68">
        <f t="shared" si="0"/>
        <v>0</v>
      </c>
      <c r="G40" s="69"/>
      <c r="H40" s="70"/>
      <c r="I40" s="1038">
        <f t="shared" si="4"/>
        <v>0</v>
      </c>
      <c r="J40" s="209">
        <f t="shared" si="3"/>
        <v>0</v>
      </c>
    </row>
    <row r="41" spans="1:10" ht="15.75" x14ac:dyDescent="0.25">
      <c r="A41" s="2"/>
      <c r="B41" s="665">
        <f t="shared" si="1"/>
        <v>0</v>
      </c>
      <c r="C41" s="15"/>
      <c r="D41" s="168"/>
      <c r="E41" s="1039"/>
      <c r="F41" s="68">
        <f t="shared" si="0"/>
        <v>0</v>
      </c>
      <c r="G41" s="69"/>
      <c r="H41" s="70"/>
      <c r="I41" s="1038">
        <f t="shared" si="4"/>
        <v>0</v>
      </c>
      <c r="J41" s="209">
        <f t="shared" si="3"/>
        <v>0</v>
      </c>
    </row>
    <row r="42" spans="1:10" ht="15.75" x14ac:dyDescent="0.25">
      <c r="A42" s="2"/>
      <c r="B42" s="665">
        <f t="shared" si="1"/>
        <v>0</v>
      </c>
      <c r="C42" s="15"/>
      <c r="D42" s="168"/>
      <c r="E42" s="1039"/>
      <c r="F42" s="68">
        <f t="shared" si="0"/>
        <v>0</v>
      </c>
      <c r="G42" s="69"/>
      <c r="H42" s="70"/>
      <c r="I42" s="1038">
        <f t="shared" si="4"/>
        <v>0</v>
      </c>
      <c r="J42" s="209">
        <f t="shared" si="3"/>
        <v>0</v>
      </c>
    </row>
    <row r="43" spans="1:10" ht="15.75" x14ac:dyDescent="0.25">
      <c r="A43" s="2"/>
      <c r="B43" s="665">
        <f t="shared" si="1"/>
        <v>0</v>
      </c>
      <c r="C43" s="15"/>
      <c r="D43" s="168"/>
      <c r="E43" s="1039"/>
      <c r="F43" s="68">
        <f t="shared" si="0"/>
        <v>0</v>
      </c>
      <c r="G43" s="69"/>
      <c r="H43" s="70"/>
      <c r="I43" s="1038">
        <f t="shared" si="4"/>
        <v>0</v>
      </c>
      <c r="J43" s="209">
        <f t="shared" si="3"/>
        <v>0</v>
      </c>
    </row>
    <row r="44" spans="1:10" ht="15.75" x14ac:dyDescent="0.25">
      <c r="A44" s="2"/>
      <c r="B44" s="665">
        <f t="shared" si="1"/>
        <v>0</v>
      </c>
      <c r="C44" s="15"/>
      <c r="D44" s="168"/>
      <c r="E44" s="1039"/>
      <c r="F44" s="68">
        <f t="shared" si="0"/>
        <v>0</v>
      </c>
      <c r="G44" s="69"/>
      <c r="H44" s="70"/>
      <c r="I44" s="1038">
        <f t="shared" si="4"/>
        <v>0</v>
      </c>
      <c r="J44" s="209">
        <f t="shared" si="3"/>
        <v>0</v>
      </c>
    </row>
    <row r="45" spans="1:10" ht="15.75" x14ac:dyDescent="0.25">
      <c r="A45" s="2"/>
      <c r="B45" s="665">
        <f t="shared" si="1"/>
        <v>0</v>
      </c>
      <c r="C45" s="15"/>
      <c r="D45" s="168"/>
      <c r="E45" s="1039"/>
      <c r="F45" s="68">
        <f t="shared" si="0"/>
        <v>0</v>
      </c>
      <c r="G45" s="69"/>
      <c r="H45" s="70"/>
      <c r="I45" s="1038">
        <f t="shared" si="4"/>
        <v>0</v>
      </c>
      <c r="J45" s="209">
        <f t="shared" si="3"/>
        <v>0</v>
      </c>
    </row>
    <row r="46" spans="1:10" ht="15.75" x14ac:dyDescent="0.25">
      <c r="A46" s="2"/>
      <c r="B46" s="665">
        <f t="shared" si="1"/>
        <v>0</v>
      </c>
      <c r="C46" s="15"/>
      <c r="D46" s="168"/>
      <c r="E46" s="1039"/>
      <c r="F46" s="68">
        <f t="shared" si="0"/>
        <v>0</v>
      </c>
      <c r="G46" s="69"/>
      <c r="H46" s="70"/>
      <c r="I46" s="1038">
        <f t="shared" si="4"/>
        <v>0</v>
      </c>
      <c r="J46" s="209">
        <f t="shared" si="3"/>
        <v>0</v>
      </c>
    </row>
    <row r="47" spans="1:10" ht="15.75" x14ac:dyDescent="0.25">
      <c r="A47" s="2"/>
      <c r="B47" s="665">
        <f t="shared" si="1"/>
        <v>0</v>
      </c>
      <c r="C47" s="15"/>
      <c r="D47" s="168"/>
      <c r="E47" s="1039"/>
      <c r="F47" s="68">
        <f t="shared" si="0"/>
        <v>0</v>
      </c>
      <c r="G47" s="69"/>
      <c r="H47" s="70"/>
      <c r="I47" s="1038">
        <f t="shared" si="4"/>
        <v>0</v>
      </c>
      <c r="J47" s="209">
        <f t="shared" si="3"/>
        <v>0</v>
      </c>
    </row>
    <row r="48" spans="1:10" ht="15.75" x14ac:dyDescent="0.25">
      <c r="A48" s="2"/>
      <c r="B48" s="665">
        <f t="shared" si="1"/>
        <v>0</v>
      </c>
      <c r="C48" s="15"/>
      <c r="D48" s="168"/>
      <c r="E48" s="1039"/>
      <c r="F48" s="68">
        <f t="shared" si="0"/>
        <v>0</v>
      </c>
      <c r="G48" s="69"/>
      <c r="H48" s="70"/>
      <c r="I48" s="1038">
        <f t="shared" si="4"/>
        <v>0</v>
      </c>
      <c r="J48" s="209">
        <f t="shared" si="3"/>
        <v>0</v>
      </c>
    </row>
    <row r="49" spans="1:10" ht="15.75" x14ac:dyDescent="0.25">
      <c r="A49" s="2"/>
      <c r="B49" s="665">
        <f t="shared" si="1"/>
        <v>0</v>
      </c>
      <c r="C49" s="15"/>
      <c r="D49" s="168"/>
      <c r="E49" s="1039"/>
      <c r="F49" s="68">
        <f t="shared" si="0"/>
        <v>0</v>
      </c>
      <c r="G49" s="69"/>
      <c r="H49" s="70"/>
      <c r="I49" s="1038">
        <f t="shared" si="4"/>
        <v>0</v>
      </c>
      <c r="J49" s="209">
        <f t="shared" si="3"/>
        <v>0</v>
      </c>
    </row>
    <row r="50" spans="1:10" ht="15.75" x14ac:dyDescent="0.25">
      <c r="A50" s="2"/>
      <c r="B50" s="665">
        <f t="shared" si="1"/>
        <v>0</v>
      </c>
      <c r="C50" s="15"/>
      <c r="D50" s="168"/>
      <c r="E50" s="1039"/>
      <c r="F50" s="68">
        <f t="shared" si="0"/>
        <v>0</v>
      </c>
      <c r="G50" s="69"/>
      <c r="H50" s="70"/>
      <c r="I50" s="1038">
        <f t="shared" si="4"/>
        <v>0</v>
      </c>
      <c r="J50" s="209">
        <f t="shared" si="3"/>
        <v>0</v>
      </c>
    </row>
    <row r="51" spans="1:10" ht="15.75" x14ac:dyDescent="0.25">
      <c r="A51" s="2"/>
      <c r="B51" s="665">
        <f t="shared" si="1"/>
        <v>0</v>
      </c>
      <c r="C51" s="15"/>
      <c r="D51" s="168"/>
      <c r="E51" s="1039"/>
      <c r="F51" s="68">
        <f t="shared" si="0"/>
        <v>0</v>
      </c>
      <c r="G51" s="69"/>
      <c r="H51" s="70"/>
      <c r="I51" s="1038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65">
        <f t="shared" si="1"/>
        <v>0</v>
      </c>
      <c r="C52" s="15"/>
      <c r="D52" s="168"/>
      <c r="E52" s="1039"/>
      <c r="F52" s="68">
        <f t="shared" si="0"/>
        <v>0</v>
      </c>
      <c r="G52" s="69"/>
      <c r="H52" s="70"/>
      <c r="I52" s="1038">
        <f t="shared" si="5"/>
        <v>0</v>
      </c>
      <c r="J52" s="209">
        <f t="shared" si="6"/>
        <v>0</v>
      </c>
    </row>
    <row r="53" spans="1:10" ht="15.75" x14ac:dyDescent="0.25">
      <c r="A53" s="2"/>
      <c r="B53" s="665">
        <f t="shared" si="1"/>
        <v>0</v>
      </c>
      <c r="C53" s="15"/>
      <c r="D53" s="168"/>
      <c r="E53" s="1039"/>
      <c r="F53" s="68">
        <f t="shared" si="0"/>
        <v>0</v>
      </c>
      <c r="G53" s="69"/>
      <c r="H53" s="70"/>
      <c r="I53" s="1038">
        <f t="shared" si="5"/>
        <v>0</v>
      </c>
      <c r="J53" s="209">
        <f t="shared" si="6"/>
        <v>0</v>
      </c>
    </row>
    <row r="54" spans="1:10" ht="15.75" x14ac:dyDescent="0.25">
      <c r="A54" s="2"/>
      <c r="B54" s="665">
        <f t="shared" si="1"/>
        <v>0</v>
      </c>
      <c r="C54" s="15"/>
      <c r="D54" s="168"/>
      <c r="E54" s="1039"/>
      <c r="F54" s="68">
        <f t="shared" si="0"/>
        <v>0</v>
      </c>
      <c r="G54" s="69"/>
      <c r="H54" s="70"/>
      <c r="I54" s="1038">
        <f t="shared" si="5"/>
        <v>0</v>
      </c>
      <c r="J54" s="209">
        <f t="shared" si="6"/>
        <v>0</v>
      </c>
    </row>
    <row r="55" spans="1:10" ht="15.75" x14ac:dyDescent="0.25">
      <c r="A55" s="2"/>
      <c r="B55" s="665">
        <f t="shared" si="1"/>
        <v>0</v>
      </c>
      <c r="C55" s="15"/>
      <c r="D55" s="168"/>
      <c r="E55" s="1039"/>
      <c r="F55" s="68">
        <f t="shared" si="0"/>
        <v>0</v>
      </c>
      <c r="G55" s="69"/>
      <c r="H55" s="70"/>
      <c r="I55" s="1038">
        <f t="shared" si="5"/>
        <v>0</v>
      </c>
      <c r="J55" s="209">
        <f t="shared" si="6"/>
        <v>0</v>
      </c>
    </row>
    <row r="56" spans="1:10" ht="15.75" x14ac:dyDescent="0.25">
      <c r="A56" s="2"/>
      <c r="B56" s="665">
        <f t="shared" si="1"/>
        <v>0</v>
      </c>
      <c r="C56" s="15"/>
      <c r="D56" s="168"/>
      <c r="E56" s="1039"/>
      <c r="F56" s="68">
        <f t="shared" si="0"/>
        <v>0</v>
      </c>
      <c r="G56" s="69"/>
      <c r="H56" s="70"/>
      <c r="I56" s="1038">
        <f t="shared" si="5"/>
        <v>0</v>
      </c>
      <c r="J56" s="209">
        <f t="shared" si="6"/>
        <v>0</v>
      </c>
    </row>
    <row r="57" spans="1:10" ht="15.75" x14ac:dyDescent="0.25">
      <c r="A57" s="2"/>
      <c r="B57" s="665">
        <f t="shared" si="1"/>
        <v>0</v>
      </c>
      <c r="C57" s="15"/>
      <c r="D57" s="168"/>
      <c r="E57" s="1039"/>
      <c r="F57" s="68">
        <f t="shared" si="0"/>
        <v>0</v>
      </c>
      <c r="G57" s="69"/>
      <c r="H57" s="70"/>
      <c r="I57" s="1038">
        <f t="shared" si="5"/>
        <v>0</v>
      </c>
      <c r="J57" s="209">
        <f t="shared" si="6"/>
        <v>0</v>
      </c>
    </row>
    <row r="58" spans="1:10" ht="15.75" x14ac:dyDescent="0.25">
      <c r="A58" s="2"/>
      <c r="B58" s="665">
        <f t="shared" si="1"/>
        <v>0</v>
      </c>
      <c r="C58" s="15"/>
      <c r="D58" s="168"/>
      <c r="E58" s="1039"/>
      <c r="F58" s="68">
        <f t="shared" si="0"/>
        <v>0</v>
      </c>
      <c r="G58" s="69"/>
      <c r="H58" s="70"/>
      <c r="I58" s="1038">
        <f t="shared" si="5"/>
        <v>0</v>
      </c>
      <c r="J58" s="209">
        <f t="shared" si="6"/>
        <v>0</v>
      </c>
    </row>
    <row r="59" spans="1:10" ht="15.75" x14ac:dyDescent="0.25">
      <c r="A59" s="2"/>
      <c r="B59" s="665">
        <f t="shared" si="1"/>
        <v>0</v>
      </c>
      <c r="C59" s="15"/>
      <c r="D59" s="168"/>
      <c r="E59" s="1039"/>
      <c r="F59" s="68">
        <f t="shared" si="0"/>
        <v>0</v>
      </c>
      <c r="G59" s="69"/>
      <c r="H59" s="70"/>
      <c r="I59" s="1038">
        <f t="shared" si="5"/>
        <v>0</v>
      </c>
      <c r="J59" s="209">
        <f t="shared" si="6"/>
        <v>0</v>
      </c>
    </row>
    <row r="60" spans="1:10" ht="15.75" x14ac:dyDescent="0.25">
      <c r="A60" s="2"/>
      <c r="B60" s="665">
        <f t="shared" si="1"/>
        <v>0</v>
      </c>
      <c r="C60" s="15"/>
      <c r="D60" s="168"/>
      <c r="E60" s="1039"/>
      <c r="F60" s="68">
        <f t="shared" si="0"/>
        <v>0</v>
      </c>
      <c r="G60" s="69"/>
      <c r="H60" s="70"/>
      <c r="I60" s="1038">
        <f t="shared" si="5"/>
        <v>0</v>
      </c>
      <c r="J60" s="209">
        <f t="shared" si="6"/>
        <v>0</v>
      </c>
    </row>
    <row r="61" spans="1:10" ht="15.75" x14ac:dyDescent="0.25">
      <c r="A61" s="2"/>
      <c r="B61" s="665">
        <f t="shared" si="1"/>
        <v>0</v>
      </c>
      <c r="C61" s="15"/>
      <c r="D61" s="168"/>
      <c r="E61" s="1039"/>
      <c r="F61" s="68">
        <f t="shared" si="0"/>
        <v>0</v>
      </c>
      <c r="G61" s="69"/>
      <c r="H61" s="70"/>
      <c r="I61" s="1038">
        <f t="shared" si="5"/>
        <v>0</v>
      </c>
      <c r="J61" s="209">
        <f t="shared" si="6"/>
        <v>0</v>
      </c>
    </row>
    <row r="62" spans="1:10" ht="15.75" x14ac:dyDescent="0.25">
      <c r="A62" s="2"/>
      <c r="B62" s="665">
        <f t="shared" si="1"/>
        <v>0</v>
      </c>
      <c r="C62" s="15"/>
      <c r="D62" s="168"/>
      <c r="E62" s="1039"/>
      <c r="F62" s="68">
        <f t="shared" si="0"/>
        <v>0</v>
      </c>
      <c r="G62" s="69"/>
      <c r="H62" s="70"/>
      <c r="I62" s="1038">
        <f t="shared" si="5"/>
        <v>0</v>
      </c>
      <c r="J62" s="209">
        <f t="shared" si="6"/>
        <v>0</v>
      </c>
    </row>
    <row r="63" spans="1:10" ht="15.75" x14ac:dyDescent="0.25">
      <c r="A63" s="2"/>
      <c r="B63" s="665">
        <f t="shared" si="1"/>
        <v>0</v>
      </c>
      <c r="C63" s="15"/>
      <c r="D63" s="168"/>
      <c r="E63" s="1039"/>
      <c r="F63" s="68">
        <f t="shared" si="0"/>
        <v>0</v>
      </c>
      <c r="G63" s="69"/>
      <c r="H63" s="70"/>
      <c r="I63" s="1038">
        <f t="shared" si="5"/>
        <v>0</v>
      </c>
      <c r="J63" s="209">
        <f t="shared" si="6"/>
        <v>0</v>
      </c>
    </row>
    <row r="64" spans="1:10" ht="15.75" x14ac:dyDescent="0.25">
      <c r="A64" s="2"/>
      <c r="B64" s="665">
        <f t="shared" si="1"/>
        <v>0</v>
      </c>
      <c r="C64" s="15"/>
      <c r="D64" s="168"/>
      <c r="E64" s="1039"/>
      <c r="F64" s="68">
        <f t="shared" si="0"/>
        <v>0</v>
      </c>
      <c r="G64" s="69"/>
      <c r="H64" s="70"/>
      <c r="I64" s="1038">
        <f t="shared" si="5"/>
        <v>0</v>
      </c>
      <c r="J64" s="209">
        <f t="shared" si="6"/>
        <v>0</v>
      </c>
    </row>
    <row r="65" spans="1:10" ht="15.75" x14ac:dyDescent="0.25">
      <c r="A65" s="2"/>
      <c r="B65" s="665">
        <f t="shared" si="1"/>
        <v>0</v>
      </c>
      <c r="C65" s="15"/>
      <c r="D65" s="168"/>
      <c r="E65" s="1039"/>
      <c r="F65" s="68">
        <f t="shared" si="0"/>
        <v>0</v>
      </c>
      <c r="G65" s="69"/>
      <c r="H65" s="70"/>
      <c r="I65" s="1038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65">
        <f t="shared" si="1"/>
        <v>0</v>
      </c>
      <c r="C66" s="15"/>
      <c r="D66" s="168"/>
      <c r="E66" s="1039"/>
      <c r="F66" s="68">
        <f t="shared" si="0"/>
        <v>0</v>
      </c>
      <c r="G66" s="69"/>
      <c r="H66" s="70"/>
      <c r="I66" s="1038">
        <f t="shared" si="7"/>
        <v>0</v>
      </c>
      <c r="J66" s="209">
        <f t="shared" si="8"/>
        <v>0</v>
      </c>
    </row>
    <row r="67" spans="1:10" ht="15.75" x14ac:dyDescent="0.25">
      <c r="A67" s="2"/>
      <c r="B67" s="665">
        <f t="shared" si="1"/>
        <v>0</v>
      </c>
      <c r="C67" s="15"/>
      <c r="D67" s="168"/>
      <c r="E67" s="1039"/>
      <c r="F67" s="68">
        <f t="shared" si="0"/>
        <v>0</v>
      </c>
      <c r="G67" s="69"/>
      <c r="H67" s="70"/>
      <c r="I67" s="1038">
        <f t="shared" si="7"/>
        <v>0</v>
      </c>
      <c r="J67" s="209">
        <f t="shared" si="8"/>
        <v>0</v>
      </c>
    </row>
    <row r="68" spans="1:10" ht="15.75" x14ac:dyDescent="0.25">
      <c r="A68" s="2"/>
      <c r="B68" s="665">
        <f t="shared" si="1"/>
        <v>0</v>
      </c>
      <c r="C68" s="15"/>
      <c r="D68" s="168"/>
      <c r="E68" s="1039"/>
      <c r="F68" s="68">
        <f t="shared" si="0"/>
        <v>0</v>
      </c>
      <c r="G68" s="69"/>
      <c r="H68" s="70"/>
      <c r="I68" s="1038">
        <f t="shared" si="7"/>
        <v>0</v>
      </c>
      <c r="J68" s="209">
        <f t="shared" si="8"/>
        <v>0</v>
      </c>
    </row>
    <row r="69" spans="1:10" ht="15.75" x14ac:dyDescent="0.25">
      <c r="A69" s="2"/>
      <c r="B69" s="665">
        <f t="shared" si="1"/>
        <v>0</v>
      </c>
      <c r="C69" s="15"/>
      <c r="D69" s="168"/>
      <c r="E69" s="1039"/>
      <c r="F69" s="68">
        <f t="shared" si="0"/>
        <v>0</v>
      </c>
      <c r="G69" s="69"/>
      <c r="H69" s="70"/>
      <c r="I69" s="1038">
        <f t="shared" si="7"/>
        <v>0</v>
      </c>
      <c r="J69" s="209">
        <f t="shared" si="8"/>
        <v>0</v>
      </c>
    </row>
    <row r="70" spans="1:10" ht="15.75" x14ac:dyDescent="0.25">
      <c r="A70" s="2"/>
      <c r="B70" s="665">
        <f t="shared" si="1"/>
        <v>0</v>
      </c>
      <c r="C70" s="15"/>
      <c r="D70" s="168"/>
      <c r="E70" s="1039"/>
      <c r="F70" s="68">
        <f t="shared" si="0"/>
        <v>0</v>
      </c>
      <c r="G70" s="69"/>
      <c r="H70" s="70"/>
      <c r="I70" s="1038">
        <f t="shared" si="7"/>
        <v>0</v>
      </c>
      <c r="J70" s="209">
        <f t="shared" si="8"/>
        <v>0</v>
      </c>
    </row>
    <row r="71" spans="1:10" ht="15.75" x14ac:dyDescent="0.25">
      <c r="A71" s="2"/>
      <c r="B71" s="665">
        <f t="shared" si="1"/>
        <v>0</v>
      </c>
      <c r="C71" s="15"/>
      <c r="D71" s="168"/>
      <c r="E71" s="1039"/>
      <c r="F71" s="68">
        <f t="shared" si="0"/>
        <v>0</v>
      </c>
      <c r="G71" s="69"/>
      <c r="H71" s="70"/>
      <c r="I71" s="1038">
        <f t="shared" si="7"/>
        <v>0</v>
      </c>
      <c r="J71" s="209">
        <f t="shared" si="8"/>
        <v>0</v>
      </c>
    </row>
    <row r="72" spans="1:10" ht="15.75" x14ac:dyDescent="0.25">
      <c r="A72" s="2"/>
      <c r="B72" s="665">
        <f t="shared" si="1"/>
        <v>0</v>
      </c>
      <c r="C72" s="15"/>
      <c r="D72" s="168"/>
      <c r="E72" s="1039"/>
      <c r="F72" s="68">
        <f t="shared" si="0"/>
        <v>0</v>
      </c>
      <c r="G72" s="69"/>
      <c r="H72" s="70"/>
      <c r="I72" s="1038">
        <f t="shared" si="7"/>
        <v>0</v>
      </c>
      <c r="J72" s="209">
        <f t="shared" si="8"/>
        <v>0</v>
      </c>
    </row>
    <row r="73" spans="1:10" ht="15.75" x14ac:dyDescent="0.25">
      <c r="A73" s="2"/>
      <c r="B73" s="665">
        <f t="shared" si="1"/>
        <v>0</v>
      </c>
      <c r="C73" s="15"/>
      <c r="D73" s="168"/>
      <c r="E73" s="1039"/>
      <c r="F73" s="68">
        <f t="shared" si="0"/>
        <v>0</v>
      </c>
      <c r="G73" s="69"/>
      <c r="H73" s="70"/>
      <c r="I73" s="1038">
        <f t="shared" si="7"/>
        <v>0</v>
      </c>
      <c r="J73" s="209">
        <f t="shared" si="8"/>
        <v>0</v>
      </c>
    </row>
    <row r="74" spans="1:10" ht="15.75" x14ac:dyDescent="0.25">
      <c r="A74" s="2"/>
      <c r="B74" s="665">
        <f t="shared" ref="B74:B93" si="9">B73-C74</f>
        <v>0</v>
      </c>
      <c r="C74" s="15"/>
      <c r="D74" s="168"/>
      <c r="E74" s="1039"/>
      <c r="F74" s="68">
        <f t="shared" si="0"/>
        <v>0</v>
      </c>
      <c r="G74" s="69"/>
      <c r="H74" s="70"/>
      <c r="I74" s="1038">
        <f t="shared" si="7"/>
        <v>0</v>
      </c>
      <c r="J74" s="209">
        <f t="shared" si="8"/>
        <v>0</v>
      </c>
    </row>
    <row r="75" spans="1:10" ht="15.75" x14ac:dyDescent="0.25">
      <c r="A75" s="2"/>
      <c r="B75" s="665">
        <f t="shared" si="9"/>
        <v>0</v>
      </c>
      <c r="C75" s="15"/>
      <c r="D75" s="168"/>
      <c r="E75" s="1039"/>
      <c r="F75" s="68">
        <f t="shared" si="0"/>
        <v>0</v>
      </c>
      <c r="G75" s="69"/>
      <c r="H75" s="70"/>
      <c r="I75" s="1038">
        <f t="shared" si="7"/>
        <v>0</v>
      </c>
      <c r="J75" s="209">
        <f t="shared" si="8"/>
        <v>0</v>
      </c>
    </row>
    <row r="76" spans="1:10" ht="15.75" x14ac:dyDescent="0.25">
      <c r="A76" s="2"/>
      <c r="B76" s="665">
        <f t="shared" si="9"/>
        <v>0</v>
      </c>
      <c r="C76" s="15"/>
      <c r="D76" s="168"/>
      <c r="E76" s="1039"/>
      <c r="F76" s="68">
        <f t="shared" si="0"/>
        <v>0</v>
      </c>
      <c r="G76" s="69"/>
      <c r="H76" s="70"/>
      <c r="I76" s="1038">
        <f t="shared" si="7"/>
        <v>0</v>
      </c>
      <c r="J76" s="209">
        <f t="shared" si="8"/>
        <v>0</v>
      </c>
    </row>
    <row r="77" spans="1:10" ht="15.75" x14ac:dyDescent="0.25">
      <c r="A77" s="2"/>
      <c r="B77" s="665">
        <f t="shared" si="9"/>
        <v>0</v>
      </c>
      <c r="C77" s="15"/>
      <c r="D77" s="168"/>
      <c r="E77" s="1039"/>
      <c r="F77" s="68">
        <f t="shared" si="0"/>
        <v>0</v>
      </c>
      <c r="G77" s="69"/>
      <c r="H77" s="70"/>
      <c r="I77" s="1038">
        <f t="shared" si="7"/>
        <v>0</v>
      </c>
      <c r="J77" s="209">
        <f t="shared" si="8"/>
        <v>0</v>
      </c>
    </row>
    <row r="78" spans="1:10" ht="15.75" x14ac:dyDescent="0.25">
      <c r="A78" s="2"/>
      <c r="B78" s="665">
        <f t="shared" si="9"/>
        <v>0</v>
      </c>
      <c r="C78" s="15"/>
      <c r="D78" s="168"/>
      <c r="E78" s="1039"/>
      <c r="F78" s="68">
        <f t="shared" si="0"/>
        <v>0</v>
      </c>
      <c r="G78" s="69"/>
      <c r="H78" s="70"/>
      <c r="I78" s="1038">
        <f t="shared" si="7"/>
        <v>0</v>
      </c>
      <c r="J78" s="209">
        <f t="shared" si="8"/>
        <v>0</v>
      </c>
    </row>
    <row r="79" spans="1:10" ht="15.75" x14ac:dyDescent="0.25">
      <c r="A79" s="2"/>
      <c r="B79" s="665">
        <f t="shared" si="9"/>
        <v>0</v>
      </c>
      <c r="C79" s="15"/>
      <c r="D79" s="168"/>
      <c r="E79" s="1039"/>
      <c r="F79" s="68">
        <f t="shared" si="0"/>
        <v>0</v>
      </c>
      <c r="G79" s="69"/>
      <c r="H79" s="70"/>
      <c r="I79" s="1038">
        <f t="shared" si="7"/>
        <v>0</v>
      </c>
      <c r="J79" s="209">
        <f t="shared" si="8"/>
        <v>0</v>
      </c>
    </row>
    <row r="80" spans="1:10" ht="15.75" x14ac:dyDescent="0.25">
      <c r="A80" s="2"/>
      <c r="B80" s="665">
        <f t="shared" si="9"/>
        <v>0</v>
      </c>
      <c r="C80" s="15"/>
      <c r="D80" s="168"/>
      <c r="E80" s="1039"/>
      <c r="F80" s="68">
        <f t="shared" si="0"/>
        <v>0</v>
      </c>
      <c r="G80" s="69"/>
      <c r="H80" s="70"/>
      <c r="I80" s="1038">
        <f t="shared" si="7"/>
        <v>0</v>
      </c>
      <c r="J80" s="209">
        <f t="shared" si="8"/>
        <v>0</v>
      </c>
    </row>
    <row r="81" spans="1:10" ht="15.75" x14ac:dyDescent="0.25">
      <c r="A81" s="2"/>
      <c r="B81" s="665">
        <f t="shared" si="9"/>
        <v>0</v>
      </c>
      <c r="C81" s="15"/>
      <c r="D81" s="168"/>
      <c r="E81" s="1039"/>
      <c r="F81" s="68">
        <f t="shared" si="0"/>
        <v>0</v>
      </c>
      <c r="G81" s="69"/>
      <c r="H81" s="70"/>
      <c r="I81" s="1038">
        <f t="shared" si="7"/>
        <v>0</v>
      </c>
      <c r="J81" s="209">
        <f t="shared" si="8"/>
        <v>0</v>
      </c>
    </row>
    <row r="82" spans="1:10" ht="15.75" x14ac:dyDescent="0.25">
      <c r="A82" s="2"/>
      <c r="B82" s="665">
        <f t="shared" si="9"/>
        <v>0</v>
      </c>
      <c r="C82" s="15"/>
      <c r="D82" s="168"/>
      <c r="E82" s="1039"/>
      <c r="F82" s="68">
        <f t="shared" si="0"/>
        <v>0</v>
      </c>
      <c r="G82" s="69"/>
      <c r="H82" s="70"/>
      <c r="I82" s="1038">
        <f t="shared" si="7"/>
        <v>0</v>
      </c>
      <c r="J82" s="209">
        <f t="shared" si="8"/>
        <v>0</v>
      </c>
    </row>
    <row r="83" spans="1:10" ht="15.75" x14ac:dyDescent="0.25">
      <c r="A83" s="2"/>
      <c r="B83" s="665">
        <f t="shared" si="9"/>
        <v>0</v>
      </c>
      <c r="C83" s="15"/>
      <c r="D83" s="168"/>
      <c r="E83" s="1039"/>
      <c r="F83" s="68">
        <f t="shared" si="0"/>
        <v>0</v>
      </c>
      <c r="G83" s="69"/>
      <c r="H83" s="70"/>
      <c r="I83" s="1038">
        <f t="shared" si="7"/>
        <v>0</v>
      </c>
      <c r="J83" s="209">
        <f t="shared" si="8"/>
        <v>0</v>
      </c>
    </row>
    <row r="84" spans="1:10" ht="15.75" x14ac:dyDescent="0.25">
      <c r="A84" s="2"/>
      <c r="B84" s="665">
        <f t="shared" si="9"/>
        <v>0</v>
      </c>
      <c r="C84" s="15"/>
      <c r="D84" s="168"/>
      <c r="E84" s="1039"/>
      <c r="F84" s="68">
        <f t="shared" si="0"/>
        <v>0</v>
      </c>
      <c r="G84" s="69"/>
      <c r="H84" s="70"/>
      <c r="I84" s="1038">
        <f t="shared" si="7"/>
        <v>0</v>
      </c>
      <c r="J84" s="209">
        <f t="shared" si="8"/>
        <v>0</v>
      </c>
    </row>
    <row r="85" spans="1:10" ht="15.75" x14ac:dyDescent="0.25">
      <c r="A85" s="2"/>
      <c r="B85" s="665">
        <f t="shared" si="9"/>
        <v>0</v>
      </c>
      <c r="C85" s="15"/>
      <c r="D85" s="168"/>
      <c r="E85" s="1039"/>
      <c r="F85" s="68">
        <f t="shared" si="0"/>
        <v>0</v>
      </c>
      <c r="G85" s="69"/>
      <c r="H85" s="70"/>
      <c r="I85" s="1038">
        <f t="shared" si="7"/>
        <v>0</v>
      </c>
      <c r="J85" s="209">
        <f t="shared" si="8"/>
        <v>0</v>
      </c>
    </row>
    <row r="86" spans="1:10" ht="15.75" x14ac:dyDescent="0.25">
      <c r="A86" s="2"/>
      <c r="B86" s="665">
        <f t="shared" si="9"/>
        <v>0</v>
      </c>
      <c r="C86" s="15"/>
      <c r="D86" s="168"/>
      <c r="E86" s="1039"/>
      <c r="F86" s="68">
        <f t="shared" si="0"/>
        <v>0</v>
      </c>
      <c r="G86" s="69"/>
      <c r="H86" s="70"/>
      <c r="I86" s="1038">
        <f t="shared" si="7"/>
        <v>0</v>
      </c>
      <c r="J86" s="209">
        <f t="shared" si="8"/>
        <v>0</v>
      </c>
    </row>
    <row r="87" spans="1:10" ht="15.75" x14ac:dyDescent="0.25">
      <c r="A87" s="2"/>
      <c r="B87" s="665">
        <f t="shared" si="9"/>
        <v>0</v>
      </c>
      <c r="C87" s="15"/>
      <c r="D87" s="168"/>
      <c r="E87" s="1039"/>
      <c r="F87" s="68">
        <f t="shared" si="0"/>
        <v>0</v>
      </c>
      <c r="G87" s="69"/>
      <c r="H87" s="70"/>
      <c r="I87" s="1038">
        <f t="shared" si="7"/>
        <v>0</v>
      </c>
      <c r="J87" s="209">
        <f t="shared" si="8"/>
        <v>0</v>
      </c>
    </row>
    <row r="88" spans="1:10" ht="15.75" x14ac:dyDescent="0.25">
      <c r="A88" s="2"/>
      <c r="B88" s="665">
        <f t="shared" si="9"/>
        <v>0</v>
      </c>
      <c r="C88" s="15"/>
      <c r="D88" s="168"/>
      <c r="E88" s="1039"/>
      <c r="F88" s="68">
        <f t="shared" si="0"/>
        <v>0</v>
      </c>
      <c r="G88" s="69"/>
      <c r="H88" s="70"/>
      <c r="I88" s="1038">
        <f t="shared" si="7"/>
        <v>0</v>
      </c>
      <c r="J88" s="209">
        <f t="shared" si="8"/>
        <v>0</v>
      </c>
    </row>
    <row r="89" spans="1:10" ht="15.75" x14ac:dyDescent="0.25">
      <c r="A89" s="2"/>
      <c r="B89" s="665">
        <f t="shared" si="9"/>
        <v>0</v>
      </c>
      <c r="C89" s="15"/>
      <c r="D89" s="168"/>
      <c r="E89" s="1039"/>
      <c r="F89" s="68">
        <f t="shared" si="0"/>
        <v>0</v>
      </c>
      <c r="G89" s="69"/>
      <c r="H89" s="70"/>
      <c r="I89" s="1038">
        <f t="shared" si="7"/>
        <v>0</v>
      </c>
      <c r="J89" s="209">
        <f t="shared" si="8"/>
        <v>0</v>
      </c>
    </row>
    <row r="90" spans="1:10" ht="15.75" x14ac:dyDescent="0.25">
      <c r="A90" s="2"/>
      <c r="B90" s="665">
        <f t="shared" si="9"/>
        <v>0</v>
      </c>
      <c r="C90" s="15"/>
      <c r="D90" s="168"/>
      <c r="E90" s="1039"/>
      <c r="F90" s="68">
        <f t="shared" si="0"/>
        <v>0</v>
      </c>
      <c r="G90" s="69"/>
      <c r="H90" s="70"/>
      <c r="I90" s="1038">
        <f t="shared" si="7"/>
        <v>0</v>
      </c>
      <c r="J90" s="209">
        <f t="shared" si="8"/>
        <v>0</v>
      </c>
    </row>
    <row r="91" spans="1:10" ht="15.75" x14ac:dyDescent="0.25">
      <c r="A91" s="2"/>
      <c r="B91" s="665">
        <f t="shared" si="9"/>
        <v>0</v>
      </c>
      <c r="C91" s="15"/>
      <c r="D91" s="168"/>
      <c r="E91" s="1039"/>
      <c r="F91" s="68">
        <f t="shared" si="0"/>
        <v>0</v>
      </c>
      <c r="G91" s="69"/>
      <c r="H91" s="70"/>
      <c r="I91" s="1038">
        <f t="shared" si="7"/>
        <v>0</v>
      </c>
      <c r="J91" s="209">
        <f t="shared" si="8"/>
        <v>0</v>
      </c>
    </row>
    <row r="92" spans="1:10" ht="15.75" x14ac:dyDescent="0.25">
      <c r="A92" s="2"/>
      <c r="B92" s="665">
        <f t="shared" si="9"/>
        <v>0</v>
      </c>
      <c r="C92" s="15"/>
      <c r="D92" s="168"/>
      <c r="E92" s="1039"/>
      <c r="F92" s="68">
        <f t="shared" si="0"/>
        <v>0</v>
      </c>
      <c r="G92" s="69"/>
      <c r="H92" s="70"/>
      <c r="I92" s="1038">
        <f t="shared" si="7"/>
        <v>0</v>
      </c>
      <c r="J92" s="209">
        <f t="shared" si="8"/>
        <v>0</v>
      </c>
    </row>
    <row r="93" spans="1:10" ht="15.75" x14ac:dyDescent="0.25">
      <c r="A93" s="2"/>
      <c r="B93" s="665">
        <f t="shared" si="9"/>
        <v>0</v>
      </c>
      <c r="C93" s="15"/>
      <c r="D93" s="168"/>
      <c r="E93" s="1039"/>
      <c r="F93" s="68">
        <f t="shared" si="0"/>
        <v>0</v>
      </c>
      <c r="G93" s="69"/>
      <c r="H93" s="70"/>
      <c r="I93" s="1038">
        <f t="shared" si="7"/>
        <v>0</v>
      </c>
      <c r="J93" s="209">
        <f t="shared" si="8"/>
        <v>0</v>
      </c>
    </row>
    <row r="94" spans="1:10" ht="16.5" thickBot="1" x14ac:dyDescent="0.3">
      <c r="A94" s="4"/>
      <c r="B94" s="885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038">
        <f>I64-F94</f>
        <v>0</v>
      </c>
      <c r="J94" s="209">
        <f>J64-C94</f>
        <v>0</v>
      </c>
    </row>
    <row r="95" spans="1:10" ht="17.25" thickTop="1" thickBot="1" x14ac:dyDescent="0.3">
      <c r="B95" s="665"/>
      <c r="C95" s="89">
        <f>SUM(C8:C94)</f>
        <v>0</v>
      </c>
      <c r="D95" s="795"/>
      <c r="E95" s="38"/>
      <c r="F95" s="5">
        <f>SUM(F8:F94)</f>
        <v>0</v>
      </c>
    </row>
    <row r="96" spans="1:10" ht="16.5" thickBot="1" x14ac:dyDescent="0.3">
      <c r="A96" s="51"/>
      <c r="B96" s="665"/>
      <c r="D96" s="795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47" t="s">
        <v>11</v>
      </c>
      <c r="D98" s="1648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98"/>
      <c r="B4" s="1643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598"/>
      <c r="B5" s="1644"/>
      <c r="C5" s="124"/>
      <c r="D5" s="218"/>
      <c r="E5" s="77"/>
      <c r="F5" s="61"/>
    </row>
    <row r="6" spans="1:9" ht="15" customHeight="1" x14ac:dyDescent="0.25">
      <c r="A6" s="1654"/>
      <c r="B6" s="1644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54"/>
      <c r="B7" s="659"/>
      <c r="C7" s="124"/>
      <c r="D7" s="218"/>
      <c r="E7" s="77"/>
      <c r="F7" s="61"/>
    </row>
    <row r="8" spans="1:9" ht="16.5" thickBot="1" x14ac:dyDescent="0.3">
      <c r="A8" s="481"/>
      <c r="B8" s="65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855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856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95" t="s">
        <v>11</v>
      </c>
      <c r="D61" s="159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67" activePane="bottomLeft" state="frozen"/>
      <selection pane="bottomLeft" activeCell="W72" sqref="W7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07" t="s">
        <v>313</v>
      </c>
      <c r="B1" s="1607"/>
      <c r="C1" s="1607"/>
      <c r="D1" s="1607"/>
      <c r="E1" s="1607"/>
      <c r="F1" s="1607"/>
      <c r="G1" s="1607"/>
      <c r="H1" s="1607"/>
      <c r="I1" s="1607"/>
      <c r="J1" s="11">
        <v>1</v>
      </c>
      <c r="M1" s="1593" t="s">
        <v>318</v>
      </c>
      <c r="N1" s="1593"/>
      <c r="O1" s="1593"/>
      <c r="P1" s="1593"/>
      <c r="Q1" s="1593"/>
      <c r="R1" s="1593"/>
      <c r="S1" s="1593"/>
      <c r="T1" s="1593"/>
      <c r="U1" s="1593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59.02</v>
      </c>
      <c r="F4" s="72">
        <v>13</v>
      </c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597" t="s">
        <v>89</v>
      </c>
      <c r="B5" s="1655" t="s">
        <v>43</v>
      </c>
      <c r="C5" s="623">
        <v>40</v>
      </c>
      <c r="D5" s="145">
        <v>45142</v>
      </c>
      <c r="E5" s="102">
        <v>2002.14</v>
      </c>
      <c r="F5" s="72">
        <v>441</v>
      </c>
      <c r="G5" s="5">
        <f>F110</f>
        <v>7064.2399999999971</v>
      </c>
      <c r="H5" s="7">
        <f>E4+E5-G5+E6+E8</f>
        <v>-3000.939999999996</v>
      </c>
      <c r="I5" s="182"/>
      <c r="J5" s="72"/>
      <c r="M5" s="1597" t="s">
        <v>89</v>
      </c>
      <c r="N5" s="1655" t="s">
        <v>43</v>
      </c>
      <c r="O5" s="623">
        <v>41</v>
      </c>
      <c r="P5" s="145">
        <v>45194</v>
      </c>
      <c r="Q5" s="102">
        <v>2002.14</v>
      </c>
      <c r="R5" s="72">
        <v>441</v>
      </c>
      <c r="S5" s="5">
        <f>R110</f>
        <v>1411.94</v>
      </c>
      <c r="T5" s="7">
        <f>Q4+Q5-S5+Q6+Q8</f>
        <v>608.36</v>
      </c>
      <c r="U5" s="182"/>
      <c r="V5" s="72"/>
    </row>
    <row r="6" spans="1:23" x14ac:dyDescent="0.25">
      <c r="A6" s="1597"/>
      <c r="B6" s="1655"/>
      <c r="C6" s="623">
        <v>42</v>
      </c>
      <c r="D6" s="218">
        <v>45160</v>
      </c>
      <c r="E6" s="102">
        <v>2002.14</v>
      </c>
      <c r="F6" s="72">
        <v>441</v>
      </c>
      <c r="I6" s="183"/>
      <c r="J6" s="72"/>
      <c r="M6" s="1597"/>
      <c r="N6" s="1655"/>
      <c r="O6" s="623"/>
      <c r="P6" s="218"/>
      <c r="Q6" s="102">
        <v>18.16</v>
      </c>
      <c r="R6" s="72">
        <v>4</v>
      </c>
      <c r="U6" s="183"/>
      <c r="V6" s="72"/>
    </row>
    <row r="7" spans="1:23" x14ac:dyDescent="0.25">
      <c r="A7" s="926"/>
      <c r="B7" s="927"/>
      <c r="C7" s="124">
        <v>40</v>
      </c>
      <c r="D7" s="218">
        <v>45170</v>
      </c>
      <c r="E7" s="102">
        <v>3000.94</v>
      </c>
      <c r="F7" s="72">
        <v>661</v>
      </c>
      <c r="I7" s="183"/>
      <c r="J7" s="72"/>
      <c r="M7" s="1279"/>
      <c r="N7" s="1281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23"/>
      <c r="D8" s="145"/>
      <c r="E8" s="102"/>
      <c r="F8" s="72"/>
      <c r="I8" s="183"/>
      <c r="J8" s="72"/>
      <c r="N8" s="12"/>
      <c r="O8" s="62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217</v>
      </c>
      <c r="H10" s="70">
        <v>50</v>
      </c>
      <c r="I10" s="182">
        <f>E5+E4+E6+E8-F10+E7</f>
        <v>6928.0400000000009</v>
      </c>
      <c r="J10" s="72">
        <f>F5-C10+F6+F4+F8+F7</f>
        <v>1526</v>
      </c>
      <c r="K10" s="59">
        <f>H10*F10</f>
        <v>6809.9999999999991</v>
      </c>
      <c r="M10" s="72"/>
      <c r="N10" s="129">
        <v>4.54</v>
      </c>
      <c r="O10" s="72">
        <v>5</v>
      </c>
      <c r="P10" s="68">
        <f t="shared" ref="P10:P22" si="2">O10*N10</f>
        <v>22.7</v>
      </c>
      <c r="Q10" s="186">
        <v>45191</v>
      </c>
      <c r="R10" s="68">
        <f t="shared" ref="R10:R22" si="3">P10</f>
        <v>22.7</v>
      </c>
      <c r="S10" s="69" t="s">
        <v>687</v>
      </c>
      <c r="T10" s="70">
        <v>50</v>
      </c>
      <c r="U10" s="182">
        <f>Q5+Q4+Q6+Q8-R10+Q7</f>
        <v>1997.6000000000001</v>
      </c>
      <c r="V10" s="72">
        <f>R5-O10+R6+R4+R8+R7</f>
        <v>440</v>
      </c>
      <c r="W10" s="59">
        <f>T10*R10</f>
        <v>1135</v>
      </c>
    </row>
    <row r="11" spans="1:23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219</v>
      </c>
      <c r="H11" s="70">
        <v>50</v>
      </c>
      <c r="I11" s="182">
        <f>I10-F11</f>
        <v>6905.3400000000011</v>
      </c>
      <c r="J11" s="72">
        <f>J10-C11</f>
        <v>1521</v>
      </c>
      <c r="K11" s="59">
        <f t="shared" ref="K11:K85" si="4">H11*F11</f>
        <v>1135</v>
      </c>
      <c r="N11" s="129">
        <v>4.54</v>
      </c>
      <c r="O11" s="72">
        <v>50</v>
      </c>
      <c r="P11" s="68">
        <f t="shared" si="2"/>
        <v>227</v>
      </c>
      <c r="Q11" s="186">
        <v>45194</v>
      </c>
      <c r="R11" s="68">
        <f t="shared" si="3"/>
        <v>227</v>
      </c>
      <c r="S11" s="69" t="s">
        <v>722</v>
      </c>
      <c r="T11" s="70">
        <v>50</v>
      </c>
      <c r="U11" s="182">
        <f>U10-R11</f>
        <v>1770.6000000000001</v>
      </c>
      <c r="V11" s="72">
        <f>V10-O11</f>
        <v>390</v>
      </c>
      <c r="W11" s="59">
        <f t="shared" ref="W11:W85" si="5">T11*R11</f>
        <v>11350</v>
      </c>
    </row>
    <row r="12" spans="1:23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220</v>
      </c>
      <c r="H12" s="70">
        <v>50</v>
      </c>
      <c r="I12" s="182">
        <f t="shared" ref="I12:I75" si="6">I11-F12</f>
        <v>6769.1400000000012</v>
      </c>
      <c r="J12" s="72">
        <f t="shared" ref="J12:J42" si="7">J11-C12</f>
        <v>1491</v>
      </c>
      <c r="K12" s="59">
        <f t="shared" si="4"/>
        <v>6809.9999999999991</v>
      </c>
      <c r="M12" s="54" t="s">
        <v>32</v>
      </c>
      <c r="N12" s="129">
        <v>4.54</v>
      </c>
      <c r="O12" s="72">
        <v>50</v>
      </c>
      <c r="P12" s="68">
        <f t="shared" si="2"/>
        <v>227</v>
      </c>
      <c r="Q12" s="186">
        <v>45195</v>
      </c>
      <c r="R12" s="68">
        <f t="shared" si="3"/>
        <v>227</v>
      </c>
      <c r="S12" s="69" t="s">
        <v>724</v>
      </c>
      <c r="T12" s="70">
        <v>50</v>
      </c>
      <c r="U12" s="182">
        <f t="shared" ref="U12:U75" si="8">U11-R12</f>
        <v>1543.6000000000001</v>
      </c>
      <c r="V12" s="72">
        <f t="shared" ref="V12:V42" si="9">V11-O12</f>
        <v>340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ref="D13:D73" si="10">C13*B13</f>
        <v>136.19999999999999</v>
      </c>
      <c r="E13" s="186">
        <v>45149</v>
      </c>
      <c r="F13" s="68">
        <f t="shared" ref="F13:F32" si="11">D13</f>
        <v>136.19999999999999</v>
      </c>
      <c r="G13" s="69" t="s">
        <v>221</v>
      </c>
      <c r="H13" s="70">
        <v>50</v>
      </c>
      <c r="I13" s="182">
        <f t="shared" si="6"/>
        <v>6632.9400000000014</v>
      </c>
      <c r="J13" s="72">
        <f t="shared" si="7"/>
        <v>1461</v>
      </c>
      <c r="K13" s="59">
        <f t="shared" si="4"/>
        <v>6809.9999999999991</v>
      </c>
      <c r="M13" s="84"/>
      <c r="N13" s="129">
        <v>4.54</v>
      </c>
      <c r="O13" s="72">
        <v>5</v>
      </c>
      <c r="P13" s="68">
        <f t="shared" si="2"/>
        <v>22.7</v>
      </c>
      <c r="Q13" s="186">
        <v>45195</v>
      </c>
      <c r="R13" s="68">
        <f t="shared" si="3"/>
        <v>22.7</v>
      </c>
      <c r="S13" s="69" t="s">
        <v>725</v>
      </c>
      <c r="T13" s="70">
        <v>50</v>
      </c>
      <c r="U13" s="182">
        <f t="shared" si="8"/>
        <v>1520.9</v>
      </c>
      <c r="V13" s="72">
        <f t="shared" si="9"/>
        <v>335</v>
      </c>
      <c r="W13" s="59">
        <f t="shared" si="5"/>
        <v>1135</v>
      </c>
    </row>
    <row r="14" spans="1:23" x14ac:dyDescent="0.25">
      <c r="B14" s="129">
        <v>4.54</v>
      </c>
      <c r="C14" s="15">
        <v>60</v>
      </c>
      <c r="D14" s="68">
        <f t="shared" si="10"/>
        <v>272.39999999999998</v>
      </c>
      <c r="E14" s="186">
        <v>45151</v>
      </c>
      <c r="F14" s="68">
        <f t="shared" si="11"/>
        <v>272.39999999999998</v>
      </c>
      <c r="G14" s="69" t="s">
        <v>223</v>
      </c>
      <c r="H14" s="70">
        <v>50</v>
      </c>
      <c r="I14" s="182">
        <f t="shared" si="6"/>
        <v>6360.5400000000018</v>
      </c>
      <c r="J14" s="72">
        <f t="shared" si="7"/>
        <v>1401</v>
      </c>
      <c r="K14" s="59">
        <f t="shared" si="4"/>
        <v>13619.999999999998</v>
      </c>
      <c r="N14" s="129">
        <v>4.54</v>
      </c>
      <c r="O14" s="72">
        <v>30</v>
      </c>
      <c r="P14" s="68">
        <f t="shared" si="2"/>
        <v>136.19999999999999</v>
      </c>
      <c r="Q14" s="186">
        <v>45195</v>
      </c>
      <c r="R14" s="68">
        <f t="shared" si="3"/>
        <v>136.19999999999999</v>
      </c>
      <c r="S14" s="69" t="s">
        <v>727</v>
      </c>
      <c r="T14" s="70">
        <v>50</v>
      </c>
      <c r="U14" s="182">
        <f t="shared" si="8"/>
        <v>1384.7</v>
      </c>
      <c r="V14" s="72">
        <f t="shared" si="9"/>
        <v>305</v>
      </c>
      <c r="W14" s="59">
        <f t="shared" si="5"/>
        <v>6809.9999999999991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10"/>
        <v>13.620000000000001</v>
      </c>
      <c r="E15" s="186">
        <v>45151</v>
      </c>
      <c r="F15" s="68">
        <f t="shared" si="11"/>
        <v>13.620000000000001</v>
      </c>
      <c r="G15" s="69" t="s">
        <v>225</v>
      </c>
      <c r="H15" s="70">
        <v>50</v>
      </c>
      <c r="I15" s="182">
        <f t="shared" si="6"/>
        <v>6346.9200000000019</v>
      </c>
      <c r="J15" s="72">
        <f t="shared" si="7"/>
        <v>1398</v>
      </c>
      <c r="K15" s="59">
        <f t="shared" si="4"/>
        <v>681</v>
      </c>
      <c r="M15" s="54" t="s">
        <v>33</v>
      </c>
      <c r="N15" s="129">
        <v>4.54</v>
      </c>
      <c r="O15" s="72">
        <v>10</v>
      </c>
      <c r="P15" s="68">
        <f t="shared" si="2"/>
        <v>45.4</v>
      </c>
      <c r="Q15" s="186">
        <v>45195</v>
      </c>
      <c r="R15" s="68">
        <f t="shared" si="3"/>
        <v>45.4</v>
      </c>
      <c r="S15" s="69" t="s">
        <v>729</v>
      </c>
      <c r="T15" s="70">
        <v>50</v>
      </c>
      <c r="U15" s="182">
        <f t="shared" si="8"/>
        <v>1339.3</v>
      </c>
      <c r="V15" s="72">
        <f t="shared" si="9"/>
        <v>295</v>
      </c>
      <c r="W15" s="59">
        <f t="shared" si="5"/>
        <v>2270</v>
      </c>
    </row>
    <row r="16" spans="1:23" x14ac:dyDescent="0.25">
      <c r="B16" s="129">
        <v>4.54</v>
      </c>
      <c r="C16" s="15">
        <v>15</v>
      </c>
      <c r="D16" s="68">
        <f t="shared" si="10"/>
        <v>68.099999999999994</v>
      </c>
      <c r="E16" s="130">
        <v>45155</v>
      </c>
      <c r="F16" s="68">
        <f t="shared" si="11"/>
        <v>68.099999999999994</v>
      </c>
      <c r="G16" s="69" t="s">
        <v>226</v>
      </c>
      <c r="H16" s="70">
        <v>50</v>
      </c>
      <c r="I16" s="182">
        <f t="shared" si="6"/>
        <v>6278.8200000000015</v>
      </c>
      <c r="J16" s="72">
        <f t="shared" si="7"/>
        <v>1383</v>
      </c>
      <c r="K16" s="59">
        <f t="shared" si="4"/>
        <v>3404.9999999999995</v>
      </c>
      <c r="N16" s="129">
        <v>4.54</v>
      </c>
      <c r="O16" s="72">
        <v>40</v>
      </c>
      <c r="P16" s="68">
        <f t="shared" si="2"/>
        <v>181.6</v>
      </c>
      <c r="Q16" s="186">
        <v>45197</v>
      </c>
      <c r="R16" s="68">
        <f t="shared" si="3"/>
        <v>181.6</v>
      </c>
      <c r="S16" s="69" t="s">
        <v>760</v>
      </c>
      <c r="T16" s="70">
        <v>50</v>
      </c>
      <c r="U16" s="182">
        <f t="shared" si="8"/>
        <v>1157.7</v>
      </c>
      <c r="V16" s="72">
        <f t="shared" si="9"/>
        <v>255</v>
      </c>
      <c r="W16" s="59">
        <f t="shared" si="5"/>
        <v>9080</v>
      </c>
    </row>
    <row r="17" spans="2:23" x14ac:dyDescent="0.25">
      <c r="B17" s="129">
        <v>4.54</v>
      </c>
      <c r="C17" s="15">
        <v>30</v>
      </c>
      <c r="D17" s="68">
        <f t="shared" si="10"/>
        <v>136.19999999999999</v>
      </c>
      <c r="E17" s="186">
        <v>45152</v>
      </c>
      <c r="F17" s="68">
        <f t="shared" si="11"/>
        <v>136.19999999999999</v>
      </c>
      <c r="G17" s="69" t="s">
        <v>227</v>
      </c>
      <c r="H17" s="70">
        <v>50</v>
      </c>
      <c r="I17" s="182">
        <f t="shared" si="6"/>
        <v>6142.6200000000017</v>
      </c>
      <c r="J17" s="72">
        <f t="shared" si="7"/>
        <v>1353</v>
      </c>
      <c r="K17" s="59">
        <f t="shared" si="4"/>
        <v>6809.9999999999991</v>
      </c>
      <c r="N17" s="129">
        <v>4.54</v>
      </c>
      <c r="O17" s="72">
        <v>1</v>
      </c>
      <c r="P17" s="68">
        <f t="shared" si="2"/>
        <v>4.54</v>
      </c>
      <c r="Q17" s="186">
        <v>45197</v>
      </c>
      <c r="R17" s="68">
        <f t="shared" si="3"/>
        <v>4.54</v>
      </c>
      <c r="S17" s="69" t="s">
        <v>761</v>
      </c>
      <c r="T17" s="70">
        <v>41</v>
      </c>
      <c r="U17" s="182">
        <f t="shared" si="8"/>
        <v>1153.1600000000001</v>
      </c>
      <c r="V17" s="72">
        <f t="shared" si="9"/>
        <v>254</v>
      </c>
      <c r="W17" s="59">
        <f t="shared" si="5"/>
        <v>186.14000000000001</v>
      </c>
    </row>
    <row r="18" spans="2:23" x14ac:dyDescent="0.25">
      <c r="B18" s="129">
        <v>4.54</v>
      </c>
      <c r="C18" s="15">
        <v>5</v>
      </c>
      <c r="D18" s="68">
        <f t="shared" si="10"/>
        <v>22.7</v>
      </c>
      <c r="E18" s="186">
        <v>45152</v>
      </c>
      <c r="F18" s="68">
        <f t="shared" si="11"/>
        <v>22.7</v>
      </c>
      <c r="G18" s="69" t="s">
        <v>228</v>
      </c>
      <c r="H18" s="70">
        <v>50</v>
      </c>
      <c r="I18" s="182">
        <f t="shared" si="6"/>
        <v>6119.9200000000019</v>
      </c>
      <c r="J18" s="72">
        <f t="shared" si="7"/>
        <v>1348</v>
      </c>
      <c r="K18" s="59">
        <f t="shared" si="4"/>
        <v>1135</v>
      </c>
      <c r="N18" s="129">
        <v>4.54</v>
      </c>
      <c r="O18" s="72">
        <v>30</v>
      </c>
      <c r="P18" s="68">
        <f t="shared" si="2"/>
        <v>136.19999999999999</v>
      </c>
      <c r="Q18" s="186">
        <v>45198</v>
      </c>
      <c r="R18" s="68">
        <f t="shared" si="3"/>
        <v>136.19999999999999</v>
      </c>
      <c r="S18" s="69" t="s">
        <v>762</v>
      </c>
      <c r="T18" s="70">
        <v>50</v>
      </c>
      <c r="U18" s="182">
        <f t="shared" si="8"/>
        <v>1016.96</v>
      </c>
      <c r="V18" s="72">
        <f t="shared" si="9"/>
        <v>224</v>
      </c>
      <c r="W18" s="59">
        <f t="shared" si="5"/>
        <v>6809.9999999999991</v>
      </c>
    </row>
    <row r="19" spans="2:23" x14ac:dyDescent="0.25">
      <c r="B19" s="129">
        <v>4.54</v>
      </c>
      <c r="C19" s="15">
        <v>30</v>
      </c>
      <c r="D19" s="68">
        <f t="shared" si="10"/>
        <v>136.19999999999999</v>
      </c>
      <c r="E19" s="186">
        <v>45153</v>
      </c>
      <c r="F19" s="68">
        <f t="shared" si="11"/>
        <v>136.19999999999999</v>
      </c>
      <c r="G19" s="69" t="s">
        <v>230</v>
      </c>
      <c r="H19" s="70">
        <v>50</v>
      </c>
      <c r="I19" s="182">
        <f t="shared" si="6"/>
        <v>5983.7200000000021</v>
      </c>
      <c r="J19" s="72">
        <f t="shared" si="7"/>
        <v>1318</v>
      </c>
      <c r="K19" s="59">
        <f t="shared" si="4"/>
        <v>6809.9999999999991</v>
      </c>
      <c r="N19" s="129">
        <v>4.54</v>
      </c>
      <c r="O19" s="72">
        <v>5</v>
      </c>
      <c r="P19" s="68">
        <f t="shared" si="2"/>
        <v>22.7</v>
      </c>
      <c r="Q19" s="186">
        <v>45198</v>
      </c>
      <c r="R19" s="68">
        <f t="shared" si="3"/>
        <v>22.7</v>
      </c>
      <c r="S19" s="69" t="s">
        <v>766</v>
      </c>
      <c r="T19" s="70">
        <v>50</v>
      </c>
      <c r="U19" s="182">
        <f t="shared" si="8"/>
        <v>994.26</v>
      </c>
      <c r="V19" s="72">
        <f t="shared" si="9"/>
        <v>219</v>
      </c>
      <c r="W19" s="59">
        <f t="shared" si="5"/>
        <v>1135</v>
      </c>
    </row>
    <row r="20" spans="2:23" x14ac:dyDescent="0.25">
      <c r="B20" s="129">
        <v>4.54</v>
      </c>
      <c r="C20" s="15">
        <v>2</v>
      </c>
      <c r="D20" s="68">
        <f t="shared" si="10"/>
        <v>9.08</v>
      </c>
      <c r="E20" s="186">
        <v>45153</v>
      </c>
      <c r="F20" s="68">
        <f t="shared" si="11"/>
        <v>9.08</v>
      </c>
      <c r="G20" s="69" t="s">
        <v>231</v>
      </c>
      <c r="H20" s="70">
        <v>50</v>
      </c>
      <c r="I20" s="182">
        <f t="shared" si="6"/>
        <v>5974.6400000000021</v>
      </c>
      <c r="J20" s="72">
        <f t="shared" si="7"/>
        <v>1316</v>
      </c>
      <c r="K20" s="59">
        <f t="shared" si="4"/>
        <v>454</v>
      </c>
      <c r="N20" s="129">
        <v>4.54</v>
      </c>
      <c r="O20" s="72">
        <v>50</v>
      </c>
      <c r="P20" s="68">
        <f t="shared" si="2"/>
        <v>227</v>
      </c>
      <c r="Q20" s="186">
        <v>45199</v>
      </c>
      <c r="R20" s="68">
        <f t="shared" si="3"/>
        <v>227</v>
      </c>
      <c r="S20" s="69" t="s">
        <v>768</v>
      </c>
      <c r="T20" s="70">
        <v>50</v>
      </c>
      <c r="U20" s="182">
        <f t="shared" si="8"/>
        <v>767.26</v>
      </c>
      <c r="V20" s="72">
        <f t="shared" si="9"/>
        <v>169</v>
      </c>
      <c r="W20" s="59">
        <f t="shared" si="5"/>
        <v>11350</v>
      </c>
    </row>
    <row r="21" spans="2:23" x14ac:dyDescent="0.25">
      <c r="B21" s="129">
        <v>4.54</v>
      </c>
      <c r="C21" s="15">
        <v>20</v>
      </c>
      <c r="D21" s="68">
        <f t="shared" si="10"/>
        <v>90.8</v>
      </c>
      <c r="E21" s="186">
        <v>45154</v>
      </c>
      <c r="F21" s="68">
        <f t="shared" si="11"/>
        <v>90.8</v>
      </c>
      <c r="G21" s="69" t="s">
        <v>234</v>
      </c>
      <c r="H21" s="70">
        <v>50</v>
      </c>
      <c r="I21" s="182">
        <f t="shared" si="6"/>
        <v>5883.840000000002</v>
      </c>
      <c r="J21" s="72">
        <f t="shared" si="7"/>
        <v>1296</v>
      </c>
      <c r="K21" s="59">
        <f t="shared" si="4"/>
        <v>4540</v>
      </c>
      <c r="N21" s="129">
        <v>4.54</v>
      </c>
      <c r="O21" s="72">
        <v>30</v>
      </c>
      <c r="P21" s="68">
        <f t="shared" si="2"/>
        <v>136.19999999999999</v>
      </c>
      <c r="Q21" s="186">
        <v>45201</v>
      </c>
      <c r="R21" s="68">
        <f t="shared" si="3"/>
        <v>136.19999999999999</v>
      </c>
      <c r="S21" s="69" t="s">
        <v>778</v>
      </c>
      <c r="T21" s="70">
        <v>50</v>
      </c>
      <c r="U21" s="182">
        <f t="shared" si="8"/>
        <v>631.05999999999995</v>
      </c>
      <c r="V21" s="72">
        <f t="shared" si="9"/>
        <v>139</v>
      </c>
      <c r="W21" s="59">
        <f t="shared" si="5"/>
        <v>6809.9999999999991</v>
      </c>
    </row>
    <row r="22" spans="2:23" x14ac:dyDescent="0.25">
      <c r="B22" s="129">
        <v>4.54</v>
      </c>
      <c r="C22" s="15">
        <v>30</v>
      </c>
      <c r="D22" s="68">
        <f t="shared" si="10"/>
        <v>136.19999999999999</v>
      </c>
      <c r="E22" s="186">
        <v>45154</v>
      </c>
      <c r="F22" s="68">
        <f t="shared" si="11"/>
        <v>136.19999999999999</v>
      </c>
      <c r="G22" s="69" t="s">
        <v>235</v>
      </c>
      <c r="H22" s="70">
        <v>50</v>
      </c>
      <c r="I22" s="182">
        <f t="shared" si="6"/>
        <v>5747.6400000000021</v>
      </c>
      <c r="J22" s="72">
        <f t="shared" si="7"/>
        <v>1266</v>
      </c>
      <c r="K22" s="59">
        <f t="shared" si="4"/>
        <v>6809.9999999999991</v>
      </c>
      <c r="N22" s="129">
        <v>4.54</v>
      </c>
      <c r="O22" s="72">
        <v>5</v>
      </c>
      <c r="P22" s="68">
        <f t="shared" si="2"/>
        <v>22.7</v>
      </c>
      <c r="Q22" s="186">
        <v>45201</v>
      </c>
      <c r="R22" s="68">
        <f t="shared" si="3"/>
        <v>22.7</v>
      </c>
      <c r="S22" s="69" t="s">
        <v>783</v>
      </c>
      <c r="T22" s="70">
        <v>50</v>
      </c>
      <c r="U22" s="182">
        <f t="shared" si="8"/>
        <v>608.3599999999999</v>
      </c>
      <c r="V22" s="72">
        <f t="shared" si="9"/>
        <v>134</v>
      </c>
      <c r="W22" s="59">
        <f t="shared" si="5"/>
        <v>1135</v>
      </c>
    </row>
    <row r="23" spans="2:23" x14ac:dyDescent="0.25">
      <c r="B23" s="129">
        <v>4.54</v>
      </c>
      <c r="C23" s="15">
        <v>30</v>
      </c>
      <c r="D23" s="68">
        <f t="shared" si="10"/>
        <v>136.19999999999999</v>
      </c>
      <c r="E23" s="186">
        <v>45155</v>
      </c>
      <c r="F23" s="68">
        <f t="shared" si="11"/>
        <v>136.19999999999999</v>
      </c>
      <c r="G23" s="69" t="s">
        <v>239</v>
      </c>
      <c r="H23" s="70">
        <v>50</v>
      </c>
      <c r="I23" s="182">
        <f t="shared" si="6"/>
        <v>5611.4400000000023</v>
      </c>
      <c r="J23" s="72">
        <f t="shared" si="7"/>
        <v>1236</v>
      </c>
      <c r="K23" s="59">
        <f t="shared" si="4"/>
        <v>6809.9999999999991</v>
      </c>
      <c r="N23" s="129">
        <v>4.54</v>
      </c>
      <c r="O23" s="15"/>
      <c r="P23" s="68">
        <f t="shared" ref="P23:P73" si="12">O23*N23</f>
        <v>0</v>
      </c>
      <c r="Q23" s="186"/>
      <c r="R23" s="68">
        <f t="shared" ref="R23:R32" si="13">P23</f>
        <v>0</v>
      </c>
      <c r="S23" s="69"/>
      <c r="T23" s="70"/>
      <c r="U23" s="182">
        <f t="shared" si="8"/>
        <v>608.3599999999999</v>
      </c>
      <c r="V23" s="72">
        <f t="shared" si="9"/>
        <v>134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68">
        <f t="shared" si="10"/>
        <v>136.19999999999999</v>
      </c>
      <c r="E24" s="186">
        <v>45155</v>
      </c>
      <c r="F24" s="68">
        <f t="shared" si="11"/>
        <v>136.19999999999999</v>
      </c>
      <c r="G24" s="69" t="s">
        <v>232</v>
      </c>
      <c r="H24" s="70">
        <v>50</v>
      </c>
      <c r="I24" s="182">
        <f t="shared" si="6"/>
        <v>5475.2400000000025</v>
      </c>
      <c r="J24" s="72">
        <f t="shared" si="7"/>
        <v>1206</v>
      </c>
      <c r="K24" s="59">
        <f t="shared" si="4"/>
        <v>6809.9999999999991</v>
      </c>
      <c r="N24" s="129">
        <v>4.54</v>
      </c>
      <c r="O24" s="15"/>
      <c r="P24" s="68">
        <f t="shared" si="12"/>
        <v>0</v>
      </c>
      <c r="Q24" s="186"/>
      <c r="R24" s="68">
        <f t="shared" si="13"/>
        <v>0</v>
      </c>
      <c r="S24" s="69"/>
      <c r="T24" s="70"/>
      <c r="U24" s="182">
        <f t="shared" si="8"/>
        <v>608.3599999999999</v>
      </c>
      <c r="V24" s="72">
        <f t="shared" si="9"/>
        <v>134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68">
        <f t="shared" si="10"/>
        <v>136.19999999999999</v>
      </c>
      <c r="E25" s="186">
        <v>45156</v>
      </c>
      <c r="F25" s="68">
        <f t="shared" si="11"/>
        <v>136.19999999999999</v>
      </c>
      <c r="G25" s="69" t="s">
        <v>242</v>
      </c>
      <c r="H25" s="70">
        <v>50</v>
      </c>
      <c r="I25" s="182">
        <f t="shared" si="6"/>
        <v>5339.0400000000027</v>
      </c>
      <c r="J25" s="72">
        <f t="shared" si="7"/>
        <v>1176</v>
      </c>
      <c r="K25" s="59">
        <f t="shared" si="4"/>
        <v>6809.9999999999991</v>
      </c>
      <c r="N25" s="129">
        <v>4.54</v>
      </c>
      <c r="O25" s="15"/>
      <c r="P25" s="68">
        <f t="shared" si="12"/>
        <v>0</v>
      </c>
      <c r="Q25" s="186"/>
      <c r="R25" s="68">
        <f t="shared" si="13"/>
        <v>0</v>
      </c>
      <c r="S25" s="69"/>
      <c r="T25" s="70"/>
      <c r="U25" s="182">
        <f t="shared" si="8"/>
        <v>608.3599999999999</v>
      </c>
      <c r="V25" s="72">
        <f t="shared" si="9"/>
        <v>134</v>
      </c>
      <c r="W25" s="59">
        <f t="shared" si="5"/>
        <v>0</v>
      </c>
    </row>
    <row r="26" spans="2:23" x14ac:dyDescent="0.25">
      <c r="B26" s="129">
        <v>4.54</v>
      </c>
      <c r="C26" s="15">
        <v>5</v>
      </c>
      <c r="D26" s="68">
        <f t="shared" si="10"/>
        <v>22.7</v>
      </c>
      <c r="E26" s="186">
        <v>45156</v>
      </c>
      <c r="F26" s="68">
        <f t="shared" si="11"/>
        <v>22.7</v>
      </c>
      <c r="G26" s="69" t="s">
        <v>243</v>
      </c>
      <c r="H26" s="70">
        <v>50</v>
      </c>
      <c r="I26" s="182">
        <f t="shared" si="6"/>
        <v>5316.3400000000029</v>
      </c>
      <c r="J26" s="72">
        <f t="shared" si="7"/>
        <v>1171</v>
      </c>
      <c r="K26" s="59">
        <f t="shared" si="4"/>
        <v>1135</v>
      </c>
      <c r="N26" s="129">
        <v>4.54</v>
      </c>
      <c r="O26" s="15"/>
      <c r="P26" s="68">
        <f t="shared" si="12"/>
        <v>0</v>
      </c>
      <c r="Q26" s="186"/>
      <c r="R26" s="68">
        <f t="shared" si="13"/>
        <v>0</v>
      </c>
      <c r="S26" s="69"/>
      <c r="T26" s="70"/>
      <c r="U26" s="182">
        <f t="shared" si="8"/>
        <v>608.3599999999999</v>
      </c>
      <c r="V26" s="72">
        <f t="shared" si="9"/>
        <v>134</v>
      </c>
      <c r="W26" s="59">
        <f t="shared" si="5"/>
        <v>0</v>
      </c>
    </row>
    <row r="27" spans="2:23" x14ac:dyDescent="0.25">
      <c r="B27" s="129">
        <v>4.54</v>
      </c>
      <c r="C27" s="15">
        <v>50</v>
      </c>
      <c r="D27" s="68">
        <f t="shared" si="10"/>
        <v>227</v>
      </c>
      <c r="E27" s="186">
        <v>45157</v>
      </c>
      <c r="F27" s="68">
        <f t="shared" si="11"/>
        <v>227</v>
      </c>
      <c r="G27" s="69" t="s">
        <v>245</v>
      </c>
      <c r="H27" s="70">
        <v>50</v>
      </c>
      <c r="I27" s="182">
        <f t="shared" si="6"/>
        <v>5089.3400000000029</v>
      </c>
      <c r="J27" s="72">
        <f t="shared" si="7"/>
        <v>1121</v>
      </c>
      <c r="K27" s="59">
        <f t="shared" si="4"/>
        <v>11350</v>
      </c>
      <c r="N27" s="129">
        <v>4.54</v>
      </c>
      <c r="O27" s="15"/>
      <c r="P27" s="68">
        <f t="shared" si="12"/>
        <v>0</v>
      </c>
      <c r="Q27" s="186"/>
      <c r="R27" s="68">
        <f t="shared" si="13"/>
        <v>0</v>
      </c>
      <c r="S27" s="69"/>
      <c r="T27" s="70"/>
      <c r="U27" s="182">
        <f t="shared" si="8"/>
        <v>608.3599999999999</v>
      </c>
      <c r="V27" s="72">
        <f t="shared" si="9"/>
        <v>134</v>
      </c>
      <c r="W27" s="59">
        <f t="shared" si="5"/>
        <v>0</v>
      </c>
    </row>
    <row r="28" spans="2:23" x14ac:dyDescent="0.25">
      <c r="B28" s="129">
        <v>4.54</v>
      </c>
      <c r="C28" s="15">
        <v>20</v>
      </c>
      <c r="D28" s="68">
        <f t="shared" si="10"/>
        <v>90.8</v>
      </c>
      <c r="E28" s="186">
        <v>45159</v>
      </c>
      <c r="F28" s="68">
        <f t="shared" si="11"/>
        <v>90.8</v>
      </c>
      <c r="G28" s="69" t="s">
        <v>249</v>
      </c>
      <c r="H28" s="70">
        <v>50</v>
      </c>
      <c r="I28" s="182">
        <f t="shared" si="6"/>
        <v>4998.5400000000027</v>
      </c>
      <c r="J28" s="72">
        <f t="shared" si="7"/>
        <v>1101</v>
      </c>
      <c r="K28" s="59">
        <f t="shared" si="4"/>
        <v>4540</v>
      </c>
      <c r="N28" s="129">
        <v>4.54</v>
      </c>
      <c r="O28" s="15"/>
      <c r="P28" s="68">
        <f t="shared" si="12"/>
        <v>0</v>
      </c>
      <c r="Q28" s="186"/>
      <c r="R28" s="68">
        <f t="shared" si="13"/>
        <v>0</v>
      </c>
      <c r="S28" s="69"/>
      <c r="T28" s="70"/>
      <c r="U28" s="182">
        <f t="shared" si="8"/>
        <v>608.3599999999999</v>
      </c>
      <c r="V28" s="72">
        <f t="shared" si="9"/>
        <v>134</v>
      </c>
      <c r="W28" s="59">
        <f t="shared" si="5"/>
        <v>0</v>
      </c>
    </row>
    <row r="29" spans="2:23" x14ac:dyDescent="0.25">
      <c r="B29" s="129">
        <v>4.54</v>
      </c>
      <c r="C29" s="15">
        <v>3</v>
      </c>
      <c r="D29" s="68">
        <f t="shared" si="10"/>
        <v>13.620000000000001</v>
      </c>
      <c r="E29" s="186">
        <v>45160</v>
      </c>
      <c r="F29" s="68">
        <f t="shared" si="11"/>
        <v>13.620000000000001</v>
      </c>
      <c r="G29" s="69" t="s">
        <v>253</v>
      </c>
      <c r="H29" s="70">
        <v>50</v>
      </c>
      <c r="I29" s="182">
        <f t="shared" si="6"/>
        <v>4984.9200000000028</v>
      </c>
      <c r="J29" s="72">
        <f t="shared" si="7"/>
        <v>1098</v>
      </c>
      <c r="K29" s="59">
        <f t="shared" si="4"/>
        <v>681</v>
      </c>
      <c r="N29" s="129">
        <v>4.54</v>
      </c>
      <c r="O29" s="15"/>
      <c r="P29" s="68">
        <f t="shared" si="12"/>
        <v>0</v>
      </c>
      <c r="Q29" s="186"/>
      <c r="R29" s="68">
        <f t="shared" si="13"/>
        <v>0</v>
      </c>
      <c r="S29" s="69"/>
      <c r="T29" s="70"/>
      <c r="U29" s="182">
        <f t="shared" si="8"/>
        <v>608.3599999999999</v>
      </c>
      <c r="V29" s="72">
        <f t="shared" si="9"/>
        <v>134</v>
      </c>
      <c r="W29" s="59">
        <f t="shared" si="5"/>
        <v>0</v>
      </c>
    </row>
    <row r="30" spans="2:23" x14ac:dyDescent="0.25">
      <c r="B30" s="129">
        <v>4.54</v>
      </c>
      <c r="C30" s="15">
        <v>40</v>
      </c>
      <c r="D30" s="68">
        <f t="shared" si="10"/>
        <v>181.6</v>
      </c>
      <c r="E30" s="186">
        <v>45160</v>
      </c>
      <c r="F30" s="68">
        <f t="shared" si="11"/>
        <v>181.6</v>
      </c>
      <c r="G30" s="69" t="s">
        <v>254</v>
      </c>
      <c r="H30" s="70">
        <v>50</v>
      </c>
      <c r="I30" s="182">
        <f t="shared" si="6"/>
        <v>4803.3200000000024</v>
      </c>
      <c r="J30" s="72">
        <f t="shared" si="7"/>
        <v>1058</v>
      </c>
      <c r="K30" s="59">
        <f t="shared" si="4"/>
        <v>9080</v>
      </c>
      <c r="N30" s="129">
        <v>4.54</v>
      </c>
      <c r="O30" s="15"/>
      <c r="P30" s="68">
        <f t="shared" si="12"/>
        <v>0</v>
      </c>
      <c r="Q30" s="186"/>
      <c r="R30" s="68">
        <f t="shared" si="13"/>
        <v>0</v>
      </c>
      <c r="S30" s="69"/>
      <c r="T30" s="70"/>
      <c r="U30" s="182">
        <f t="shared" si="8"/>
        <v>608.3599999999999</v>
      </c>
      <c r="V30" s="72">
        <f t="shared" si="9"/>
        <v>134</v>
      </c>
      <c r="W30" s="59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10"/>
        <v>181.6</v>
      </c>
      <c r="E31" s="186">
        <v>45160</v>
      </c>
      <c r="F31" s="68">
        <f t="shared" si="11"/>
        <v>181.6</v>
      </c>
      <c r="G31" s="69" t="s">
        <v>255</v>
      </c>
      <c r="H31" s="70">
        <v>50</v>
      </c>
      <c r="I31" s="182">
        <f t="shared" si="6"/>
        <v>4621.7200000000021</v>
      </c>
      <c r="J31" s="72">
        <f t="shared" si="7"/>
        <v>1018</v>
      </c>
      <c r="K31" s="59">
        <f t="shared" si="4"/>
        <v>9080</v>
      </c>
      <c r="N31" s="129">
        <v>4.54</v>
      </c>
      <c r="O31" s="15"/>
      <c r="P31" s="68">
        <f t="shared" si="12"/>
        <v>0</v>
      </c>
      <c r="Q31" s="186"/>
      <c r="R31" s="68">
        <f t="shared" si="13"/>
        <v>0</v>
      </c>
      <c r="S31" s="69"/>
      <c r="T31" s="70"/>
      <c r="U31" s="182">
        <f t="shared" si="8"/>
        <v>608.3599999999999</v>
      </c>
      <c r="V31" s="72">
        <f t="shared" si="9"/>
        <v>134</v>
      </c>
      <c r="W31" s="59">
        <f t="shared" si="5"/>
        <v>0</v>
      </c>
    </row>
    <row r="32" spans="2:23" x14ac:dyDescent="0.25">
      <c r="B32" s="129">
        <v>4.54</v>
      </c>
      <c r="C32" s="15">
        <v>5</v>
      </c>
      <c r="D32" s="68">
        <f t="shared" si="10"/>
        <v>22.7</v>
      </c>
      <c r="E32" s="186">
        <v>45162</v>
      </c>
      <c r="F32" s="68">
        <f t="shared" si="11"/>
        <v>22.7</v>
      </c>
      <c r="G32" s="69" t="s">
        <v>256</v>
      </c>
      <c r="H32" s="70">
        <v>50</v>
      </c>
      <c r="I32" s="182">
        <f t="shared" si="6"/>
        <v>4599.0200000000023</v>
      </c>
      <c r="J32" s="72">
        <f t="shared" si="7"/>
        <v>1013</v>
      </c>
      <c r="K32" s="59">
        <f t="shared" si="4"/>
        <v>1135</v>
      </c>
      <c r="N32" s="129">
        <v>4.54</v>
      </c>
      <c r="O32" s="15"/>
      <c r="P32" s="68">
        <f t="shared" si="12"/>
        <v>0</v>
      </c>
      <c r="Q32" s="186"/>
      <c r="R32" s="68">
        <f t="shared" si="13"/>
        <v>0</v>
      </c>
      <c r="S32" s="69"/>
      <c r="T32" s="70"/>
      <c r="U32" s="182">
        <f t="shared" si="8"/>
        <v>608.3599999999999</v>
      </c>
      <c r="V32" s="72">
        <f t="shared" si="9"/>
        <v>134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10"/>
        <v>136.19999999999999</v>
      </c>
      <c r="E33" s="186">
        <v>45162</v>
      </c>
      <c r="F33" s="68">
        <f>D33</f>
        <v>136.19999999999999</v>
      </c>
      <c r="G33" s="69" t="s">
        <v>258</v>
      </c>
      <c r="H33" s="70">
        <v>50</v>
      </c>
      <c r="I33" s="182">
        <f t="shared" si="6"/>
        <v>4462.8200000000024</v>
      </c>
      <c r="J33" s="72">
        <f t="shared" si="7"/>
        <v>983</v>
      </c>
      <c r="K33" s="59">
        <f t="shared" si="4"/>
        <v>6809.9999999999991</v>
      </c>
      <c r="N33" s="129">
        <v>4.54</v>
      </c>
      <c r="O33" s="15"/>
      <c r="P33" s="68">
        <f t="shared" si="12"/>
        <v>0</v>
      </c>
      <c r="Q33" s="186"/>
      <c r="R33" s="68">
        <f>P33</f>
        <v>0</v>
      </c>
      <c r="S33" s="69"/>
      <c r="T33" s="70"/>
      <c r="U33" s="182">
        <f t="shared" si="8"/>
        <v>608.3599999999999</v>
      </c>
      <c r="V33" s="72">
        <f t="shared" si="9"/>
        <v>134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10"/>
        <v>136.19999999999999</v>
      </c>
      <c r="E34" s="130">
        <v>45163</v>
      </c>
      <c r="F34" s="68">
        <f>D34</f>
        <v>136.19999999999999</v>
      </c>
      <c r="G34" s="69" t="s">
        <v>259</v>
      </c>
      <c r="H34" s="70">
        <v>50</v>
      </c>
      <c r="I34" s="182">
        <f t="shared" si="6"/>
        <v>4326.6200000000026</v>
      </c>
      <c r="J34" s="72">
        <f t="shared" si="7"/>
        <v>953</v>
      </c>
      <c r="K34" s="59">
        <f t="shared" si="4"/>
        <v>6809.9999999999991</v>
      </c>
      <c r="N34" s="129">
        <v>4.54</v>
      </c>
      <c r="O34" s="15"/>
      <c r="P34" s="68">
        <f t="shared" si="12"/>
        <v>0</v>
      </c>
      <c r="Q34" s="130"/>
      <c r="R34" s="68">
        <f>P34</f>
        <v>0</v>
      </c>
      <c r="S34" s="69"/>
      <c r="T34" s="70"/>
      <c r="U34" s="182">
        <f t="shared" si="8"/>
        <v>608.3599999999999</v>
      </c>
      <c r="V34" s="72">
        <f t="shared" si="9"/>
        <v>134</v>
      </c>
      <c r="W34" s="59">
        <f t="shared" si="5"/>
        <v>0</v>
      </c>
    </row>
    <row r="35" spans="1:23" x14ac:dyDescent="0.25">
      <c r="B35" s="129">
        <v>4.54</v>
      </c>
      <c r="C35" s="15">
        <v>20</v>
      </c>
      <c r="D35" s="68">
        <f t="shared" si="10"/>
        <v>90.8</v>
      </c>
      <c r="E35" s="130">
        <v>45164</v>
      </c>
      <c r="F35" s="68">
        <f t="shared" ref="F35:F109" si="14">D35</f>
        <v>90.8</v>
      </c>
      <c r="G35" s="69" t="s">
        <v>265</v>
      </c>
      <c r="H35" s="70">
        <v>50</v>
      </c>
      <c r="I35" s="182">
        <f t="shared" si="6"/>
        <v>4235.8200000000024</v>
      </c>
      <c r="J35" s="72">
        <f t="shared" si="7"/>
        <v>933</v>
      </c>
      <c r="K35" s="59">
        <f t="shared" si="4"/>
        <v>4540</v>
      </c>
      <c r="N35" s="129">
        <v>4.54</v>
      </c>
      <c r="O35" s="15"/>
      <c r="P35" s="68">
        <f t="shared" si="12"/>
        <v>0</v>
      </c>
      <c r="Q35" s="130"/>
      <c r="R35" s="68">
        <f t="shared" ref="R35:R109" si="15">P35</f>
        <v>0</v>
      </c>
      <c r="S35" s="69"/>
      <c r="T35" s="70"/>
      <c r="U35" s="182">
        <f t="shared" si="8"/>
        <v>608.3599999999999</v>
      </c>
      <c r="V35" s="72">
        <f t="shared" si="9"/>
        <v>134</v>
      </c>
      <c r="W35" s="59">
        <f t="shared" si="5"/>
        <v>0</v>
      </c>
    </row>
    <row r="36" spans="1:23" x14ac:dyDescent="0.25">
      <c r="B36" s="129">
        <v>4.54</v>
      </c>
      <c r="C36" s="15">
        <v>2</v>
      </c>
      <c r="D36" s="68">
        <f t="shared" si="10"/>
        <v>9.08</v>
      </c>
      <c r="E36" s="130">
        <v>45164</v>
      </c>
      <c r="F36" s="68">
        <f t="shared" si="14"/>
        <v>9.08</v>
      </c>
      <c r="G36" s="69" t="s">
        <v>264</v>
      </c>
      <c r="H36" s="70">
        <v>50</v>
      </c>
      <c r="I36" s="182">
        <f t="shared" si="6"/>
        <v>4226.7400000000025</v>
      </c>
      <c r="J36" s="72">
        <f t="shared" si="7"/>
        <v>931</v>
      </c>
      <c r="K36" s="59">
        <f t="shared" si="4"/>
        <v>454</v>
      </c>
      <c r="N36" s="129">
        <v>4.54</v>
      </c>
      <c r="O36" s="15"/>
      <c r="P36" s="68">
        <f t="shared" si="12"/>
        <v>0</v>
      </c>
      <c r="Q36" s="130"/>
      <c r="R36" s="68">
        <f t="shared" si="15"/>
        <v>0</v>
      </c>
      <c r="S36" s="69"/>
      <c r="T36" s="70"/>
      <c r="U36" s="182">
        <f t="shared" si="8"/>
        <v>608.3599999999999</v>
      </c>
      <c r="V36" s="72">
        <f t="shared" si="9"/>
        <v>134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10"/>
        <v>227</v>
      </c>
      <c r="E37" s="130">
        <v>45164</v>
      </c>
      <c r="F37" s="68">
        <f t="shared" si="14"/>
        <v>227</v>
      </c>
      <c r="G37" s="69" t="s">
        <v>267</v>
      </c>
      <c r="H37" s="70">
        <v>50</v>
      </c>
      <c r="I37" s="182">
        <f t="shared" si="6"/>
        <v>3999.7400000000025</v>
      </c>
      <c r="J37" s="72">
        <f t="shared" si="7"/>
        <v>881</v>
      </c>
      <c r="K37" s="59">
        <f t="shared" si="4"/>
        <v>11350</v>
      </c>
      <c r="M37" s="74"/>
      <c r="N37" s="129">
        <v>4.54</v>
      </c>
      <c r="O37" s="15"/>
      <c r="P37" s="68">
        <f t="shared" si="12"/>
        <v>0</v>
      </c>
      <c r="Q37" s="130"/>
      <c r="R37" s="68">
        <f t="shared" si="15"/>
        <v>0</v>
      </c>
      <c r="S37" s="69"/>
      <c r="T37" s="70"/>
      <c r="U37" s="182">
        <f t="shared" si="8"/>
        <v>608.3599999999999</v>
      </c>
      <c r="V37" s="72">
        <f t="shared" si="9"/>
        <v>134</v>
      </c>
      <c r="W37" s="59">
        <f t="shared" si="5"/>
        <v>0</v>
      </c>
    </row>
    <row r="38" spans="1:23" x14ac:dyDescent="0.25">
      <c r="B38" s="129">
        <v>4.54</v>
      </c>
      <c r="C38" s="15">
        <v>50</v>
      </c>
      <c r="D38" s="68">
        <f t="shared" si="10"/>
        <v>227</v>
      </c>
      <c r="E38" s="130">
        <v>45167</v>
      </c>
      <c r="F38" s="68">
        <f t="shared" si="14"/>
        <v>227</v>
      </c>
      <c r="G38" s="69" t="s">
        <v>275</v>
      </c>
      <c r="H38" s="70">
        <v>50</v>
      </c>
      <c r="I38" s="182">
        <f t="shared" si="6"/>
        <v>3772.7400000000025</v>
      </c>
      <c r="J38" s="72">
        <f t="shared" si="7"/>
        <v>831</v>
      </c>
      <c r="K38" s="59">
        <f t="shared" si="4"/>
        <v>11350</v>
      </c>
      <c r="N38" s="129">
        <v>4.54</v>
      </c>
      <c r="O38" s="15"/>
      <c r="P38" s="68">
        <f t="shared" si="12"/>
        <v>0</v>
      </c>
      <c r="Q38" s="130"/>
      <c r="R38" s="68">
        <f t="shared" si="15"/>
        <v>0</v>
      </c>
      <c r="S38" s="69"/>
      <c r="T38" s="70"/>
      <c r="U38" s="182">
        <f t="shared" si="8"/>
        <v>608.3599999999999</v>
      </c>
      <c r="V38" s="72">
        <f t="shared" si="9"/>
        <v>134</v>
      </c>
      <c r="W38" s="59">
        <f t="shared" si="5"/>
        <v>0</v>
      </c>
    </row>
    <row r="39" spans="1:23" x14ac:dyDescent="0.25">
      <c r="B39" s="129">
        <v>4.54</v>
      </c>
      <c r="C39" s="15">
        <v>50</v>
      </c>
      <c r="D39" s="68">
        <f t="shared" si="10"/>
        <v>227</v>
      </c>
      <c r="E39" s="186">
        <v>45167</v>
      </c>
      <c r="F39" s="68">
        <f t="shared" si="14"/>
        <v>227</v>
      </c>
      <c r="G39" s="69" t="s">
        <v>276</v>
      </c>
      <c r="H39" s="70">
        <v>50</v>
      </c>
      <c r="I39" s="182">
        <f t="shared" si="6"/>
        <v>3545.7400000000025</v>
      </c>
      <c r="J39" s="72">
        <f t="shared" si="7"/>
        <v>781</v>
      </c>
      <c r="K39" s="59">
        <f t="shared" si="4"/>
        <v>11350</v>
      </c>
      <c r="N39" s="129">
        <v>4.54</v>
      </c>
      <c r="O39" s="15"/>
      <c r="P39" s="68">
        <f t="shared" si="12"/>
        <v>0</v>
      </c>
      <c r="Q39" s="186"/>
      <c r="R39" s="68">
        <f t="shared" si="15"/>
        <v>0</v>
      </c>
      <c r="S39" s="69"/>
      <c r="T39" s="70"/>
      <c r="U39" s="182">
        <f t="shared" si="8"/>
        <v>608.3599999999999</v>
      </c>
      <c r="V39" s="72">
        <f t="shared" si="9"/>
        <v>134</v>
      </c>
      <c r="W39" s="59">
        <f t="shared" si="5"/>
        <v>0</v>
      </c>
    </row>
    <row r="40" spans="1:23" x14ac:dyDescent="0.25">
      <c r="B40" s="129">
        <v>4.54</v>
      </c>
      <c r="C40" s="15">
        <v>20</v>
      </c>
      <c r="D40" s="68">
        <f t="shared" si="10"/>
        <v>90.8</v>
      </c>
      <c r="E40" s="186">
        <v>45168</v>
      </c>
      <c r="F40" s="68">
        <f t="shared" si="14"/>
        <v>90.8</v>
      </c>
      <c r="G40" s="69" t="s">
        <v>279</v>
      </c>
      <c r="H40" s="70">
        <v>50</v>
      </c>
      <c r="I40" s="182">
        <f t="shared" si="6"/>
        <v>3454.9400000000023</v>
      </c>
      <c r="J40" s="72">
        <f t="shared" si="7"/>
        <v>761</v>
      </c>
      <c r="K40" s="59">
        <f t="shared" si="4"/>
        <v>4540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69"/>
      <c r="T40" s="70"/>
      <c r="U40" s="182">
        <f t="shared" si="8"/>
        <v>608.3599999999999</v>
      </c>
      <c r="V40" s="72">
        <f t="shared" si="9"/>
        <v>134</v>
      </c>
      <c r="W40" s="59">
        <f t="shared" si="5"/>
        <v>0</v>
      </c>
    </row>
    <row r="41" spans="1:23" x14ac:dyDescent="0.25">
      <c r="B41" s="129">
        <v>4.54</v>
      </c>
      <c r="C41" s="15">
        <v>40</v>
      </c>
      <c r="D41" s="68">
        <f t="shared" si="10"/>
        <v>181.6</v>
      </c>
      <c r="E41" s="186">
        <v>45169</v>
      </c>
      <c r="F41" s="68">
        <f t="shared" si="14"/>
        <v>181.6</v>
      </c>
      <c r="G41" s="69" t="s">
        <v>284</v>
      </c>
      <c r="H41" s="70">
        <v>50</v>
      </c>
      <c r="I41" s="182">
        <f t="shared" si="6"/>
        <v>3273.3400000000024</v>
      </c>
      <c r="J41" s="72">
        <f t="shared" si="7"/>
        <v>721</v>
      </c>
      <c r="K41" s="59">
        <f t="shared" si="4"/>
        <v>9080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69"/>
      <c r="T41" s="70"/>
      <c r="U41" s="182">
        <f t="shared" si="8"/>
        <v>608.3599999999999</v>
      </c>
      <c r="V41" s="72">
        <f t="shared" si="9"/>
        <v>134</v>
      </c>
      <c r="W41" s="59">
        <f t="shared" si="5"/>
        <v>0</v>
      </c>
    </row>
    <row r="42" spans="1:23" x14ac:dyDescent="0.25">
      <c r="B42" s="129">
        <v>4.54</v>
      </c>
      <c r="C42" s="15">
        <v>40</v>
      </c>
      <c r="D42" s="68">
        <f t="shared" si="10"/>
        <v>181.6</v>
      </c>
      <c r="E42" s="186">
        <v>45170</v>
      </c>
      <c r="F42" s="68">
        <f t="shared" si="14"/>
        <v>181.6</v>
      </c>
      <c r="G42" s="69" t="s">
        <v>292</v>
      </c>
      <c r="H42" s="70">
        <v>50</v>
      </c>
      <c r="I42" s="182">
        <f t="shared" si="6"/>
        <v>3091.7400000000025</v>
      </c>
      <c r="J42" s="72">
        <f t="shared" si="7"/>
        <v>681</v>
      </c>
      <c r="K42" s="59">
        <f t="shared" si="4"/>
        <v>9080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69"/>
      <c r="T42" s="70"/>
      <c r="U42" s="182">
        <f t="shared" si="8"/>
        <v>608.3599999999999</v>
      </c>
      <c r="V42" s="72">
        <f t="shared" si="9"/>
        <v>134</v>
      </c>
      <c r="W42" s="59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10"/>
        <v>22.7</v>
      </c>
      <c r="E43" s="186">
        <v>45171</v>
      </c>
      <c r="F43" s="68">
        <f t="shared" si="14"/>
        <v>22.7</v>
      </c>
      <c r="G43" s="69" t="s">
        <v>302</v>
      </c>
      <c r="H43" s="70">
        <v>50</v>
      </c>
      <c r="I43" s="182">
        <f t="shared" si="6"/>
        <v>3069.0400000000027</v>
      </c>
      <c r="J43" s="72">
        <f>J42-C43</f>
        <v>676</v>
      </c>
      <c r="K43" s="59">
        <f t="shared" si="4"/>
        <v>1135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69"/>
      <c r="T43" s="70"/>
      <c r="U43" s="182">
        <f t="shared" si="8"/>
        <v>608.3599999999999</v>
      </c>
      <c r="V43" s="72">
        <f>V42-O43</f>
        <v>134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4"/>
        <v>0</v>
      </c>
      <c r="G44" s="69"/>
      <c r="H44" s="70"/>
      <c r="I44" s="678">
        <f t="shared" si="6"/>
        <v>3069.0400000000027</v>
      </c>
      <c r="J44" s="586">
        <f t="shared" ref="J44:J107" si="16">J43-C44</f>
        <v>676</v>
      </c>
      <c r="K44" s="59">
        <f t="shared" si="4"/>
        <v>0</v>
      </c>
      <c r="N44" s="129">
        <v>4.54</v>
      </c>
      <c r="O44" s="15"/>
      <c r="P44" s="68">
        <f t="shared" si="12"/>
        <v>0</v>
      </c>
      <c r="Q44" s="186"/>
      <c r="R44" s="68">
        <f t="shared" si="15"/>
        <v>0</v>
      </c>
      <c r="S44" s="69"/>
      <c r="T44" s="70"/>
      <c r="U44" s="1371">
        <f t="shared" si="8"/>
        <v>608.3599999999999</v>
      </c>
      <c r="V44" s="1372">
        <f t="shared" ref="V44:V107" si="17">V43-O44</f>
        <v>134</v>
      </c>
      <c r="W44" s="59">
        <f t="shared" si="5"/>
        <v>0</v>
      </c>
    </row>
    <row r="45" spans="1:23" x14ac:dyDescent="0.25">
      <c r="B45" s="129">
        <v>4.54</v>
      </c>
      <c r="C45" s="15">
        <v>50</v>
      </c>
      <c r="D45" s="1012">
        <f t="shared" si="10"/>
        <v>227</v>
      </c>
      <c r="E45" s="1040">
        <v>45173</v>
      </c>
      <c r="F45" s="1012">
        <f t="shared" si="14"/>
        <v>227</v>
      </c>
      <c r="G45" s="844" t="s">
        <v>515</v>
      </c>
      <c r="H45" s="845">
        <v>50</v>
      </c>
      <c r="I45" s="1041">
        <f t="shared" si="6"/>
        <v>2842.0400000000027</v>
      </c>
      <c r="J45" s="1042">
        <f t="shared" si="16"/>
        <v>626</v>
      </c>
      <c r="K45" s="59">
        <f t="shared" si="4"/>
        <v>11350</v>
      </c>
      <c r="N45" s="129">
        <v>4.54</v>
      </c>
      <c r="O45" s="15"/>
      <c r="P45" s="68">
        <f t="shared" si="12"/>
        <v>0</v>
      </c>
      <c r="Q45" s="186"/>
      <c r="R45" s="68">
        <f t="shared" si="15"/>
        <v>0</v>
      </c>
      <c r="S45" s="69"/>
      <c r="T45" s="70"/>
      <c r="U45" s="182">
        <f t="shared" si="8"/>
        <v>608.3599999999999</v>
      </c>
      <c r="V45" s="72">
        <f t="shared" si="17"/>
        <v>134</v>
      </c>
      <c r="W45" s="59">
        <f t="shared" si="5"/>
        <v>0</v>
      </c>
    </row>
    <row r="46" spans="1:23" x14ac:dyDescent="0.25">
      <c r="B46" s="129">
        <v>4.54</v>
      </c>
      <c r="C46" s="15">
        <v>3</v>
      </c>
      <c r="D46" s="1012">
        <f t="shared" si="10"/>
        <v>13.620000000000001</v>
      </c>
      <c r="E46" s="1040">
        <v>45173</v>
      </c>
      <c r="F46" s="1012">
        <f t="shared" si="14"/>
        <v>13.620000000000001</v>
      </c>
      <c r="G46" s="844" t="s">
        <v>518</v>
      </c>
      <c r="H46" s="845">
        <v>50</v>
      </c>
      <c r="I46" s="1041">
        <f t="shared" si="6"/>
        <v>2828.4200000000028</v>
      </c>
      <c r="J46" s="1042">
        <f t="shared" si="16"/>
        <v>623</v>
      </c>
      <c r="K46" s="59">
        <f t="shared" si="4"/>
        <v>681</v>
      </c>
      <c r="N46" s="129">
        <v>4.54</v>
      </c>
      <c r="O46" s="15"/>
      <c r="P46" s="68">
        <f t="shared" si="12"/>
        <v>0</v>
      </c>
      <c r="Q46" s="186"/>
      <c r="R46" s="68">
        <f t="shared" si="15"/>
        <v>0</v>
      </c>
      <c r="S46" s="69"/>
      <c r="T46" s="70"/>
      <c r="U46" s="182">
        <f t="shared" si="8"/>
        <v>608.3599999999999</v>
      </c>
      <c r="V46" s="72">
        <f t="shared" si="17"/>
        <v>134</v>
      </c>
      <c r="W46" s="59">
        <f t="shared" si="5"/>
        <v>0</v>
      </c>
    </row>
    <row r="47" spans="1:23" x14ac:dyDescent="0.25">
      <c r="B47" s="129">
        <v>4.54</v>
      </c>
      <c r="C47" s="15">
        <v>40</v>
      </c>
      <c r="D47" s="1012">
        <f t="shared" si="10"/>
        <v>181.6</v>
      </c>
      <c r="E47" s="1040">
        <v>45174</v>
      </c>
      <c r="F47" s="1012">
        <f t="shared" si="14"/>
        <v>181.6</v>
      </c>
      <c r="G47" s="844" t="s">
        <v>519</v>
      </c>
      <c r="H47" s="845">
        <v>50</v>
      </c>
      <c r="I47" s="1041">
        <f t="shared" si="6"/>
        <v>2646.8200000000029</v>
      </c>
      <c r="J47" s="1042">
        <f t="shared" si="16"/>
        <v>583</v>
      </c>
      <c r="K47" s="59">
        <f t="shared" si="4"/>
        <v>9080</v>
      </c>
      <c r="N47" s="129">
        <v>4.54</v>
      </c>
      <c r="O47" s="15"/>
      <c r="P47" s="68">
        <f t="shared" si="12"/>
        <v>0</v>
      </c>
      <c r="Q47" s="186"/>
      <c r="R47" s="68">
        <f t="shared" si="15"/>
        <v>0</v>
      </c>
      <c r="S47" s="69"/>
      <c r="T47" s="70"/>
      <c r="U47" s="182">
        <f t="shared" si="8"/>
        <v>608.3599999999999</v>
      </c>
      <c r="V47" s="72">
        <f t="shared" si="17"/>
        <v>134</v>
      </c>
      <c r="W47" s="59">
        <f t="shared" si="5"/>
        <v>0</v>
      </c>
    </row>
    <row r="48" spans="1:23" x14ac:dyDescent="0.25">
      <c r="B48" s="129">
        <v>4.54</v>
      </c>
      <c r="C48" s="15">
        <v>2</v>
      </c>
      <c r="D48" s="1012">
        <f t="shared" si="10"/>
        <v>9.08</v>
      </c>
      <c r="E48" s="1040">
        <v>45174</v>
      </c>
      <c r="F48" s="1012">
        <f t="shared" si="14"/>
        <v>9.08</v>
      </c>
      <c r="G48" s="844" t="s">
        <v>525</v>
      </c>
      <c r="H48" s="845">
        <v>50</v>
      </c>
      <c r="I48" s="1041">
        <f t="shared" si="6"/>
        <v>2637.740000000003</v>
      </c>
      <c r="J48" s="1042">
        <f t="shared" si="16"/>
        <v>581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68">
        <f t="shared" si="15"/>
        <v>0</v>
      </c>
      <c r="S48" s="69"/>
      <c r="T48" s="70"/>
      <c r="U48" s="182">
        <f t="shared" si="8"/>
        <v>608.3599999999999</v>
      </c>
      <c r="V48" s="72">
        <f t="shared" si="17"/>
        <v>134</v>
      </c>
      <c r="W48" s="59">
        <f t="shared" si="5"/>
        <v>0</v>
      </c>
    </row>
    <row r="49" spans="1:23" x14ac:dyDescent="0.25">
      <c r="B49" s="129">
        <v>4.54</v>
      </c>
      <c r="C49" s="15">
        <v>40</v>
      </c>
      <c r="D49" s="1012">
        <f t="shared" si="10"/>
        <v>181.6</v>
      </c>
      <c r="E49" s="1040">
        <v>45174</v>
      </c>
      <c r="F49" s="1012">
        <f t="shared" si="14"/>
        <v>181.6</v>
      </c>
      <c r="G49" s="844" t="s">
        <v>533</v>
      </c>
      <c r="H49" s="845">
        <v>50</v>
      </c>
      <c r="I49" s="1041">
        <f t="shared" si="6"/>
        <v>2456.1400000000031</v>
      </c>
      <c r="J49" s="1042">
        <f t="shared" si="16"/>
        <v>541</v>
      </c>
      <c r="K49" s="59">
        <f t="shared" si="4"/>
        <v>9080</v>
      </c>
      <c r="N49" s="129">
        <v>4.54</v>
      </c>
      <c r="O49" s="15"/>
      <c r="P49" s="68">
        <f t="shared" si="12"/>
        <v>0</v>
      </c>
      <c r="Q49" s="186"/>
      <c r="R49" s="68">
        <f t="shared" si="15"/>
        <v>0</v>
      </c>
      <c r="S49" s="69"/>
      <c r="T49" s="70"/>
      <c r="U49" s="182">
        <f t="shared" si="8"/>
        <v>608.3599999999999</v>
      </c>
      <c r="V49" s="72">
        <f t="shared" si="17"/>
        <v>134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1012">
        <f t="shared" si="10"/>
        <v>90.8</v>
      </c>
      <c r="E50" s="1040">
        <v>45175</v>
      </c>
      <c r="F50" s="1012">
        <f t="shared" si="14"/>
        <v>90.8</v>
      </c>
      <c r="G50" s="844" t="s">
        <v>538</v>
      </c>
      <c r="H50" s="845">
        <v>50</v>
      </c>
      <c r="I50" s="1041">
        <f t="shared" si="6"/>
        <v>2365.3400000000029</v>
      </c>
      <c r="J50" s="1042">
        <f t="shared" si="16"/>
        <v>521</v>
      </c>
      <c r="K50" s="59">
        <f t="shared" si="4"/>
        <v>4540</v>
      </c>
      <c r="N50" s="129">
        <v>4.54</v>
      </c>
      <c r="O50" s="15"/>
      <c r="P50" s="68">
        <f t="shared" si="12"/>
        <v>0</v>
      </c>
      <c r="Q50" s="186"/>
      <c r="R50" s="68">
        <f t="shared" si="15"/>
        <v>0</v>
      </c>
      <c r="S50" s="69"/>
      <c r="T50" s="70"/>
      <c r="U50" s="182">
        <f t="shared" si="8"/>
        <v>608.3599999999999</v>
      </c>
      <c r="V50" s="72">
        <f t="shared" si="17"/>
        <v>134</v>
      </c>
      <c r="W50" s="59">
        <f t="shared" si="5"/>
        <v>0</v>
      </c>
    </row>
    <row r="51" spans="1:23" x14ac:dyDescent="0.25">
      <c r="B51" s="129">
        <v>4.54</v>
      </c>
      <c r="C51" s="15">
        <v>3</v>
      </c>
      <c r="D51" s="1012">
        <f t="shared" si="10"/>
        <v>13.620000000000001</v>
      </c>
      <c r="E51" s="1040">
        <v>45176</v>
      </c>
      <c r="F51" s="1012">
        <f t="shared" si="14"/>
        <v>13.620000000000001</v>
      </c>
      <c r="G51" s="844" t="s">
        <v>555</v>
      </c>
      <c r="H51" s="845">
        <v>50</v>
      </c>
      <c r="I51" s="1041">
        <f t="shared" si="6"/>
        <v>2351.720000000003</v>
      </c>
      <c r="J51" s="1042">
        <f t="shared" si="16"/>
        <v>518</v>
      </c>
      <c r="K51" s="59">
        <f t="shared" si="4"/>
        <v>681</v>
      </c>
      <c r="N51" s="129">
        <v>4.54</v>
      </c>
      <c r="O51" s="15"/>
      <c r="P51" s="68">
        <f t="shared" si="12"/>
        <v>0</v>
      </c>
      <c r="Q51" s="186"/>
      <c r="R51" s="68">
        <f t="shared" si="15"/>
        <v>0</v>
      </c>
      <c r="S51" s="69"/>
      <c r="T51" s="70"/>
      <c r="U51" s="182">
        <f t="shared" si="8"/>
        <v>608.3599999999999</v>
      </c>
      <c r="V51" s="72">
        <f t="shared" si="17"/>
        <v>134</v>
      </c>
      <c r="W51" s="59">
        <f t="shared" si="5"/>
        <v>0</v>
      </c>
    </row>
    <row r="52" spans="1:23" x14ac:dyDescent="0.25">
      <c r="B52" s="129">
        <v>4.54</v>
      </c>
      <c r="C52" s="15">
        <v>1</v>
      </c>
      <c r="D52" s="1012">
        <f t="shared" si="10"/>
        <v>4.54</v>
      </c>
      <c r="E52" s="1040">
        <v>45176</v>
      </c>
      <c r="F52" s="1012">
        <f t="shared" si="14"/>
        <v>4.54</v>
      </c>
      <c r="G52" s="844" t="s">
        <v>561</v>
      </c>
      <c r="H52" s="845">
        <v>50</v>
      </c>
      <c r="I52" s="1041">
        <f t="shared" si="6"/>
        <v>2347.180000000003</v>
      </c>
      <c r="J52" s="1042">
        <f t="shared" si="16"/>
        <v>517</v>
      </c>
      <c r="K52" s="59">
        <f t="shared" si="4"/>
        <v>227</v>
      </c>
      <c r="N52" s="129">
        <v>4.54</v>
      </c>
      <c r="O52" s="15"/>
      <c r="P52" s="68">
        <f t="shared" si="12"/>
        <v>0</v>
      </c>
      <c r="Q52" s="186"/>
      <c r="R52" s="68">
        <f t="shared" si="15"/>
        <v>0</v>
      </c>
      <c r="S52" s="69"/>
      <c r="T52" s="70"/>
      <c r="U52" s="182">
        <f t="shared" si="8"/>
        <v>608.3599999999999</v>
      </c>
      <c r="V52" s="72">
        <f t="shared" si="17"/>
        <v>134</v>
      </c>
      <c r="W52" s="59">
        <f t="shared" si="5"/>
        <v>0</v>
      </c>
    </row>
    <row r="53" spans="1:23" x14ac:dyDescent="0.25">
      <c r="B53" s="129">
        <v>4.54</v>
      </c>
      <c r="C53" s="15">
        <v>60</v>
      </c>
      <c r="D53" s="1012">
        <f t="shared" si="10"/>
        <v>272.39999999999998</v>
      </c>
      <c r="E53" s="1040">
        <v>45177</v>
      </c>
      <c r="F53" s="1012">
        <f t="shared" si="14"/>
        <v>272.39999999999998</v>
      </c>
      <c r="G53" s="844" t="s">
        <v>572</v>
      </c>
      <c r="H53" s="845">
        <v>50</v>
      </c>
      <c r="I53" s="1041">
        <f t="shared" si="6"/>
        <v>2074.7800000000029</v>
      </c>
      <c r="J53" s="1042">
        <f t="shared" si="16"/>
        <v>457</v>
      </c>
      <c r="K53" s="59">
        <f t="shared" si="4"/>
        <v>13619.999999999998</v>
      </c>
      <c r="N53" s="129">
        <v>4.54</v>
      </c>
      <c r="O53" s="15"/>
      <c r="P53" s="68">
        <f t="shared" si="12"/>
        <v>0</v>
      </c>
      <c r="Q53" s="186"/>
      <c r="R53" s="68">
        <f t="shared" si="15"/>
        <v>0</v>
      </c>
      <c r="S53" s="69"/>
      <c r="T53" s="70"/>
      <c r="U53" s="182">
        <f t="shared" si="8"/>
        <v>608.3599999999999</v>
      </c>
      <c r="V53" s="72">
        <f t="shared" si="17"/>
        <v>134</v>
      </c>
      <c r="W53" s="59">
        <f t="shared" si="5"/>
        <v>0</v>
      </c>
    </row>
    <row r="54" spans="1:23" x14ac:dyDescent="0.25">
      <c r="B54" s="129">
        <v>4.54</v>
      </c>
      <c r="C54" s="15">
        <v>5</v>
      </c>
      <c r="D54" s="1012">
        <f t="shared" si="10"/>
        <v>22.7</v>
      </c>
      <c r="E54" s="1040">
        <v>45177</v>
      </c>
      <c r="F54" s="1012">
        <f t="shared" si="14"/>
        <v>22.7</v>
      </c>
      <c r="G54" s="844" t="s">
        <v>575</v>
      </c>
      <c r="H54" s="845">
        <v>50</v>
      </c>
      <c r="I54" s="1041">
        <f t="shared" si="6"/>
        <v>2052.0800000000031</v>
      </c>
      <c r="J54" s="1042">
        <f t="shared" si="16"/>
        <v>452</v>
      </c>
      <c r="K54" s="59">
        <f t="shared" si="4"/>
        <v>1135</v>
      </c>
      <c r="N54" s="129">
        <v>4.54</v>
      </c>
      <c r="O54" s="15"/>
      <c r="P54" s="68">
        <f t="shared" si="12"/>
        <v>0</v>
      </c>
      <c r="Q54" s="186"/>
      <c r="R54" s="68">
        <f t="shared" si="15"/>
        <v>0</v>
      </c>
      <c r="S54" s="69"/>
      <c r="T54" s="70"/>
      <c r="U54" s="182">
        <f t="shared" si="8"/>
        <v>608.3599999999999</v>
      </c>
      <c r="V54" s="72">
        <f t="shared" si="17"/>
        <v>134</v>
      </c>
      <c r="W54" s="59">
        <f t="shared" si="5"/>
        <v>0</v>
      </c>
    </row>
    <row r="55" spans="1:23" x14ac:dyDescent="0.25">
      <c r="A55" s="74"/>
      <c r="B55" s="129">
        <v>4.54</v>
      </c>
      <c r="C55" s="15">
        <v>3</v>
      </c>
      <c r="D55" s="1012">
        <f t="shared" si="10"/>
        <v>13.620000000000001</v>
      </c>
      <c r="E55" s="1040">
        <v>45178</v>
      </c>
      <c r="F55" s="1012">
        <f t="shared" si="14"/>
        <v>13.620000000000001</v>
      </c>
      <c r="G55" s="844" t="s">
        <v>586</v>
      </c>
      <c r="H55" s="845">
        <v>50</v>
      </c>
      <c r="I55" s="1041">
        <f t="shared" si="6"/>
        <v>2038.4600000000032</v>
      </c>
      <c r="J55" s="1042">
        <f t="shared" si="16"/>
        <v>449</v>
      </c>
      <c r="K55" s="59">
        <f t="shared" si="4"/>
        <v>681</v>
      </c>
      <c r="M55" s="74"/>
      <c r="N55" s="129">
        <v>4.54</v>
      </c>
      <c r="O55" s="15"/>
      <c r="P55" s="68">
        <f t="shared" si="12"/>
        <v>0</v>
      </c>
      <c r="Q55" s="186"/>
      <c r="R55" s="68">
        <f t="shared" si="15"/>
        <v>0</v>
      </c>
      <c r="S55" s="69"/>
      <c r="T55" s="70"/>
      <c r="U55" s="182">
        <f t="shared" si="8"/>
        <v>608.3599999999999</v>
      </c>
      <c r="V55" s="72">
        <f t="shared" si="17"/>
        <v>134</v>
      </c>
      <c r="W55" s="59">
        <f t="shared" si="5"/>
        <v>0</v>
      </c>
    </row>
    <row r="56" spans="1:23" x14ac:dyDescent="0.25">
      <c r="B56" s="129">
        <v>4.54</v>
      </c>
      <c r="C56" s="15">
        <v>60</v>
      </c>
      <c r="D56" s="1012">
        <f t="shared" si="10"/>
        <v>272.39999999999998</v>
      </c>
      <c r="E56" s="1040">
        <v>45178</v>
      </c>
      <c r="F56" s="1012">
        <f t="shared" si="14"/>
        <v>272.39999999999998</v>
      </c>
      <c r="G56" s="844" t="s">
        <v>588</v>
      </c>
      <c r="H56" s="845">
        <v>50</v>
      </c>
      <c r="I56" s="1041">
        <f t="shared" si="6"/>
        <v>1766.0600000000031</v>
      </c>
      <c r="J56" s="1042">
        <f t="shared" si="16"/>
        <v>389</v>
      </c>
      <c r="K56" s="59">
        <f t="shared" si="4"/>
        <v>13619.999999999998</v>
      </c>
      <c r="N56" s="129">
        <v>4.54</v>
      </c>
      <c r="O56" s="15"/>
      <c r="P56" s="68">
        <f t="shared" si="12"/>
        <v>0</v>
      </c>
      <c r="Q56" s="186"/>
      <c r="R56" s="68">
        <f t="shared" si="15"/>
        <v>0</v>
      </c>
      <c r="S56" s="69"/>
      <c r="T56" s="70"/>
      <c r="U56" s="182">
        <f t="shared" si="8"/>
        <v>608.3599999999999</v>
      </c>
      <c r="V56" s="72">
        <f t="shared" si="17"/>
        <v>134</v>
      </c>
      <c r="W56" s="59">
        <f t="shared" si="5"/>
        <v>0</v>
      </c>
    </row>
    <row r="57" spans="1:23" x14ac:dyDescent="0.25">
      <c r="B57" s="129">
        <v>4.54</v>
      </c>
      <c r="C57" s="15">
        <v>3</v>
      </c>
      <c r="D57" s="1012">
        <f t="shared" si="10"/>
        <v>13.620000000000001</v>
      </c>
      <c r="E57" s="1040">
        <v>45180</v>
      </c>
      <c r="F57" s="1012">
        <f t="shared" si="14"/>
        <v>13.620000000000001</v>
      </c>
      <c r="G57" s="844" t="s">
        <v>600</v>
      </c>
      <c r="H57" s="845">
        <v>50</v>
      </c>
      <c r="I57" s="1041">
        <f t="shared" si="6"/>
        <v>1752.4400000000032</v>
      </c>
      <c r="J57" s="1042">
        <f t="shared" si="16"/>
        <v>386</v>
      </c>
      <c r="K57" s="59">
        <f t="shared" si="4"/>
        <v>681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182">
        <f t="shared" si="8"/>
        <v>608.3599999999999</v>
      </c>
      <c r="V57" s="72">
        <f t="shared" si="17"/>
        <v>134</v>
      </c>
      <c r="W57" s="59">
        <f t="shared" si="5"/>
        <v>0</v>
      </c>
    </row>
    <row r="58" spans="1:23" x14ac:dyDescent="0.25">
      <c r="B58" s="129">
        <v>4.54</v>
      </c>
      <c r="C58" s="15">
        <v>60</v>
      </c>
      <c r="D58" s="1012">
        <f t="shared" si="10"/>
        <v>272.39999999999998</v>
      </c>
      <c r="E58" s="1040">
        <v>45180</v>
      </c>
      <c r="F58" s="1012">
        <f t="shared" si="14"/>
        <v>272.39999999999998</v>
      </c>
      <c r="G58" s="844" t="s">
        <v>604</v>
      </c>
      <c r="H58" s="845">
        <v>50</v>
      </c>
      <c r="I58" s="1041">
        <f t="shared" si="6"/>
        <v>1480.0400000000031</v>
      </c>
      <c r="J58" s="1042">
        <f t="shared" si="16"/>
        <v>326</v>
      </c>
      <c r="K58" s="59">
        <f t="shared" si="4"/>
        <v>13619.999999999998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182">
        <f t="shared" si="8"/>
        <v>608.3599999999999</v>
      </c>
      <c r="V58" s="72">
        <f t="shared" si="17"/>
        <v>134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1012">
        <f t="shared" si="10"/>
        <v>227</v>
      </c>
      <c r="E59" s="1040">
        <v>45181</v>
      </c>
      <c r="F59" s="1012">
        <f t="shared" si="14"/>
        <v>227</v>
      </c>
      <c r="G59" s="844" t="s">
        <v>616</v>
      </c>
      <c r="H59" s="845">
        <v>50</v>
      </c>
      <c r="I59" s="1041">
        <f t="shared" si="6"/>
        <v>1253.0400000000031</v>
      </c>
      <c r="J59" s="1042">
        <f t="shared" si="16"/>
        <v>276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182">
        <f t="shared" si="8"/>
        <v>608.3599999999999</v>
      </c>
      <c r="V59" s="72">
        <f t="shared" si="17"/>
        <v>134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1012">
        <f t="shared" si="10"/>
        <v>13.620000000000001</v>
      </c>
      <c r="E60" s="1040">
        <v>45181</v>
      </c>
      <c r="F60" s="1012">
        <f t="shared" si="14"/>
        <v>13.620000000000001</v>
      </c>
      <c r="G60" s="844" t="s">
        <v>618</v>
      </c>
      <c r="H60" s="845">
        <v>50</v>
      </c>
      <c r="I60" s="1041">
        <f t="shared" si="6"/>
        <v>1239.4200000000033</v>
      </c>
      <c r="J60" s="1042">
        <f t="shared" si="16"/>
        <v>273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182">
        <f t="shared" si="8"/>
        <v>608.3599999999999</v>
      </c>
      <c r="V60" s="72">
        <f t="shared" si="17"/>
        <v>134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1012">
        <f t="shared" si="10"/>
        <v>181.6</v>
      </c>
      <c r="E61" s="1040">
        <v>45182</v>
      </c>
      <c r="F61" s="1012">
        <f t="shared" si="14"/>
        <v>181.6</v>
      </c>
      <c r="G61" s="844" t="s">
        <v>631</v>
      </c>
      <c r="H61" s="845">
        <v>50</v>
      </c>
      <c r="I61" s="1041">
        <f t="shared" si="6"/>
        <v>1057.8200000000033</v>
      </c>
      <c r="J61" s="1042">
        <f t="shared" si="16"/>
        <v>233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182">
        <f t="shared" si="8"/>
        <v>608.3599999999999</v>
      </c>
      <c r="V61" s="72">
        <f t="shared" si="17"/>
        <v>134</v>
      </c>
      <c r="W61" s="59">
        <f t="shared" si="5"/>
        <v>0</v>
      </c>
    </row>
    <row r="62" spans="1:23" x14ac:dyDescent="0.25">
      <c r="B62" s="129">
        <v>4.54</v>
      </c>
      <c r="C62" s="15">
        <v>1</v>
      </c>
      <c r="D62" s="1012">
        <f t="shared" si="10"/>
        <v>4.54</v>
      </c>
      <c r="E62" s="1040">
        <v>45182</v>
      </c>
      <c r="F62" s="1012">
        <f t="shared" si="14"/>
        <v>4.54</v>
      </c>
      <c r="G62" s="844" t="s">
        <v>635</v>
      </c>
      <c r="H62" s="845">
        <v>40</v>
      </c>
      <c r="I62" s="1041">
        <f t="shared" si="6"/>
        <v>1053.2800000000034</v>
      </c>
      <c r="J62" s="1042">
        <f t="shared" si="16"/>
        <v>232</v>
      </c>
      <c r="K62" s="59">
        <f t="shared" si="4"/>
        <v>181.6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182">
        <f t="shared" si="8"/>
        <v>608.3599999999999</v>
      </c>
      <c r="V62" s="72">
        <f t="shared" si="17"/>
        <v>134</v>
      </c>
      <c r="W62" s="59">
        <f t="shared" si="5"/>
        <v>0</v>
      </c>
    </row>
    <row r="63" spans="1:23" x14ac:dyDescent="0.25">
      <c r="B63" s="129">
        <v>4.54</v>
      </c>
      <c r="C63" s="15">
        <v>3</v>
      </c>
      <c r="D63" s="1012">
        <f t="shared" si="10"/>
        <v>13.620000000000001</v>
      </c>
      <c r="E63" s="1040">
        <v>45182</v>
      </c>
      <c r="F63" s="1012">
        <f t="shared" si="14"/>
        <v>13.620000000000001</v>
      </c>
      <c r="G63" s="844" t="s">
        <v>644</v>
      </c>
      <c r="H63" s="845">
        <v>50</v>
      </c>
      <c r="I63" s="1041">
        <f t="shared" si="6"/>
        <v>1039.6600000000035</v>
      </c>
      <c r="J63" s="1042">
        <f t="shared" si="16"/>
        <v>229</v>
      </c>
      <c r="K63" s="59">
        <f t="shared" si="4"/>
        <v>681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182">
        <f t="shared" si="8"/>
        <v>608.3599999999999</v>
      </c>
      <c r="V63" s="72">
        <f t="shared" si="17"/>
        <v>134</v>
      </c>
      <c r="W63" s="59">
        <f t="shared" si="5"/>
        <v>0</v>
      </c>
    </row>
    <row r="64" spans="1:23" x14ac:dyDescent="0.25">
      <c r="B64" s="129">
        <v>4.54</v>
      </c>
      <c r="C64" s="15">
        <v>30</v>
      </c>
      <c r="D64" s="1012">
        <f t="shared" si="10"/>
        <v>136.19999999999999</v>
      </c>
      <c r="E64" s="1040">
        <v>45184</v>
      </c>
      <c r="F64" s="1012">
        <f t="shared" si="14"/>
        <v>136.19999999999999</v>
      </c>
      <c r="G64" s="844" t="s">
        <v>653</v>
      </c>
      <c r="H64" s="845">
        <v>50</v>
      </c>
      <c r="I64" s="1041">
        <f t="shared" si="6"/>
        <v>903.46000000000345</v>
      </c>
      <c r="J64" s="1042">
        <f t="shared" si="16"/>
        <v>199</v>
      </c>
      <c r="K64" s="59">
        <f t="shared" si="4"/>
        <v>6809.9999999999991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182">
        <f t="shared" si="8"/>
        <v>608.3599999999999</v>
      </c>
      <c r="V64" s="72">
        <f t="shared" si="17"/>
        <v>134</v>
      </c>
      <c r="W64" s="59">
        <f t="shared" si="5"/>
        <v>0</v>
      </c>
    </row>
    <row r="65" spans="2:23" x14ac:dyDescent="0.25">
      <c r="B65" s="129">
        <v>4.54</v>
      </c>
      <c r="C65" s="15">
        <v>50</v>
      </c>
      <c r="D65" s="1012">
        <f t="shared" si="10"/>
        <v>227</v>
      </c>
      <c r="E65" s="1040">
        <v>45185</v>
      </c>
      <c r="F65" s="1012">
        <f t="shared" si="14"/>
        <v>227</v>
      </c>
      <c r="G65" s="844" t="s">
        <v>662</v>
      </c>
      <c r="H65" s="845">
        <v>50</v>
      </c>
      <c r="I65" s="1041">
        <f t="shared" si="6"/>
        <v>676.46000000000345</v>
      </c>
      <c r="J65" s="1042">
        <f t="shared" si="16"/>
        <v>149</v>
      </c>
      <c r="K65" s="59">
        <f t="shared" si="4"/>
        <v>11350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182">
        <f t="shared" si="8"/>
        <v>608.3599999999999</v>
      </c>
      <c r="V65" s="72">
        <f t="shared" si="17"/>
        <v>134</v>
      </c>
      <c r="W65" s="59">
        <f t="shared" si="5"/>
        <v>0</v>
      </c>
    </row>
    <row r="66" spans="2:23" x14ac:dyDescent="0.25">
      <c r="B66" s="129">
        <v>4.54</v>
      </c>
      <c r="C66" s="15">
        <v>5</v>
      </c>
      <c r="D66" s="1012">
        <f t="shared" si="10"/>
        <v>22.7</v>
      </c>
      <c r="E66" s="1040">
        <v>45187</v>
      </c>
      <c r="F66" s="1012">
        <f t="shared" si="14"/>
        <v>22.7</v>
      </c>
      <c r="G66" s="844" t="s">
        <v>666</v>
      </c>
      <c r="H66" s="845">
        <v>50</v>
      </c>
      <c r="I66" s="1041">
        <f t="shared" si="6"/>
        <v>653.7600000000034</v>
      </c>
      <c r="J66" s="1042">
        <f t="shared" si="16"/>
        <v>144</v>
      </c>
      <c r="K66" s="59">
        <f t="shared" si="4"/>
        <v>1135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182">
        <f t="shared" si="8"/>
        <v>608.3599999999999</v>
      </c>
      <c r="V66" s="72">
        <f t="shared" si="17"/>
        <v>134</v>
      </c>
      <c r="W66" s="59">
        <f t="shared" si="5"/>
        <v>0</v>
      </c>
    </row>
    <row r="67" spans="2:23" x14ac:dyDescent="0.25">
      <c r="B67" s="129">
        <v>4.54</v>
      </c>
      <c r="C67" s="15">
        <v>3</v>
      </c>
      <c r="D67" s="1012">
        <f t="shared" si="10"/>
        <v>13.620000000000001</v>
      </c>
      <c r="E67" s="1040">
        <v>45187</v>
      </c>
      <c r="F67" s="1012">
        <f t="shared" si="14"/>
        <v>13.620000000000001</v>
      </c>
      <c r="G67" s="844" t="s">
        <v>667</v>
      </c>
      <c r="H67" s="845">
        <v>50</v>
      </c>
      <c r="I67" s="1041">
        <f t="shared" si="6"/>
        <v>640.1400000000034</v>
      </c>
      <c r="J67" s="1042">
        <f t="shared" si="16"/>
        <v>141</v>
      </c>
      <c r="K67" s="59">
        <f t="shared" si="4"/>
        <v>681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182">
        <f t="shared" si="8"/>
        <v>608.3599999999999</v>
      </c>
      <c r="V67" s="72">
        <f t="shared" si="17"/>
        <v>134</v>
      </c>
      <c r="W67" s="59">
        <f t="shared" si="5"/>
        <v>0</v>
      </c>
    </row>
    <row r="68" spans="2:23" x14ac:dyDescent="0.25">
      <c r="B68" s="129">
        <v>4.54</v>
      </c>
      <c r="C68" s="15">
        <v>30</v>
      </c>
      <c r="D68" s="1012">
        <f t="shared" si="10"/>
        <v>136.19999999999999</v>
      </c>
      <c r="E68" s="1040">
        <v>45187</v>
      </c>
      <c r="F68" s="1012">
        <f t="shared" si="14"/>
        <v>136.19999999999999</v>
      </c>
      <c r="G68" s="844" t="s">
        <v>657</v>
      </c>
      <c r="H68" s="845">
        <v>50</v>
      </c>
      <c r="I68" s="1041">
        <f t="shared" si="6"/>
        <v>503.94000000000341</v>
      </c>
      <c r="J68" s="1042">
        <f t="shared" si="16"/>
        <v>111</v>
      </c>
      <c r="K68" s="59">
        <f t="shared" si="4"/>
        <v>6809.9999999999991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182">
        <f t="shared" si="8"/>
        <v>608.3599999999999</v>
      </c>
      <c r="V68" s="72">
        <f t="shared" si="17"/>
        <v>134</v>
      </c>
      <c r="W68" s="59">
        <f t="shared" si="5"/>
        <v>0</v>
      </c>
    </row>
    <row r="69" spans="2:23" x14ac:dyDescent="0.25">
      <c r="B69" s="129">
        <v>4.54</v>
      </c>
      <c r="C69" s="15">
        <v>5</v>
      </c>
      <c r="D69" s="1012">
        <f t="shared" si="10"/>
        <v>22.7</v>
      </c>
      <c r="E69" s="1040">
        <v>45189</v>
      </c>
      <c r="F69" s="1012">
        <f t="shared" si="14"/>
        <v>22.7</v>
      </c>
      <c r="G69" s="844" t="s">
        <v>689</v>
      </c>
      <c r="H69" s="845">
        <v>50</v>
      </c>
      <c r="I69" s="1041">
        <f t="shared" si="6"/>
        <v>481.24000000000342</v>
      </c>
      <c r="J69" s="1042">
        <f t="shared" si="16"/>
        <v>106</v>
      </c>
      <c r="K69" s="59">
        <f t="shared" si="4"/>
        <v>1135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182">
        <f t="shared" si="8"/>
        <v>608.3599999999999</v>
      </c>
      <c r="V69" s="72">
        <f t="shared" si="17"/>
        <v>134</v>
      </c>
      <c r="W69" s="59">
        <f t="shared" si="5"/>
        <v>0</v>
      </c>
    </row>
    <row r="70" spans="2:23" x14ac:dyDescent="0.25">
      <c r="B70" s="129">
        <v>4.54</v>
      </c>
      <c r="C70" s="15">
        <v>60</v>
      </c>
      <c r="D70" s="1012">
        <f t="shared" si="10"/>
        <v>272.39999999999998</v>
      </c>
      <c r="E70" s="1040">
        <v>45189</v>
      </c>
      <c r="F70" s="1012">
        <f t="shared" si="14"/>
        <v>272.39999999999998</v>
      </c>
      <c r="G70" s="844" t="s">
        <v>690</v>
      </c>
      <c r="H70" s="845">
        <v>50</v>
      </c>
      <c r="I70" s="1041">
        <f t="shared" si="6"/>
        <v>208.84000000000344</v>
      </c>
      <c r="J70" s="1042">
        <f t="shared" si="16"/>
        <v>46</v>
      </c>
      <c r="K70" s="59">
        <f t="shared" si="4"/>
        <v>13619.999999999998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182">
        <f t="shared" si="8"/>
        <v>608.3599999999999</v>
      </c>
      <c r="V70" s="72">
        <f t="shared" si="17"/>
        <v>134</v>
      </c>
      <c r="W70" s="59">
        <f t="shared" si="5"/>
        <v>0</v>
      </c>
    </row>
    <row r="71" spans="2:23" x14ac:dyDescent="0.25">
      <c r="B71" s="129">
        <v>4.54</v>
      </c>
      <c r="C71" s="15">
        <v>20</v>
      </c>
      <c r="D71" s="1012">
        <f t="shared" si="10"/>
        <v>90.8</v>
      </c>
      <c r="E71" s="1040">
        <v>45190</v>
      </c>
      <c r="F71" s="1012">
        <f t="shared" si="14"/>
        <v>90.8</v>
      </c>
      <c r="G71" s="844" t="s">
        <v>686</v>
      </c>
      <c r="H71" s="845">
        <v>50</v>
      </c>
      <c r="I71" s="1041">
        <f t="shared" si="6"/>
        <v>118.04000000000345</v>
      </c>
      <c r="J71" s="1042">
        <f t="shared" si="16"/>
        <v>26</v>
      </c>
      <c r="K71" s="59">
        <f t="shared" si="4"/>
        <v>4540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182">
        <f t="shared" si="8"/>
        <v>608.3599999999999</v>
      </c>
      <c r="V71" s="72">
        <f t="shared" si="17"/>
        <v>134</v>
      </c>
      <c r="W71" s="59">
        <f t="shared" si="5"/>
        <v>0</v>
      </c>
    </row>
    <row r="72" spans="2:23" x14ac:dyDescent="0.25">
      <c r="B72" s="129">
        <v>4.54</v>
      </c>
      <c r="C72" s="15">
        <v>22</v>
      </c>
      <c r="D72" s="1012">
        <f t="shared" si="10"/>
        <v>99.88</v>
      </c>
      <c r="E72" s="1040">
        <v>45191</v>
      </c>
      <c r="F72" s="1012">
        <f t="shared" si="14"/>
        <v>99.88</v>
      </c>
      <c r="G72" s="844" t="s">
        <v>698</v>
      </c>
      <c r="H72" s="845">
        <v>50</v>
      </c>
      <c r="I72" s="1041">
        <f t="shared" si="6"/>
        <v>18.16000000000345</v>
      </c>
      <c r="J72" s="1042">
        <f t="shared" si="16"/>
        <v>4</v>
      </c>
      <c r="K72" s="59">
        <f t="shared" si="4"/>
        <v>4994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182">
        <f t="shared" si="8"/>
        <v>608.3599999999999</v>
      </c>
      <c r="V72" s="72">
        <f t="shared" si="17"/>
        <v>134</v>
      </c>
      <c r="W72" s="59">
        <f t="shared" si="5"/>
        <v>0</v>
      </c>
    </row>
    <row r="73" spans="2:23" x14ac:dyDescent="0.25">
      <c r="B73" s="129">
        <v>4.54</v>
      </c>
      <c r="C73" s="15"/>
      <c r="D73" s="1012">
        <f t="shared" si="10"/>
        <v>0</v>
      </c>
      <c r="E73" s="1040"/>
      <c r="F73" s="1012">
        <f t="shared" si="14"/>
        <v>0</v>
      </c>
      <c r="G73" s="844"/>
      <c r="H73" s="845"/>
      <c r="I73" s="1041">
        <f t="shared" si="6"/>
        <v>18.16000000000345</v>
      </c>
      <c r="J73" s="1042">
        <f t="shared" si="16"/>
        <v>4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182">
        <f t="shared" si="8"/>
        <v>608.3599999999999</v>
      </c>
      <c r="V73" s="72">
        <f t="shared" si="17"/>
        <v>134</v>
      </c>
      <c r="W73" s="59">
        <f t="shared" si="5"/>
        <v>0</v>
      </c>
    </row>
    <row r="74" spans="2:23" x14ac:dyDescent="0.25">
      <c r="B74" s="129">
        <v>4.54</v>
      </c>
      <c r="C74" s="15"/>
      <c r="D74" s="1012">
        <f t="shared" ref="D74:D109" si="18">C74*B74</f>
        <v>0</v>
      </c>
      <c r="E74" s="1040"/>
      <c r="F74" s="1012">
        <f t="shared" si="14"/>
        <v>0</v>
      </c>
      <c r="G74" s="844"/>
      <c r="H74" s="845"/>
      <c r="I74" s="1041">
        <f t="shared" si="6"/>
        <v>18.16000000000345</v>
      </c>
      <c r="J74" s="1042">
        <f t="shared" si="16"/>
        <v>4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8"/>
        <v>608.3599999999999</v>
      </c>
      <c r="V74" s="72">
        <f t="shared" si="17"/>
        <v>134</v>
      </c>
      <c r="W74" s="59">
        <f t="shared" si="5"/>
        <v>0</v>
      </c>
    </row>
    <row r="75" spans="2:23" x14ac:dyDescent="0.25">
      <c r="B75" s="129">
        <v>4.54</v>
      </c>
      <c r="C75" s="15"/>
      <c r="D75" s="1012">
        <f t="shared" si="18"/>
        <v>0</v>
      </c>
      <c r="E75" s="1040"/>
      <c r="F75" s="1012">
        <f t="shared" si="14"/>
        <v>0</v>
      </c>
      <c r="G75" s="844"/>
      <c r="H75" s="845"/>
      <c r="I75" s="1041">
        <f t="shared" si="6"/>
        <v>18.16000000000345</v>
      </c>
      <c r="J75" s="1042">
        <f t="shared" si="16"/>
        <v>4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8"/>
        <v>608.3599999999999</v>
      </c>
      <c r="V75" s="72">
        <f t="shared" si="17"/>
        <v>134</v>
      </c>
      <c r="W75" s="59">
        <f t="shared" si="5"/>
        <v>0</v>
      </c>
    </row>
    <row r="76" spans="2:23" x14ac:dyDescent="0.25">
      <c r="B76" s="129">
        <v>4.54</v>
      </c>
      <c r="C76" s="15">
        <v>4</v>
      </c>
      <c r="D76" s="1012">
        <f t="shared" si="18"/>
        <v>18.16</v>
      </c>
      <c r="E76" s="1040"/>
      <c r="F76" s="1257">
        <f t="shared" si="14"/>
        <v>18.16</v>
      </c>
      <c r="G76" s="1258"/>
      <c r="H76" s="1259"/>
      <c r="I76" s="1373">
        <f t="shared" ref="I76:I108" si="20">I75-F76</f>
        <v>3.4496849821152864E-12</v>
      </c>
      <c r="J76" s="1374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608.3599999999999</v>
      </c>
      <c r="V76" s="72">
        <f t="shared" si="17"/>
        <v>134</v>
      </c>
      <c r="W76" s="59">
        <f t="shared" si="5"/>
        <v>0</v>
      </c>
    </row>
    <row r="77" spans="2:23" x14ac:dyDescent="0.25">
      <c r="B77" s="129">
        <v>4.54</v>
      </c>
      <c r="C77" s="15"/>
      <c r="D77" s="1012">
        <f t="shared" si="18"/>
        <v>0</v>
      </c>
      <c r="E77" s="1040"/>
      <c r="F77" s="1257">
        <f t="shared" si="14"/>
        <v>0</v>
      </c>
      <c r="G77" s="1258"/>
      <c r="H77" s="1259"/>
      <c r="I77" s="1373">
        <f t="shared" si="20"/>
        <v>3.4496849821152864E-12</v>
      </c>
      <c r="J77" s="1374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608.3599999999999</v>
      </c>
      <c r="V77" s="72">
        <f t="shared" si="17"/>
        <v>134</v>
      </c>
      <c r="W77" s="59">
        <f t="shared" si="5"/>
        <v>0</v>
      </c>
    </row>
    <row r="78" spans="2:23" x14ac:dyDescent="0.25">
      <c r="B78" s="129">
        <v>4.54</v>
      </c>
      <c r="C78" s="15"/>
      <c r="D78" s="1012">
        <f t="shared" si="18"/>
        <v>0</v>
      </c>
      <c r="E78" s="1040"/>
      <c r="F78" s="1257">
        <f t="shared" si="14"/>
        <v>0</v>
      </c>
      <c r="G78" s="1258"/>
      <c r="H78" s="1259"/>
      <c r="I78" s="1373">
        <f t="shared" si="20"/>
        <v>3.4496849821152864E-12</v>
      </c>
      <c r="J78" s="1374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608.3599999999999</v>
      </c>
      <c r="V78" s="72">
        <f t="shared" si="17"/>
        <v>134</v>
      </c>
      <c r="W78" s="59">
        <f t="shared" si="5"/>
        <v>0</v>
      </c>
    </row>
    <row r="79" spans="2:23" x14ac:dyDescent="0.25">
      <c r="B79" s="129">
        <v>4.54</v>
      </c>
      <c r="C79" s="15"/>
      <c r="D79" s="1012">
        <f t="shared" si="18"/>
        <v>0</v>
      </c>
      <c r="E79" s="1040"/>
      <c r="F79" s="1257">
        <f t="shared" si="14"/>
        <v>0</v>
      </c>
      <c r="G79" s="1258"/>
      <c r="H79" s="1259"/>
      <c r="I79" s="1373">
        <f t="shared" si="20"/>
        <v>3.4496849821152864E-12</v>
      </c>
      <c r="J79" s="1374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608.3599999999999</v>
      </c>
      <c r="V79" s="72">
        <f t="shared" si="17"/>
        <v>134</v>
      </c>
      <c r="W79" s="59">
        <f t="shared" si="5"/>
        <v>0</v>
      </c>
    </row>
    <row r="80" spans="2:23" x14ac:dyDescent="0.25">
      <c r="B80" s="129">
        <v>4.54</v>
      </c>
      <c r="C80" s="15"/>
      <c r="D80" s="1012">
        <f t="shared" si="18"/>
        <v>0</v>
      </c>
      <c r="E80" s="1040"/>
      <c r="F80" s="1257">
        <f t="shared" si="14"/>
        <v>0</v>
      </c>
      <c r="G80" s="1258"/>
      <c r="H80" s="1259"/>
      <c r="I80" s="1373">
        <f t="shared" si="20"/>
        <v>3.4496849821152864E-12</v>
      </c>
      <c r="J80" s="1374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608.3599999999999</v>
      </c>
      <c r="V80" s="72">
        <f t="shared" si="17"/>
        <v>134</v>
      </c>
      <c r="W80" s="59">
        <f t="shared" si="5"/>
        <v>0</v>
      </c>
    </row>
    <row r="81" spans="2:23" x14ac:dyDescent="0.25">
      <c r="B81" s="129">
        <v>4.54</v>
      </c>
      <c r="C81" s="15"/>
      <c r="D81" s="1012">
        <f t="shared" si="18"/>
        <v>0</v>
      </c>
      <c r="E81" s="1040"/>
      <c r="F81" s="1257">
        <f t="shared" si="14"/>
        <v>0</v>
      </c>
      <c r="G81" s="1258"/>
      <c r="H81" s="1259"/>
      <c r="I81" s="1373">
        <f t="shared" si="20"/>
        <v>3.4496849821152864E-12</v>
      </c>
      <c r="J81" s="1374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608.3599999999999</v>
      </c>
      <c r="V81" s="72">
        <f t="shared" si="17"/>
        <v>134</v>
      </c>
      <c r="W81" s="59">
        <f t="shared" si="5"/>
        <v>0</v>
      </c>
    </row>
    <row r="82" spans="2:23" x14ac:dyDescent="0.25">
      <c r="B82" s="129">
        <v>4.54</v>
      </c>
      <c r="C82" s="15"/>
      <c r="D82" s="1012">
        <f t="shared" si="18"/>
        <v>0</v>
      </c>
      <c r="E82" s="1040"/>
      <c r="F82" s="1012">
        <f t="shared" si="14"/>
        <v>0</v>
      </c>
      <c r="G82" s="844"/>
      <c r="H82" s="845"/>
      <c r="I82" s="1041">
        <f t="shared" si="20"/>
        <v>3.4496849821152864E-12</v>
      </c>
      <c r="J82" s="104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608.3599999999999</v>
      </c>
      <c r="V82" s="72">
        <f t="shared" si="17"/>
        <v>134</v>
      </c>
      <c r="W82" s="59">
        <f t="shared" si="5"/>
        <v>0</v>
      </c>
    </row>
    <row r="83" spans="2:23" x14ac:dyDescent="0.25">
      <c r="B83" s="129">
        <v>4.54</v>
      </c>
      <c r="C83" s="15"/>
      <c r="D83" s="1012">
        <f t="shared" si="18"/>
        <v>0</v>
      </c>
      <c r="E83" s="1040"/>
      <c r="F83" s="1012">
        <f t="shared" si="14"/>
        <v>0</v>
      </c>
      <c r="G83" s="844"/>
      <c r="H83" s="845"/>
      <c r="I83" s="1041">
        <f t="shared" si="20"/>
        <v>3.4496849821152864E-12</v>
      </c>
      <c r="J83" s="104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608.3599999999999</v>
      </c>
      <c r="V83" s="72">
        <f t="shared" si="17"/>
        <v>134</v>
      </c>
      <c r="W83" s="59">
        <f t="shared" si="5"/>
        <v>0</v>
      </c>
    </row>
    <row r="84" spans="2:23" x14ac:dyDescent="0.25">
      <c r="B84" s="129">
        <v>4.54</v>
      </c>
      <c r="C84" s="15"/>
      <c r="D84" s="1012">
        <f t="shared" si="18"/>
        <v>0</v>
      </c>
      <c r="E84" s="1040"/>
      <c r="F84" s="1012">
        <f t="shared" si="14"/>
        <v>0</v>
      </c>
      <c r="G84" s="844"/>
      <c r="H84" s="845"/>
      <c r="I84" s="1041">
        <f t="shared" si="20"/>
        <v>3.4496849821152864E-12</v>
      </c>
      <c r="J84" s="104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608.3599999999999</v>
      </c>
      <c r="V84" s="72">
        <f t="shared" si="17"/>
        <v>134</v>
      </c>
      <c r="W84" s="59">
        <f t="shared" si="5"/>
        <v>0</v>
      </c>
    </row>
    <row r="85" spans="2:23" x14ac:dyDescent="0.25">
      <c r="B85" s="129">
        <v>4.54</v>
      </c>
      <c r="C85" s="15"/>
      <c r="D85" s="1012">
        <f t="shared" si="18"/>
        <v>0</v>
      </c>
      <c r="E85" s="1040"/>
      <c r="F85" s="1012">
        <f t="shared" si="14"/>
        <v>0</v>
      </c>
      <c r="G85" s="844"/>
      <c r="H85" s="845"/>
      <c r="I85" s="1041">
        <f t="shared" si="20"/>
        <v>3.4496849821152864E-12</v>
      </c>
      <c r="J85" s="104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608.3599999999999</v>
      </c>
      <c r="V85" s="72">
        <f t="shared" si="17"/>
        <v>134</v>
      </c>
      <c r="W85" s="59">
        <f t="shared" si="5"/>
        <v>0</v>
      </c>
    </row>
    <row r="86" spans="2:23" x14ac:dyDescent="0.25">
      <c r="B86" s="129">
        <v>4.54</v>
      </c>
      <c r="C86" s="15"/>
      <c r="D86" s="1012">
        <f t="shared" si="18"/>
        <v>0</v>
      </c>
      <c r="E86" s="1040"/>
      <c r="F86" s="1012">
        <f t="shared" si="14"/>
        <v>0</v>
      </c>
      <c r="G86" s="844"/>
      <c r="H86" s="845"/>
      <c r="I86" s="1041">
        <f t="shared" si="20"/>
        <v>3.4496849821152864E-12</v>
      </c>
      <c r="J86" s="104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608.3599999999999</v>
      </c>
      <c r="V86" s="72">
        <f t="shared" si="17"/>
        <v>134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1012">
        <f t="shared" si="18"/>
        <v>0</v>
      </c>
      <c r="E87" s="1040"/>
      <c r="F87" s="1012">
        <f t="shared" si="14"/>
        <v>0</v>
      </c>
      <c r="G87" s="844"/>
      <c r="H87" s="845"/>
      <c r="I87" s="1041">
        <f t="shared" si="20"/>
        <v>3.4496849821152864E-12</v>
      </c>
      <c r="J87" s="104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608.3599999999999</v>
      </c>
      <c r="V87" s="72">
        <f t="shared" si="17"/>
        <v>134</v>
      </c>
      <c r="W87" s="59">
        <f t="shared" si="23"/>
        <v>0</v>
      </c>
    </row>
    <row r="88" spans="2:23" x14ac:dyDescent="0.25">
      <c r="B88" s="129">
        <v>4.54</v>
      </c>
      <c r="C88" s="15"/>
      <c r="D88" s="1012">
        <f t="shared" si="18"/>
        <v>0</v>
      </c>
      <c r="E88" s="1040"/>
      <c r="F88" s="1012">
        <f t="shared" si="14"/>
        <v>0</v>
      </c>
      <c r="G88" s="844"/>
      <c r="H88" s="845"/>
      <c r="I88" s="1041">
        <f t="shared" si="20"/>
        <v>3.4496849821152864E-12</v>
      </c>
      <c r="J88" s="104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608.3599999999999</v>
      </c>
      <c r="V88" s="72">
        <f t="shared" si="17"/>
        <v>134</v>
      </c>
      <c r="W88" s="59">
        <f t="shared" si="23"/>
        <v>0</v>
      </c>
    </row>
    <row r="89" spans="2:23" x14ac:dyDescent="0.25">
      <c r="B89" s="129">
        <v>4.54</v>
      </c>
      <c r="C89" s="15"/>
      <c r="D89" s="1012">
        <f t="shared" si="18"/>
        <v>0</v>
      </c>
      <c r="E89" s="1040"/>
      <c r="F89" s="1012">
        <f t="shared" si="14"/>
        <v>0</v>
      </c>
      <c r="G89" s="844"/>
      <c r="H89" s="845"/>
      <c r="I89" s="1041">
        <f t="shared" si="20"/>
        <v>3.4496849821152864E-12</v>
      </c>
      <c r="J89" s="104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608.3599999999999</v>
      </c>
      <c r="V89" s="72">
        <f t="shared" si="17"/>
        <v>134</v>
      </c>
      <c r="W89" s="59">
        <f t="shared" si="23"/>
        <v>0</v>
      </c>
    </row>
    <row r="90" spans="2:23" x14ac:dyDescent="0.25">
      <c r="B90" s="129">
        <v>4.54</v>
      </c>
      <c r="C90" s="15"/>
      <c r="D90" s="1012">
        <f t="shared" si="18"/>
        <v>0</v>
      </c>
      <c r="E90" s="1040"/>
      <c r="F90" s="1012">
        <f t="shared" si="14"/>
        <v>0</v>
      </c>
      <c r="G90" s="844"/>
      <c r="H90" s="845"/>
      <c r="I90" s="1041">
        <f t="shared" si="20"/>
        <v>3.4496849821152864E-12</v>
      </c>
      <c r="J90" s="104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608.3599999999999</v>
      </c>
      <c r="V90" s="72">
        <f t="shared" si="17"/>
        <v>134</v>
      </c>
      <c r="W90" s="59">
        <f t="shared" si="23"/>
        <v>0</v>
      </c>
    </row>
    <row r="91" spans="2:23" x14ac:dyDescent="0.25">
      <c r="B91" s="129">
        <v>4.54</v>
      </c>
      <c r="C91" s="15"/>
      <c r="D91" s="1012">
        <f t="shared" si="18"/>
        <v>0</v>
      </c>
      <c r="E91" s="1040"/>
      <c r="F91" s="1012">
        <f t="shared" si="14"/>
        <v>0</v>
      </c>
      <c r="G91" s="844"/>
      <c r="H91" s="845"/>
      <c r="I91" s="1041">
        <f t="shared" si="20"/>
        <v>3.4496849821152864E-12</v>
      </c>
      <c r="J91" s="104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608.3599999999999</v>
      </c>
      <c r="V91" s="72">
        <f t="shared" si="17"/>
        <v>134</v>
      </c>
      <c r="W91" s="59">
        <f t="shared" si="23"/>
        <v>0</v>
      </c>
    </row>
    <row r="92" spans="2:23" x14ac:dyDescent="0.25">
      <c r="B92" s="129">
        <v>4.54</v>
      </c>
      <c r="C92" s="15"/>
      <c r="D92" s="1012">
        <f t="shared" si="18"/>
        <v>0</v>
      </c>
      <c r="E92" s="1040"/>
      <c r="F92" s="1012">
        <f t="shared" si="14"/>
        <v>0</v>
      </c>
      <c r="G92" s="844"/>
      <c r="H92" s="845"/>
      <c r="I92" s="1041">
        <f t="shared" si="20"/>
        <v>3.4496849821152864E-12</v>
      </c>
      <c r="J92" s="104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608.3599999999999</v>
      </c>
      <c r="V92" s="72">
        <f t="shared" si="17"/>
        <v>134</v>
      </c>
      <c r="W92" s="59">
        <f t="shared" si="23"/>
        <v>0</v>
      </c>
    </row>
    <row r="93" spans="2:23" x14ac:dyDescent="0.25">
      <c r="B93" s="129">
        <v>4.54</v>
      </c>
      <c r="C93" s="15"/>
      <c r="D93" s="1012">
        <f t="shared" si="18"/>
        <v>0</v>
      </c>
      <c r="E93" s="1040"/>
      <c r="F93" s="1012">
        <f t="shared" si="14"/>
        <v>0</v>
      </c>
      <c r="G93" s="844"/>
      <c r="H93" s="845"/>
      <c r="I93" s="1041">
        <f t="shared" si="20"/>
        <v>3.4496849821152864E-12</v>
      </c>
      <c r="J93" s="104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608.3599999999999</v>
      </c>
      <c r="V93" s="72">
        <f t="shared" si="17"/>
        <v>134</v>
      </c>
      <c r="W93" s="59">
        <f t="shared" si="23"/>
        <v>0</v>
      </c>
    </row>
    <row r="94" spans="2:23" x14ac:dyDescent="0.25">
      <c r="B94" s="129">
        <v>4.54</v>
      </c>
      <c r="C94" s="15"/>
      <c r="D94" s="1012">
        <f t="shared" si="18"/>
        <v>0</v>
      </c>
      <c r="E94" s="1040"/>
      <c r="F94" s="1012">
        <f t="shared" si="14"/>
        <v>0</v>
      </c>
      <c r="G94" s="844"/>
      <c r="H94" s="845"/>
      <c r="I94" s="1041">
        <f t="shared" si="20"/>
        <v>3.4496849821152864E-12</v>
      </c>
      <c r="J94" s="104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608.3599999999999</v>
      </c>
      <c r="V94" s="72">
        <f t="shared" si="17"/>
        <v>134</v>
      </c>
      <c r="W94" s="59">
        <f t="shared" si="23"/>
        <v>0</v>
      </c>
    </row>
    <row r="95" spans="2:23" x14ac:dyDescent="0.25">
      <c r="B95" s="129">
        <v>4.54</v>
      </c>
      <c r="C95" s="15"/>
      <c r="D95" s="1012">
        <f t="shared" si="18"/>
        <v>0</v>
      </c>
      <c r="E95" s="1040"/>
      <c r="F95" s="1012">
        <f t="shared" si="14"/>
        <v>0</v>
      </c>
      <c r="G95" s="844"/>
      <c r="H95" s="845"/>
      <c r="I95" s="1041">
        <f t="shared" si="20"/>
        <v>3.4496849821152864E-12</v>
      </c>
      <c r="J95" s="104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608.3599999999999</v>
      </c>
      <c r="V95" s="72">
        <f t="shared" si="17"/>
        <v>134</v>
      </c>
      <c r="W95" s="59">
        <f t="shared" si="23"/>
        <v>0</v>
      </c>
    </row>
    <row r="96" spans="2:23" x14ac:dyDescent="0.25">
      <c r="B96" s="129">
        <v>4.54</v>
      </c>
      <c r="C96" s="15"/>
      <c r="D96" s="1012">
        <f t="shared" si="18"/>
        <v>0</v>
      </c>
      <c r="E96" s="1040"/>
      <c r="F96" s="1012">
        <f t="shared" si="14"/>
        <v>0</v>
      </c>
      <c r="G96" s="844"/>
      <c r="H96" s="845"/>
      <c r="I96" s="1041">
        <f t="shared" si="20"/>
        <v>3.4496849821152864E-12</v>
      </c>
      <c r="J96" s="104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608.3599999999999</v>
      </c>
      <c r="V96" s="72">
        <f t="shared" si="17"/>
        <v>134</v>
      </c>
      <c r="W96" s="59">
        <f t="shared" si="23"/>
        <v>0</v>
      </c>
    </row>
    <row r="97" spans="2:23" x14ac:dyDescent="0.25">
      <c r="B97" s="129">
        <v>4.54</v>
      </c>
      <c r="C97" s="15"/>
      <c r="D97" s="1012">
        <f t="shared" si="18"/>
        <v>0</v>
      </c>
      <c r="E97" s="1040"/>
      <c r="F97" s="1012">
        <f t="shared" si="14"/>
        <v>0</v>
      </c>
      <c r="G97" s="844"/>
      <c r="H97" s="845"/>
      <c r="I97" s="1041">
        <f t="shared" si="20"/>
        <v>3.4496849821152864E-12</v>
      </c>
      <c r="J97" s="104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608.3599999999999</v>
      </c>
      <c r="V97" s="72">
        <f t="shared" si="17"/>
        <v>134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3.4496849821152864E-12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608.3599999999999</v>
      </c>
      <c r="V98" s="72">
        <f t="shared" si="17"/>
        <v>134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3.4496849821152864E-12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608.3599999999999</v>
      </c>
      <c r="V99" s="72">
        <f t="shared" si="17"/>
        <v>134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3.4496849821152864E-12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608.3599999999999</v>
      </c>
      <c r="V100" s="72">
        <f t="shared" si="17"/>
        <v>134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3.4496849821152864E-12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608.3599999999999</v>
      </c>
      <c r="V101" s="72">
        <f t="shared" si="17"/>
        <v>134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3.4496849821152864E-12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608.3599999999999</v>
      </c>
      <c r="V102" s="72">
        <f t="shared" si="17"/>
        <v>134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3.4496849821152864E-12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608.3599999999999</v>
      </c>
      <c r="V103" s="72">
        <f t="shared" si="17"/>
        <v>134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3.4496849821152864E-12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608.3599999999999</v>
      </c>
      <c r="V104" s="72">
        <f t="shared" si="17"/>
        <v>134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3.4496849821152864E-12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608.3599999999999</v>
      </c>
      <c r="V105" s="72">
        <f t="shared" si="17"/>
        <v>134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3.4496849821152864E-12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608.3599999999999</v>
      </c>
      <c r="V106" s="72">
        <f t="shared" si="17"/>
        <v>134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3.4496849821152864E-12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608.3599999999999</v>
      </c>
      <c r="V107" s="72">
        <f t="shared" si="17"/>
        <v>134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3.4496849821152864E-12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608.3599999999999</v>
      </c>
      <c r="V108" s="72">
        <f t="shared" ref="V108" si="25">V107-O108</f>
        <v>134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3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83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1556</v>
      </c>
      <c r="D110" s="6">
        <f>SUM(D10:D109)</f>
        <v>7064.2399999999971</v>
      </c>
      <c r="E110" s="13"/>
      <c r="F110" s="6">
        <f>SUM(F10:F109)</f>
        <v>7064.2399999999971</v>
      </c>
      <c r="G110" s="31"/>
      <c r="H110" s="17"/>
      <c r="I110" s="128"/>
      <c r="J110" s="72"/>
      <c r="O110" s="15">
        <f>SUM(O10:O109)</f>
        <v>311</v>
      </c>
      <c r="P110" s="6">
        <f>SUM(P10:P109)</f>
        <v>1411.94</v>
      </c>
      <c r="Q110" s="13"/>
      <c r="R110" s="6">
        <f>SUM(R10:R109)</f>
        <v>1411.94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-661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134</v>
      </c>
      <c r="Q112" s="40"/>
      <c r="R112" s="6"/>
      <c r="S112" s="31"/>
      <c r="T112" s="17"/>
      <c r="U112" s="128"/>
      <c r="V112" s="72"/>
    </row>
    <row r="113" spans="3:22" x14ac:dyDescent="0.25">
      <c r="C113" s="1656" t="s">
        <v>19</v>
      </c>
      <c r="D113" s="1657"/>
      <c r="E113" s="39">
        <f>E4+E5-F110+E6+E8</f>
        <v>-3000.939999999996</v>
      </c>
      <c r="F113" s="6"/>
      <c r="G113" s="6"/>
      <c r="H113" s="17"/>
      <c r="I113" s="128"/>
      <c r="J113" s="72"/>
      <c r="O113" s="1656" t="s">
        <v>19</v>
      </c>
      <c r="P113" s="1657"/>
      <c r="Q113" s="39">
        <f>Q4+Q5-R110+Q6+Q8</f>
        <v>608.36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23"/>
      <c r="D122" s="145"/>
      <c r="E122" s="102"/>
      <c r="F122" s="72"/>
      <c r="O122" s="62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topLeftCell="B1" workbookViewId="0">
      <pane ySplit="8" topLeftCell="A9" activePane="bottomLeft" state="frozen"/>
      <selection pane="bottomLeft" activeCell="L5" sqref="L5:O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93" t="s">
        <v>318</v>
      </c>
      <c r="B1" s="1593"/>
      <c r="C1" s="1593"/>
      <c r="D1" s="1593"/>
      <c r="E1" s="1593"/>
      <c r="F1" s="1593"/>
      <c r="G1" s="159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658" t="s">
        <v>330</v>
      </c>
      <c r="B5" s="1611" t="s">
        <v>107</v>
      </c>
      <c r="C5" s="715">
        <v>61</v>
      </c>
      <c r="D5" s="716">
        <v>45175</v>
      </c>
      <c r="E5" s="717">
        <v>492.78</v>
      </c>
      <c r="F5" s="133">
        <v>20</v>
      </c>
      <c r="G5" s="128">
        <f>F46</f>
        <v>492.78</v>
      </c>
      <c r="H5" s="134">
        <f>E4+E5-G5+E6+E7</f>
        <v>0</v>
      </c>
      <c r="L5" s="623">
        <v>41</v>
      </c>
      <c r="M5" s="145">
        <v>45194</v>
      </c>
      <c r="N5" s="102">
        <v>2002.14</v>
      </c>
      <c r="O5" s="72">
        <v>441</v>
      </c>
    </row>
    <row r="6" spans="1:15" ht="15.75" thickBot="1" x14ac:dyDescent="0.3">
      <c r="A6" s="1659"/>
      <c r="B6" s="1611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66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61"/>
    </row>
    <row r="9" spans="1:15" ht="15.75" thickTop="1" x14ac:dyDescent="0.25">
      <c r="A9" s="72"/>
      <c r="B9" s="376">
        <f>F4++F5+F6+F7-C9</f>
        <v>20</v>
      </c>
      <c r="C9" s="15"/>
      <c r="D9" s="91">
        <v>0</v>
      </c>
      <c r="E9" s="186">
        <v>0</v>
      </c>
      <c r="F9" s="68">
        <f>D9</f>
        <v>0</v>
      </c>
      <c r="G9" s="69"/>
      <c r="H9" s="70"/>
      <c r="I9" s="828">
        <f>E4+E5+E6+E7-F9</f>
        <v>492.78</v>
      </c>
    </row>
    <row r="10" spans="1:15" x14ac:dyDescent="0.25">
      <c r="B10" s="376">
        <f>B9-C10</f>
        <v>11</v>
      </c>
      <c r="C10" s="15">
        <v>9</v>
      </c>
      <c r="D10" s="91">
        <v>219.28</v>
      </c>
      <c r="E10" s="186">
        <v>45175</v>
      </c>
      <c r="F10" s="68">
        <f t="shared" ref="F10:F44" si="0">D10</f>
        <v>219.28</v>
      </c>
      <c r="G10" s="69" t="s">
        <v>550</v>
      </c>
      <c r="H10" s="70">
        <v>62</v>
      </c>
      <c r="I10" s="828">
        <f>I9-F10</f>
        <v>273.5</v>
      </c>
    </row>
    <row r="11" spans="1:15" x14ac:dyDescent="0.25">
      <c r="A11" s="54" t="s">
        <v>32</v>
      </c>
      <c r="B11" s="376">
        <f t="shared" ref="B11:B45" si="1">B10-C11</f>
        <v>6</v>
      </c>
      <c r="C11" s="15">
        <v>5</v>
      </c>
      <c r="D11" s="91">
        <v>128.35</v>
      </c>
      <c r="E11" s="186">
        <v>45176</v>
      </c>
      <c r="F11" s="68">
        <f t="shared" si="0"/>
        <v>128.35</v>
      </c>
      <c r="G11" s="69" t="s">
        <v>552</v>
      </c>
      <c r="H11" s="70">
        <v>63</v>
      </c>
      <c r="I11" s="828">
        <f t="shared" ref="I11:I45" si="2">I10-F11</f>
        <v>145.15</v>
      </c>
    </row>
    <row r="12" spans="1:15" x14ac:dyDescent="0.25">
      <c r="A12" s="84"/>
      <c r="B12" s="376">
        <f t="shared" si="1"/>
        <v>5</v>
      </c>
      <c r="C12" s="15">
        <v>1</v>
      </c>
      <c r="D12" s="91">
        <v>24.56</v>
      </c>
      <c r="E12" s="186">
        <v>45176</v>
      </c>
      <c r="F12" s="68">
        <f t="shared" si="0"/>
        <v>24.56</v>
      </c>
      <c r="G12" s="69" t="s">
        <v>555</v>
      </c>
      <c r="H12" s="70">
        <v>63</v>
      </c>
      <c r="I12" s="828">
        <f t="shared" si="2"/>
        <v>120.59</v>
      </c>
    </row>
    <row r="13" spans="1:15" x14ac:dyDescent="0.25">
      <c r="B13" s="376">
        <f t="shared" si="1"/>
        <v>0</v>
      </c>
      <c r="C13" s="15">
        <v>5</v>
      </c>
      <c r="D13" s="91">
        <v>120.59</v>
      </c>
      <c r="E13" s="186">
        <v>45176</v>
      </c>
      <c r="F13" s="68">
        <f t="shared" si="0"/>
        <v>120.59</v>
      </c>
      <c r="G13" s="69" t="s">
        <v>560</v>
      </c>
      <c r="H13" s="70">
        <v>63</v>
      </c>
      <c r="I13" s="828">
        <f t="shared" si="2"/>
        <v>0</v>
      </c>
    </row>
    <row r="14" spans="1:15" x14ac:dyDescent="0.25">
      <c r="A14" s="54" t="s">
        <v>33</v>
      </c>
      <c r="B14" s="376">
        <f t="shared" si="1"/>
        <v>0</v>
      </c>
      <c r="C14" s="15"/>
      <c r="D14" s="91"/>
      <c r="E14" s="186"/>
      <c r="F14" s="68">
        <f t="shared" si="0"/>
        <v>0</v>
      </c>
      <c r="G14" s="69"/>
      <c r="H14" s="70"/>
      <c r="I14" s="828">
        <f t="shared" si="2"/>
        <v>0</v>
      </c>
    </row>
    <row r="15" spans="1:15" x14ac:dyDescent="0.25">
      <c r="B15" s="376">
        <f t="shared" si="1"/>
        <v>0</v>
      </c>
      <c r="C15" s="15"/>
      <c r="D15" s="91"/>
      <c r="E15" s="186"/>
      <c r="F15" s="1269">
        <f t="shared" si="0"/>
        <v>0</v>
      </c>
      <c r="G15" s="1270"/>
      <c r="H15" s="1261"/>
      <c r="I15" s="1271">
        <f t="shared" si="2"/>
        <v>0</v>
      </c>
    </row>
    <row r="16" spans="1:15" x14ac:dyDescent="0.25">
      <c r="B16" s="376">
        <f t="shared" si="1"/>
        <v>0</v>
      </c>
      <c r="C16" s="15"/>
      <c r="D16" s="91"/>
      <c r="E16" s="186"/>
      <c r="F16" s="1269">
        <f t="shared" si="0"/>
        <v>0</v>
      </c>
      <c r="G16" s="1270"/>
      <c r="H16" s="1261"/>
      <c r="I16" s="1271">
        <f t="shared" si="2"/>
        <v>0</v>
      </c>
    </row>
    <row r="17" spans="2:9" x14ac:dyDescent="0.25">
      <c r="B17" s="376">
        <f t="shared" si="1"/>
        <v>0</v>
      </c>
      <c r="C17" s="15"/>
      <c r="D17" s="91"/>
      <c r="E17" s="186"/>
      <c r="F17" s="1269">
        <f t="shared" si="0"/>
        <v>0</v>
      </c>
      <c r="G17" s="1270"/>
      <c r="H17" s="1261"/>
      <c r="I17" s="1271">
        <f t="shared" si="2"/>
        <v>0</v>
      </c>
    </row>
    <row r="18" spans="2:9" x14ac:dyDescent="0.25">
      <c r="B18" s="376">
        <f t="shared" si="1"/>
        <v>0</v>
      </c>
      <c r="C18" s="15"/>
      <c r="D18" s="91"/>
      <c r="E18" s="186"/>
      <c r="F18" s="1269">
        <f t="shared" si="0"/>
        <v>0</v>
      </c>
      <c r="G18" s="1270"/>
      <c r="H18" s="1261"/>
      <c r="I18" s="1271">
        <f t="shared" si="2"/>
        <v>0</v>
      </c>
    </row>
    <row r="19" spans="2:9" x14ac:dyDescent="0.25">
      <c r="B19" s="376">
        <f t="shared" si="1"/>
        <v>0</v>
      </c>
      <c r="C19" s="15"/>
      <c r="D19" s="91"/>
      <c r="E19" s="186"/>
      <c r="F19" s="1269">
        <f t="shared" si="0"/>
        <v>0</v>
      </c>
      <c r="G19" s="1270"/>
      <c r="H19" s="1261"/>
      <c r="I19" s="1271">
        <f t="shared" si="2"/>
        <v>0</v>
      </c>
    </row>
    <row r="20" spans="2:9" x14ac:dyDescent="0.25">
      <c r="B20" s="376">
        <f t="shared" si="1"/>
        <v>0</v>
      </c>
      <c r="C20" s="15"/>
      <c r="D20" s="91"/>
      <c r="E20" s="186"/>
      <c r="F20" s="68">
        <f t="shared" si="0"/>
        <v>0</v>
      </c>
      <c r="G20" s="69"/>
      <c r="H20" s="70"/>
      <c r="I20" s="828">
        <f t="shared" si="2"/>
        <v>0</v>
      </c>
    </row>
    <row r="21" spans="2:9" x14ac:dyDescent="0.25">
      <c r="B21" s="376">
        <f t="shared" si="1"/>
        <v>0</v>
      </c>
      <c r="C21" s="15"/>
      <c r="D21" s="91"/>
      <c r="E21" s="186"/>
      <c r="F21" s="68">
        <f t="shared" si="0"/>
        <v>0</v>
      </c>
      <c r="G21" s="69"/>
      <c r="H21" s="70"/>
      <c r="I21" s="828">
        <f t="shared" si="2"/>
        <v>0</v>
      </c>
    </row>
    <row r="22" spans="2:9" x14ac:dyDescent="0.25">
      <c r="B22" s="376">
        <f t="shared" si="1"/>
        <v>0</v>
      </c>
      <c r="C22" s="15"/>
      <c r="D22" s="91"/>
      <c r="E22" s="186"/>
      <c r="F22" s="68">
        <f t="shared" si="0"/>
        <v>0</v>
      </c>
      <c r="G22" s="69"/>
      <c r="H22" s="70"/>
      <c r="I22" s="828">
        <f t="shared" si="2"/>
        <v>0</v>
      </c>
    </row>
    <row r="23" spans="2:9" x14ac:dyDescent="0.25">
      <c r="B23" s="376">
        <f t="shared" si="1"/>
        <v>0</v>
      </c>
      <c r="C23" s="15"/>
      <c r="D23" s="91"/>
      <c r="E23" s="186"/>
      <c r="F23" s="68">
        <f t="shared" si="0"/>
        <v>0</v>
      </c>
      <c r="G23" s="69"/>
      <c r="H23" s="70"/>
      <c r="I23" s="828">
        <f t="shared" si="2"/>
        <v>0</v>
      </c>
    </row>
    <row r="24" spans="2:9" x14ac:dyDescent="0.25">
      <c r="B24" s="376">
        <f t="shared" si="1"/>
        <v>0</v>
      </c>
      <c r="C24" s="15"/>
      <c r="D24" s="91"/>
      <c r="E24" s="186"/>
      <c r="F24" s="68">
        <f t="shared" si="0"/>
        <v>0</v>
      </c>
      <c r="G24" s="69"/>
      <c r="H24" s="70"/>
      <c r="I24" s="828">
        <f t="shared" si="2"/>
        <v>0</v>
      </c>
    </row>
    <row r="25" spans="2:9" x14ac:dyDescent="0.25">
      <c r="B25" s="376">
        <f t="shared" si="1"/>
        <v>0</v>
      </c>
      <c r="C25" s="15"/>
      <c r="D25" s="91"/>
      <c r="E25" s="186"/>
      <c r="F25" s="68">
        <f t="shared" si="0"/>
        <v>0</v>
      </c>
      <c r="G25" s="69"/>
      <c r="H25" s="70"/>
      <c r="I25" s="828">
        <f t="shared" si="2"/>
        <v>0</v>
      </c>
    </row>
    <row r="26" spans="2:9" x14ac:dyDescent="0.25">
      <c r="B26" s="376">
        <f t="shared" si="1"/>
        <v>0</v>
      </c>
      <c r="C26" s="15"/>
      <c r="D26" s="91"/>
      <c r="E26" s="186"/>
      <c r="F26" s="68">
        <f t="shared" si="0"/>
        <v>0</v>
      </c>
      <c r="G26" s="69"/>
      <c r="H26" s="70"/>
      <c r="I26" s="828">
        <f t="shared" si="2"/>
        <v>0</v>
      </c>
    </row>
    <row r="27" spans="2:9" x14ac:dyDescent="0.25">
      <c r="B27" s="376">
        <f t="shared" si="1"/>
        <v>0</v>
      </c>
      <c r="C27" s="15"/>
      <c r="D27" s="91"/>
      <c r="E27" s="186"/>
      <c r="F27" s="68">
        <f t="shared" si="0"/>
        <v>0</v>
      </c>
      <c r="G27" s="69"/>
      <c r="H27" s="70"/>
      <c r="I27" s="828">
        <f t="shared" si="2"/>
        <v>0</v>
      </c>
    </row>
    <row r="28" spans="2:9" x14ac:dyDescent="0.25">
      <c r="B28" s="376">
        <f t="shared" si="1"/>
        <v>0</v>
      </c>
      <c r="C28" s="15"/>
      <c r="D28" s="68"/>
      <c r="E28" s="186"/>
      <c r="F28" s="68">
        <f t="shared" si="0"/>
        <v>0</v>
      </c>
      <c r="G28" s="69"/>
      <c r="H28" s="70"/>
      <c r="I28" s="828">
        <f t="shared" si="2"/>
        <v>0</v>
      </c>
    </row>
    <row r="29" spans="2:9" x14ac:dyDescent="0.25">
      <c r="B29" s="376">
        <f t="shared" si="1"/>
        <v>0</v>
      </c>
      <c r="C29" s="15"/>
      <c r="D29" s="68"/>
      <c r="E29" s="186"/>
      <c r="F29" s="68">
        <f t="shared" si="0"/>
        <v>0</v>
      </c>
      <c r="G29" s="69"/>
      <c r="H29" s="70"/>
      <c r="I29" s="828">
        <f t="shared" si="2"/>
        <v>0</v>
      </c>
    </row>
    <row r="30" spans="2:9" x14ac:dyDescent="0.25">
      <c r="B30" s="376">
        <f t="shared" si="1"/>
        <v>0</v>
      </c>
      <c r="C30" s="15"/>
      <c r="D30" s="68"/>
      <c r="E30" s="186"/>
      <c r="F30" s="68">
        <f t="shared" si="0"/>
        <v>0</v>
      </c>
      <c r="G30" s="69"/>
      <c r="H30" s="70"/>
      <c r="I30" s="828">
        <f t="shared" si="2"/>
        <v>0</v>
      </c>
    </row>
    <row r="31" spans="2:9" x14ac:dyDescent="0.25">
      <c r="B31" s="376">
        <f t="shared" si="1"/>
        <v>0</v>
      </c>
      <c r="C31" s="15"/>
      <c r="D31" s="68"/>
      <c r="E31" s="186"/>
      <c r="F31" s="68">
        <f t="shared" si="0"/>
        <v>0</v>
      </c>
      <c r="G31" s="69"/>
      <c r="H31" s="70"/>
      <c r="I31" s="828">
        <f t="shared" si="2"/>
        <v>0</v>
      </c>
    </row>
    <row r="32" spans="2:9" x14ac:dyDescent="0.25">
      <c r="B32" s="376">
        <f t="shared" si="1"/>
        <v>0</v>
      </c>
      <c r="C32" s="15"/>
      <c r="D32" s="68"/>
      <c r="E32" s="186"/>
      <c r="F32" s="68">
        <f t="shared" si="0"/>
        <v>0</v>
      </c>
      <c r="G32" s="69"/>
      <c r="H32" s="70"/>
      <c r="I32" s="828">
        <f t="shared" si="2"/>
        <v>0</v>
      </c>
    </row>
    <row r="33" spans="2:9" x14ac:dyDescent="0.25">
      <c r="B33" s="376">
        <f t="shared" si="1"/>
        <v>0</v>
      </c>
      <c r="C33" s="15"/>
      <c r="D33" s="68"/>
      <c r="E33" s="186"/>
      <c r="F33" s="68">
        <f t="shared" si="0"/>
        <v>0</v>
      </c>
      <c r="G33" s="69"/>
      <c r="H33" s="70"/>
      <c r="I33" s="828">
        <f t="shared" si="2"/>
        <v>0</v>
      </c>
    </row>
    <row r="34" spans="2:9" x14ac:dyDescent="0.25">
      <c r="B34" s="376">
        <f t="shared" si="1"/>
        <v>0</v>
      </c>
      <c r="C34" s="15"/>
      <c r="D34" s="68"/>
      <c r="E34" s="186"/>
      <c r="F34" s="68">
        <f t="shared" si="0"/>
        <v>0</v>
      </c>
      <c r="G34" s="69"/>
      <c r="H34" s="70"/>
      <c r="I34" s="828">
        <f t="shared" si="2"/>
        <v>0</v>
      </c>
    </row>
    <row r="35" spans="2:9" x14ac:dyDescent="0.25">
      <c r="B35" s="376">
        <f t="shared" si="1"/>
        <v>0</v>
      </c>
      <c r="C35" s="15"/>
      <c r="D35" s="68"/>
      <c r="E35" s="186"/>
      <c r="F35" s="68">
        <f t="shared" si="0"/>
        <v>0</v>
      </c>
      <c r="G35" s="69"/>
      <c r="H35" s="70"/>
      <c r="I35" s="828">
        <f t="shared" si="2"/>
        <v>0</v>
      </c>
    </row>
    <row r="36" spans="2:9" x14ac:dyDescent="0.25">
      <c r="B36" s="376">
        <f t="shared" si="1"/>
        <v>0</v>
      </c>
      <c r="C36" s="15"/>
      <c r="D36" s="68"/>
      <c r="E36" s="186"/>
      <c r="F36" s="68">
        <f t="shared" si="0"/>
        <v>0</v>
      </c>
      <c r="G36" s="69"/>
      <c r="H36" s="70"/>
      <c r="I36" s="828">
        <f t="shared" si="2"/>
        <v>0</v>
      </c>
    </row>
    <row r="37" spans="2:9" x14ac:dyDescent="0.25">
      <c r="B37" s="376">
        <f t="shared" si="1"/>
        <v>0</v>
      </c>
      <c r="C37" s="15"/>
      <c r="D37" s="68"/>
      <c r="E37" s="186"/>
      <c r="F37" s="68">
        <f t="shared" si="0"/>
        <v>0</v>
      </c>
      <c r="G37" s="69"/>
      <c r="H37" s="70"/>
      <c r="I37" s="828">
        <f t="shared" si="2"/>
        <v>0</v>
      </c>
    </row>
    <row r="38" spans="2:9" x14ac:dyDescent="0.25">
      <c r="B38" s="376">
        <f t="shared" si="1"/>
        <v>0</v>
      </c>
      <c r="C38" s="15"/>
      <c r="D38" s="68"/>
      <c r="E38" s="186"/>
      <c r="F38" s="68">
        <f t="shared" si="0"/>
        <v>0</v>
      </c>
      <c r="G38" s="69"/>
      <c r="H38" s="70"/>
      <c r="I38" s="828">
        <f t="shared" si="2"/>
        <v>0</v>
      </c>
    </row>
    <row r="39" spans="2:9" x14ac:dyDescent="0.25">
      <c r="B39" s="376">
        <f t="shared" si="1"/>
        <v>0</v>
      </c>
      <c r="C39" s="15"/>
      <c r="D39" s="68"/>
      <c r="E39" s="186"/>
      <c r="F39" s="68">
        <f t="shared" si="0"/>
        <v>0</v>
      </c>
      <c r="G39" s="69"/>
      <c r="H39" s="70"/>
      <c r="I39" s="828">
        <f t="shared" si="2"/>
        <v>0</v>
      </c>
    </row>
    <row r="40" spans="2:9" x14ac:dyDescent="0.25">
      <c r="B40" s="376">
        <f t="shared" si="1"/>
        <v>0</v>
      </c>
      <c r="C40" s="15"/>
      <c r="D40" s="68"/>
      <c r="E40" s="186"/>
      <c r="F40" s="68">
        <f t="shared" si="0"/>
        <v>0</v>
      </c>
      <c r="G40" s="69"/>
      <c r="H40" s="70"/>
      <c r="I40" s="828">
        <f t="shared" si="2"/>
        <v>0</v>
      </c>
    </row>
    <row r="41" spans="2:9" x14ac:dyDescent="0.25">
      <c r="B41" s="376">
        <f t="shared" si="1"/>
        <v>0</v>
      </c>
      <c r="C41" s="15"/>
      <c r="D41" s="68"/>
      <c r="E41" s="186"/>
      <c r="F41" s="68">
        <f t="shared" si="0"/>
        <v>0</v>
      </c>
      <c r="G41" s="69"/>
      <c r="H41" s="70"/>
      <c r="I41" s="828">
        <f t="shared" si="2"/>
        <v>0</v>
      </c>
    </row>
    <row r="42" spans="2:9" x14ac:dyDescent="0.25">
      <c r="B42" s="376">
        <f t="shared" si="1"/>
        <v>0</v>
      </c>
      <c r="C42" s="15"/>
      <c r="D42" s="68"/>
      <c r="E42" s="186"/>
      <c r="F42" s="68">
        <f t="shared" si="0"/>
        <v>0</v>
      </c>
      <c r="G42" s="69"/>
      <c r="H42" s="70"/>
      <c r="I42" s="828">
        <f t="shared" si="2"/>
        <v>0</v>
      </c>
    </row>
    <row r="43" spans="2:9" x14ac:dyDescent="0.25">
      <c r="B43" s="376">
        <f t="shared" si="1"/>
        <v>0</v>
      </c>
      <c r="C43" s="15"/>
      <c r="D43" s="68"/>
      <c r="E43" s="186"/>
      <c r="F43" s="68">
        <f t="shared" si="0"/>
        <v>0</v>
      </c>
      <c r="G43" s="69"/>
      <c r="H43" s="70"/>
      <c r="I43" s="828">
        <f t="shared" si="2"/>
        <v>0</v>
      </c>
    </row>
    <row r="44" spans="2:9" x14ac:dyDescent="0.25">
      <c r="B44" s="376">
        <f t="shared" si="1"/>
        <v>0</v>
      </c>
      <c r="C44" s="15"/>
      <c r="D44" s="68"/>
      <c r="E44" s="186"/>
      <c r="F44" s="68">
        <f t="shared" si="0"/>
        <v>0</v>
      </c>
      <c r="G44" s="69"/>
      <c r="H44" s="70"/>
      <c r="I44" s="828">
        <f t="shared" si="2"/>
        <v>0</v>
      </c>
    </row>
    <row r="45" spans="2:9" ht="15.75" thickBot="1" x14ac:dyDescent="0.3">
      <c r="B45" s="677">
        <f t="shared" si="1"/>
        <v>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829">
        <f t="shared" si="2"/>
        <v>0</v>
      </c>
    </row>
    <row r="46" spans="2:9" ht="15.75" thickTop="1" x14ac:dyDescent="0.25">
      <c r="C46" s="15">
        <f>SUM(C9:C45)</f>
        <v>20</v>
      </c>
      <c r="D46" s="6">
        <f>SUM(D9:D45)</f>
        <v>492.78</v>
      </c>
      <c r="E46" s="13"/>
      <c r="F46" s="6">
        <f>SUM(F9:F45)</f>
        <v>492.78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56" t="s">
        <v>19</v>
      </c>
      <c r="D49" s="165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8" sqref="AO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607" t="s">
        <v>306</v>
      </c>
      <c r="B1" s="1607"/>
      <c r="C1" s="1607"/>
      <c r="D1" s="1607"/>
      <c r="E1" s="1607"/>
      <c r="F1" s="1607"/>
      <c r="G1" s="1607"/>
      <c r="H1" s="11">
        <v>1</v>
      </c>
      <c r="K1" s="1607" t="s">
        <v>787</v>
      </c>
      <c r="L1" s="1607"/>
      <c r="M1" s="1607"/>
      <c r="N1" s="1607"/>
      <c r="O1" s="1607"/>
      <c r="P1" s="1607"/>
      <c r="Q1" s="1607"/>
      <c r="R1" s="11">
        <v>2</v>
      </c>
      <c r="U1" s="1593" t="s">
        <v>786</v>
      </c>
      <c r="V1" s="1593"/>
      <c r="W1" s="1593"/>
      <c r="X1" s="1593"/>
      <c r="Y1" s="1593"/>
      <c r="Z1" s="1593"/>
      <c r="AA1" s="1593"/>
      <c r="AB1" s="11">
        <v>3</v>
      </c>
      <c r="AE1" s="1593" t="s">
        <v>318</v>
      </c>
      <c r="AF1" s="1593"/>
      <c r="AG1" s="1593"/>
      <c r="AH1" s="1593"/>
      <c r="AI1" s="1593"/>
      <c r="AJ1" s="1593"/>
      <c r="AK1" s="159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5"/>
      <c r="D4" s="130"/>
      <c r="E4" s="77"/>
      <c r="F4" s="61"/>
      <c r="G4" s="151"/>
      <c r="H4" s="151"/>
      <c r="K4" s="12"/>
      <c r="L4" s="12"/>
      <c r="M4" s="495"/>
      <c r="N4" s="130"/>
      <c r="O4" s="77"/>
      <c r="P4" s="61"/>
      <c r="Q4" s="151"/>
      <c r="R4" s="151"/>
      <c r="U4" s="12"/>
      <c r="V4" s="12"/>
      <c r="W4" s="495"/>
      <c r="X4" s="130"/>
      <c r="Y4" s="77"/>
      <c r="Z4" s="61"/>
      <c r="AA4" s="151"/>
      <c r="AB4" s="151"/>
      <c r="AE4" s="12"/>
      <c r="AF4" s="12"/>
      <c r="AG4" s="495"/>
      <c r="AH4" s="130"/>
      <c r="AI4" s="77"/>
      <c r="AJ4" s="61"/>
      <c r="AK4" s="151"/>
      <c r="AL4" s="151"/>
    </row>
    <row r="5" spans="1:39" ht="22.5" customHeight="1" x14ac:dyDescent="0.25">
      <c r="A5" s="1662" t="s">
        <v>91</v>
      </c>
      <c r="B5" s="1663" t="s">
        <v>63</v>
      </c>
      <c r="C5" s="357">
        <v>85</v>
      </c>
      <c r="D5" s="130">
        <v>45160</v>
      </c>
      <c r="E5" s="197">
        <v>110</v>
      </c>
      <c r="F5" s="61">
        <v>11</v>
      </c>
      <c r="G5" s="5"/>
      <c r="K5" s="1662" t="s">
        <v>91</v>
      </c>
      <c r="L5" s="1665" t="s">
        <v>64</v>
      </c>
      <c r="M5" s="357">
        <v>85</v>
      </c>
      <c r="N5" s="130">
        <v>45126</v>
      </c>
      <c r="O5" s="197">
        <v>150</v>
      </c>
      <c r="P5" s="61">
        <v>15</v>
      </c>
      <c r="Q5" s="5"/>
      <c r="U5" s="1662" t="s">
        <v>91</v>
      </c>
      <c r="V5" s="1665" t="s">
        <v>64</v>
      </c>
      <c r="W5" s="357"/>
      <c r="X5" s="1350"/>
      <c r="Y5" s="1351"/>
      <c r="Z5" s="1352"/>
      <c r="AA5" s="5"/>
      <c r="AE5" s="1662" t="s">
        <v>91</v>
      </c>
      <c r="AF5" s="1663" t="s">
        <v>63</v>
      </c>
      <c r="AG5" s="357">
        <v>85</v>
      </c>
      <c r="AH5" s="130">
        <v>45194</v>
      </c>
      <c r="AI5" s="197">
        <v>150</v>
      </c>
      <c r="AJ5" s="61">
        <v>15</v>
      </c>
      <c r="AK5" s="5"/>
    </row>
    <row r="6" spans="1:39" ht="22.5" customHeight="1" thickBot="1" x14ac:dyDescent="0.3">
      <c r="A6" s="1662"/>
      <c r="B6" s="1664"/>
      <c r="C6" s="357"/>
      <c r="D6" s="130"/>
      <c r="E6" s="197">
        <v>20</v>
      </c>
      <c r="F6" s="61">
        <v>2</v>
      </c>
      <c r="G6" s="47">
        <f>F78</f>
        <v>200</v>
      </c>
      <c r="H6" s="7">
        <f>E6-G6+E7+E5-G5+E4</f>
        <v>30</v>
      </c>
      <c r="K6" s="1662"/>
      <c r="L6" s="1665"/>
      <c r="M6" s="1346">
        <v>70</v>
      </c>
      <c r="N6" s="1347">
        <v>45160</v>
      </c>
      <c r="O6" s="1348">
        <v>50</v>
      </c>
      <c r="P6" s="1349">
        <v>5</v>
      </c>
      <c r="Q6" s="47">
        <f>P78</f>
        <v>110</v>
      </c>
      <c r="R6" s="7">
        <f>O6-Q6+O7+O5-Q5+O4</f>
        <v>90</v>
      </c>
      <c r="U6" s="1662"/>
      <c r="V6" s="1665"/>
      <c r="W6" s="357">
        <v>70</v>
      </c>
      <c r="X6" s="130">
        <v>45194</v>
      </c>
      <c r="Y6" s="197">
        <v>50</v>
      </c>
      <c r="Z6" s="61">
        <v>5</v>
      </c>
      <c r="AA6" s="47">
        <f>Z78</f>
        <v>0</v>
      </c>
      <c r="AB6" s="7">
        <f>Y6-AA6+Y7+Y5-AA5+Y4</f>
        <v>50</v>
      </c>
      <c r="AE6" s="1662"/>
      <c r="AF6" s="1664"/>
      <c r="AG6" s="357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6.5" thickTop="1" x14ac:dyDescent="0.25">
      <c r="A9" s="79" t="s">
        <v>32</v>
      </c>
      <c r="B9" s="82">
        <f>F6-C9+F5+F7+F4</f>
        <v>19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275</v>
      </c>
      <c r="H9" s="70">
        <v>115</v>
      </c>
      <c r="I9" s="102">
        <f>E6-F9+E5+E7+E4</f>
        <v>190</v>
      </c>
      <c r="K9" s="79" t="s">
        <v>32</v>
      </c>
      <c r="L9" s="577">
        <f>P6-M9+P5+P7+P4</f>
        <v>20</v>
      </c>
      <c r="M9" s="15"/>
      <c r="N9" s="68"/>
      <c r="O9" s="191"/>
      <c r="P9" s="68">
        <f t="shared" ref="P9:P72" si="1">N9</f>
        <v>0</v>
      </c>
      <c r="Q9" s="69"/>
      <c r="R9" s="70"/>
      <c r="S9" s="576">
        <f>O6-P9+O5+O7+O4</f>
        <v>200</v>
      </c>
      <c r="U9" s="79" t="s">
        <v>32</v>
      </c>
      <c r="V9" s="1043">
        <f>Z6-W9+Z5+Z7+Z4</f>
        <v>5</v>
      </c>
      <c r="W9" s="15"/>
      <c r="X9" s="68"/>
      <c r="Y9" s="191"/>
      <c r="Z9" s="68">
        <f t="shared" ref="Z9:Z72" si="2">X9</f>
        <v>0</v>
      </c>
      <c r="AA9" s="69"/>
      <c r="AB9" s="70"/>
      <c r="AC9" s="576">
        <f>Y6-Z9+Y5+Y7+Y4</f>
        <v>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</row>
    <row r="10" spans="1:39" ht="15.75" x14ac:dyDescent="0.25">
      <c r="A10" s="185"/>
      <c r="B10" s="82">
        <f t="shared" ref="B10:B73" si="4">B9-C10</f>
        <v>18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276</v>
      </c>
      <c r="H10" s="70">
        <v>115</v>
      </c>
      <c r="I10" s="102">
        <f>I9-F10</f>
        <v>180</v>
      </c>
      <c r="K10" s="185"/>
      <c r="L10" s="82">
        <f t="shared" ref="L10:L73" si="5">L9-M10</f>
        <v>19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227</v>
      </c>
      <c r="R10" s="70">
        <v>100</v>
      </c>
      <c r="S10" s="102">
        <f>S9-P10</f>
        <v>190</v>
      </c>
      <c r="U10" s="185"/>
      <c r="V10" s="1044">
        <f t="shared" ref="V10:V73" si="6">V9-W10</f>
        <v>5</v>
      </c>
      <c r="W10" s="15"/>
      <c r="X10" s="68"/>
      <c r="Y10" s="191"/>
      <c r="Z10" s="68">
        <f t="shared" si="2"/>
        <v>0</v>
      </c>
      <c r="AA10" s="69"/>
      <c r="AB10" s="70"/>
      <c r="AC10" s="102">
        <f>AC9-Z10</f>
        <v>50</v>
      </c>
      <c r="AE10" s="185"/>
      <c r="AF10" s="82">
        <f t="shared" ref="AF10:AF73" si="7">AF9-AG10</f>
        <v>15</v>
      </c>
      <c r="AG10" s="15"/>
      <c r="AH10" s="68"/>
      <c r="AI10" s="191"/>
      <c r="AJ10" s="68">
        <f t="shared" si="3"/>
        <v>0</v>
      </c>
      <c r="AK10" s="69"/>
      <c r="AL10" s="70"/>
      <c r="AM10" s="102">
        <f>AM9-AJ10</f>
        <v>150</v>
      </c>
    </row>
    <row r="11" spans="1:39" ht="15.75" x14ac:dyDescent="0.25">
      <c r="A11" s="174"/>
      <c r="B11" s="82">
        <f t="shared" si="4"/>
        <v>17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284</v>
      </c>
      <c r="H11" s="70">
        <v>115</v>
      </c>
      <c r="I11" s="102">
        <f t="shared" ref="I11:I74" si="8">I10-F11</f>
        <v>170</v>
      </c>
      <c r="K11" s="174"/>
      <c r="L11" s="82">
        <f t="shared" si="5"/>
        <v>17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234</v>
      </c>
      <c r="R11" s="70">
        <v>100</v>
      </c>
      <c r="S11" s="102">
        <f t="shared" ref="S11:S74" si="9">S10-P11</f>
        <v>170</v>
      </c>
      <c r="U11" s="174"/>
      <c r="V11" s="1044">
        <f t="shared" si="6"/>
        <v>5</v>
      </c>
      <c r="W11" s="72"/>
      <c r="X11" s="68"/>
      <c r="Y11" s="191"/>
      <c r="Z11" s="68">
        <f t="shared" si="2"/>
        <v>0</v>
      </c>
      <c r="AA11" s="69"/>
      <c r="AB11" s="70"/>
      <c r="AC11" s="102">
        <f t="shared" ref="AC11:AC74" si="10">AC10-Z11</f>
        <v>50</v>
      </c>
      <c r="AE11" s="174"/>
      <c r="AF11" s="82">
        <f t="shared" si="7"/>
        <v>15</v>
      </c>
      <c r="AG11" s="72"/>
      <c r="AH11" s="68"/>
      <c r="AI11" s="191"/>
      <c r="AJ11" s="68">
        <f t="shared" si="3"/>
        <v>0</v>
      </c>
      <c r="AK11" s="69"/>
      <c r="AL11" s="70"/>
      <c r="AM11" s="102">
        <f t="shared" ref="AM11:AM74" si="11">AM10-AJ11</f>
        <v>150</v>
      </c>
    </row>
    <row r="12" spans="1:39" ht="15.75" x14ac:dyDescent="0.25">
      <c r="A12" s="174"/>
      <c r="B12" s="577">
        <f t="shared" si="4"/>
        <v>17</v>
      </c>
      <c r="C12" s="15"/>
      <c r="D12" s="68"/>
      <c r="E12" s="191"/>
      <c r="F12" s="68">
        <f t="shared" si="0"/>
        <v>0</v>
      </c>
      <c r="G12" s="69"/>
      <c r="H12" s="70"/>
      <c r="I12" s="576">
        <f t="shared" si="8"/>
        <v>170</v>
      </c>
      <c r="K12" s="174"/>
      <c r="L12" s="82">
        <f t="shared" si="5"/>
        <v>16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242</v>
      </c>
      <c r="R12" s="70">
        <v>100</v>
      </c>
      <c r="S12" s="102">
        <f t="shared" si="9"/>
        <v>160</v>
      </c>
      <c r="U12" s="174"/>
      <c r="V12" s="1044">
        <f t="shared" si="6"/>
        <v>5</v>
      </c>
      <c r="W12" s="15"/>
      <c r="X12" s="68"/>
      <c r="Y12" s="191"/>
      <c r="Z12" s="68">
        <f t="shared" si="2"/>
        <v>0</v>
      </c>
      <c r="AA12" s="69"/>
      <c r="AB12" s="70"/>
      <c r="AC12" s="102">
        <f t="shared" si="10"/>
        <v>50</v>
      </c>
      <c r="AE12" s="174"/>
      <c r="AF12" s="82">
        <f t="shared" si="7"/>
        <v>15</v>
      </c>
      <c r="AG12" s="15"/>
      <c r="AH12" s="68"/>
      <c r="AI12" s="191"/>
      <c r="AJ12" s="68">
        <f t="shared" si="3"/>
        <v>0</v>
      </c>
      <c r="AK12" s="69"/>
      <c r="AL12" s="70"/>
      <c r="AM12" s="102">
        <f t="shared" si="11"/>
        <v>150</v>
      </c>
    </row>
    <row r="13" spans="1:39" ht="15.75" x14ac:dyDescent="0.25">
      <c r="A13" s="81" t="s">
        <v>33</v>
      </c>
      <c r="B13" s="82">
        <f t="shared" si="4"/>
        <v>16</v>
      </c>
      <c r="C13" s="15">
        <v>1</v>
      </c>
      <c r="D13" s="1012">
        <v>10</v>
      </c>
      <c r="E13" s="1013">
        <v>45175</v>
      </c>
      <c r="F13" s="1012">
        <f t="shared" si="0"/>
        <v>10</v>
      </c>
      <c r="G13" s="844" t="s">
        <v>538</v>
      </c>
      <c r="H13" s="845">
        <v>115</v>
      </c>
      <c r="I13" s="102">
        <f t="shared" si="8"/>
        <v>160</v>
      </c>
      <c r="K13" s="81" t="s">
        <v>33</v>
      </c>
      <c r="L13" s="577">
        <f t="shared" si="5"/>
        <v>16</v>
      </c>
      <c r="M13" s="15"/>
      <c r="N13" s="68"/>
      <c r="O13" s="191"/>
      <c r="P13" s="68">
        <f t="shared" si="1"/>
        <v>0</v>
      </c>
      <c r="Q13" s="69"/>
      <c r="R13" s="70"/>
      <c r="S13" s="576">
        <f t="shared" si="9"/>
        <v>160</v>
      </c>
      <c r="U13" s="81" t="s">
        <v>33</v>
      </c>
      <c r="V13" s="1044">
        <f t="shared" si="6"/>
        <v>5</v>
      </c>
      <c r="W13" s="15"/>
      <c r="X13" s="68"/>
      <c r="Y13" s="191"/>
      <c r="Z13" s="68">
        <f t="shared" si="2"/>
        <v>0</v>
      </c>
      <c r="AA13" s="69"/>
      <c r="AB13" s="70"/>
      <c r="AC13" s="102">
        <f t="shared" si="10"/>
        <v>50</v>
      </c>
      <c r="AE13" s="81" t="s">
        <v>33</v>
      </c>
      <c r="AF13" s="82">
        <f t="shared" si="7"/>
        <v>15</v>
      </c>
      <c r="AG13" s="15"/>
      <c r="AH13" s="68"/>
      <c r="AI13" s="191"/>
      <c r="AJ13" s="68">
        <f t="shared" si="3"/>
        <v>0</v>
      </c>
      <c r="AK13" s="69"/>
      <c r="AL13" s="70"/>
      <c r="AM13" s="102">
        <f t="shared" si="11"/>
        <v>150</v>
      </c>
    </row>
    <row r="14" spans="1:39" ht="15.75" x14ac:dyDescent="0.25">
      <c r="A14" s="72"/>
      <c r="B14" s="82">
        <f t="shared" si="4"/>
        <v>15</v>
      </c>
      <c r="C14" s="15">
        <v>1</v>
      </c>
      <c r="D14" s="1012">
        <v>10</v>
      </c>
      <c r="E14" s="1013">
        <v>45178</v>
      </c>
      <c r="F14" s="1012">
        <f t="shared" si="0"/>
        <v>10</v>
      </c>
      <c r="G14" s="844" t="s">
        <v>583</v>
      </c>
      <c r="H14" s="845">
        <v>115</v>
      </c>
      <c r="I14" s="102">
        <f t="shared" si="8"/>
        <v>150</v>
      </c>
      <c r="K14" s="72"/>
      <c r="L14" s="82">
        <f t="shared" si="5"/>
        <v>15</v>
      </c>
      <c r="M14" s="15">
        <v>1</v>
      </c>
      <c r="N14" s="1012">
        <v>10</v>
      </c>
      <c r="O14" s="1013">
        <v>45175</v>
      </c>
      <c r="P14" s="1012">
        <f t="shared" si="1"/>
        <v>10</v>
      </c>
      <c r="Q14" s="844" t="s">
        <v>538</v>
      </c>
      <c r="R14" s="845">
        <v>100</v>
      </c>
      <c r="S14" s="102">
        <f t="shared" si="9"/>
        <v>150</v>
      </c>
      <c r="U14" s="72"/>
      <c r="V14" s="1044">
        <f t="shared" si="6"/>
        <v>5</v>
      </c>
      <c r="W14" s="15"/>
      <c r="X14" s="68"/>
      <c r="Y14" s="191"/>
      <c r="Z14" s="68">
        <f t="shared" si="2"/>
        <v>0</v>
      </c>
      <c r="AA14" s="69"/>
      <c r="AB14" s="70"/>
      <c r="AC14" s="102">
        <f t="shared" si="10"/>
        <v>50</v>
      </c>
      <c r="AE14" s="72"/>
      <c r="AF14" s="82">
        <f t="shared" si="7"/>
        <v>15</v>
      </c>
      <c r="AG14" s="15"/>
      <c r="AH14" s="68"/>
      <c r="AI14" s="191"/>
      <c r="AJ14" s="68">
        <f t="shared" si="3"/>
        <v>0</v>
      </c>
      <c r="AK14" s="69"/>
      <c r="AL14" s="70"/>
      <c r="AM14" s="102">
        <f t="shared" si="11"/>
        <v>150</v>
      </c>
    </row>
    <row r="15" spans="1:39" ht="15.75" x14ac:dyDescent="0.25">
      <c r="A15" s="72" t="s">
        <v>22</v>
      </c>
      <c r="B15" s="82">
        <f t="shared" si="4"/>
        <v>13</v>
      </c>
      <c r="C15" s="15">
        <v>2</v>
      </c>
      <c r="D15" s="1012">
        <v>20</v>
      </c>
      <c r="E15" s="1013">
        <v>45182</v>
      </c>
      <c r="F15" s="1012">
        <f t="shared" si="0"/>
        <v>20</v>
      </c>
      <c r="G15" s="844" t="s">
        <v>630</v>
      </c>
      <c r="H15" s="845">
        <v>115</v>
      </c>
      <c r="I15" s="102">
        <f t="shared" si="8"/>
        <v>130</v>
      </c>
      <c r="K15" s="72" t="s">
        <v>22</v>
      </c>
      <c r="L15" s="82">
        <f t="shared" si="5"/>
        <v>14</v>
      </c>
      <c r="M15" s="15">
        <v>1</v>
      </c>
      <c r="N15" s="1012">
        <v>10</v>
      </c>
      <c r="O15" s="1013">
        <v>45176</v>
      </c>
      <c r="P15" s="1012">
        <f t="shared" si="1"/>
        <v>10</v>
      </c>
      <c r="Q15" s="844" t="s">
        <v>561</v>
      </c>
      <c r="R15" s="845">
        <v>100</v>
      </c>
      <c r="S15" s="102">
        <f t="shared" si="9"/>
        <v>140</v>
      </c>
      <c r="U15" s="72" t="s">
        <v>22</v>
      </c>
      <c r="V15" s="1044">
        <f t="shared" si="6"/>
        <v>5</v>
      </c>
      <c r="W15" s="15"/>
      <c r="X15" s="68"/>
      <c r="Y15" s="191"/>
      <c r="Z15" s="68">
        <f t="shared" si="2"/>
        <v>0</v>
      </c>
      <c r="AA15" s="69"/>
      <c r="AB15" s="70"/>
      <c r="AC15" s="102">
        <f t="shared" si="10"/>
        <v>50</v>
      </c>
      <c r="AE15" s="72" t="s">
        <v>22</v>
      </c>
      <c r="AF15" s="82">
        <f t="shared" si="7"/>
        <v>15</v>
      </c>
      <c r="AG15" s="15"/>
      <c r="AH15" s="68"/>
      <c r="AI15" s="191"/>
      <c r="AJ15" s="68">
        <f t="shared" si="3"/>
        <v>0</v>
      </c>
      <c r="AK15" s="69"/>
      <c r="AL15" s="70"/>
      <c r="AM15" s="102">
        <f t="shared" si="11"/>
        <v>150</v>
      </c>
    </row>
    <row r="16" spans="1:39" ht="15.75" x14ac:dyDescent="0.25">
      <c r="B16" s="82">
        <f t="shared" si="4"/>
        <v>12</v>
      </c>
      <c r="C16" s="15">
        <v>1</v>
      </c>
      <c r="D16" s="1012">
        <v>10</v>
      </c>
      <c r="E16" s="1013">
        <v>45182</v>
      </c>
      <c r="F16" s="1012">
        <f t="shared" si="0"/>
        <v>10</v>
      </c>
      <c r="G16" s="844" t="s">
        <v>631</v>
      </c>
      <c r="H16" s="845">
        <v>115</v>
      </c>
      <c r="I16" s="102">
        <f t="shared" si="8"/>
        <v>120</v>
      </c>
      <c r="L16" s="82">
        <f t="shared" si="5"/>
        <v>12</v>
      </c>
      <c r="M16" s="15">
        <v>2</v>
      </c>
      <c r="N16" s="1012">
        <v>20</v>
      </c>
      <c r="O16" s="1013">
        <v>45182</v>
      </c>
      <c r="P16" s="1012">
        <f t="shared" si="1"/>
        <v>20</v>
      </c>
      <c r="Q16" s="844" t="s">
        <v>630</v>
      </c>
      <c r="R16" s="845">
        <v>100</v>
      </c>
      <c r="S16" s="102">
        <f t="shared" si="9"/>
        <v>120</v>
      </c>
      <c r="V16" s="1044">
        <f t="shared" si="6"/>
        <v>5</v>
      </c>
      <c r="W16" s="15"/>
      <c r="X16" s="68"/>
      <c r="Y16" s="191"/>
      <c r="Z16" s="68">
        <f t="shared" si="2"/>
        <v>0</v>
      </c>
      <c r="AA16" s="69"/>
      <c r="AB16" s="70"/>
      <c r="AC16" s="102">
        <f t="shared" si="10"/>
        <v>50</v>
      </c>
      <c r="AF16" s="82">
        <f t="shared" si="7"/>
        <v>15</v>
      </c>
      <c r="AG16" s="15"/>
      <c r="AH16" s="68"/>
      <c r="AI16" s="191"/>
      <c r="AJ16" s="68">
        <f t="shared" si="3"/>
        <v>0</v>
      </c>
      <c r="AK16" s="69"/>
      <c r="AL16" s="70"/>
      <c r="AM16" s="102">
        <f t="shared" si="11"/>
        <v>150</v>
      </c>
    </row>
    <row r="17" spans="1:39" ht="15.75" x14ac:dyDescent="0.25">
      <c r="B17" s="82">
        <f t="shared" si="4"/>
        <v>11</v>
      </c>
      <c r="C17" s="15">
        <v>1</v>
      </c>
      <c r="D17" s="1012">
        <v>10</v>
      </c>
      <c r="E17" s="1013">
        <v>45183</v>
      </c>
      <c r="F17" s="1012">
        <f t="shared" si="0"/>
        <v>10</v>
      </c>
      <c r="G17" s="844" t="s">
        <v>647</v>
      </c>
      <c r="H17" s="845">
        <v>115</v>
      </c>
      <c r="I17" s="102">
        <f t="shared" si="8"/>
        <v>110</v>
      </c>
      <c r="L17" s="82">
        <f t="shared" si="5"/>
        <v>11</v>
      </c>
      <c r="M17" s="15">
        <v>1</v>
      </c>
      <c r="N17" s="1012">
        <v>10</v>
      </c>
      <c r="O17" s="1013">
        <v>45182</v>
      </c>
      <c r="P17" s="1012">
        <f t="shared" si="1"/>
        <v>10</v>
      </c>
      <c r="Q17" s="844" t="s">
        <v>631</v>
      </c>
      <c r="R17" s="845">
        <v>100</v>
      </c>
      <c r="S17" s="102">
        <f t="shared" si="9"/>
        <v>110</v>
      </c>
      <c r="V17" s="1044">
        <f t="shared" si="6"/>
        <v>5</v>
      </c>
      <c r="W17" s="15"/>
      <c r="X17" s="68"/>
      <c r="Y17" s="191"/>
      <c r="Z17" s="68">
        <f t="shared" si="2"/>
        <v>0</v>
      </c>
      <c r="AA17" s="69"/>
      <c r="AB17" s="70"/>
      <c r="AC17" s="102">
        <f t="shared" si="10"/>
        <v>50</v>
      </c>
      <c r="AF17" s="82">
        <f t="shared" si="7"/>
        <v>15</v>
      </c>
      <c r="AG17" s="15"/>
      <c r="AH17" s="68"/>
      <c r="AI17" s="191"/>
      <c r="AJ17" s="68">
        <f t="shared" si="3"/>
        <v>0</v>
      </c>
      <c r="AK17" s="69"/>
      <c r="AL17" s="70"/>
      <c r="AM17" s="102">
        <f t="shared" si="11"/>
        <v>150</v>
      </c>
    </row>
    <row r="18" spans="1:39" ht="15.75" x14ac:dyDescent="0.25">
      <c r="A18" s="118"/>
      <c r="B18" s="82">
        <f t="shared" si="4"/>
        <v>8</v>
      </c>
      <c r="C18" s="15">
        <v>3</v>
      </c>
      <c r="D18" s="1012">
        <v>30</v>
      </c>
      <c r="E18" s="1013">
        <v>45183</v>
      </c>
      <c r="F18" s="1012">
        <f t="shared" si="0"/>
        <v>30</v>
      </c>
      <c r="G18" s="844" t="s">
        <v>650</v>
      </c>
      <c r="H18" s="845">
        <v>115</v>
      </c>
      <c r="I18" s="102">
        <f t="shared" si="8"/>
        <v>80</v>
      </c>
      <c r="K18" s="118"/>
      <c r="L18" s="82">
        <f t="shared" si="5"/>
        <v>10</v>
      </c>
      <c r="M18" s="15">
        <v>1</v>
      </c>
      <c r="N18" s="1012">
        <v>10</v>
      </c>
      <c r="O18" s="1013">
        <v>45185</v>
      </c>
      <c r="P18" s="1012">
        <f t="shared" si="1"/>
        <v>10</v>
      </c>
      <c r="Q18" s="844" t="s">
        <v>662</v>
      </c>
      <c r="R18" s="845">
        <v>100</v>
      </c>
      <c r="S18" s="102">
        <f t="shared" si="9"/>
        <v>100</v>
      </c>
      <c r="U18" s="118"/>
      <c r="V18" s="1044">
        <f t="shared" si="6"/>
        <v>5</v>
      </c>
      <c r="W18" s="15"/>
      <c r="X18" s="68"/>
      <c r="Y18" s="191"/>
      <c r="Z18" s="68">
        <f t="shared" si="2"/>
        <v>0</v>
      </c>
      <c r="AA18" s="69"/>
      <c r="AB18" s="70"/>
      <c r="AC18" s="102">
        <f t="shared" si="10"/>
        <v>50</v>
      </c>
      <c r="AE18" s="118"/>
      <c r="AF18" s="82">
        <f t="shared" si="7"/>
        <v>15</v>
      </c>
      <c r="AG18" s="15"/>
      <c r="AH18" s="68"/>
      <c r="AI18" s="191"/>
      <c r="AJ18" s="68">
        <f t="shared" si="3"/>
        <v>0</v>
      </c>
      <c r="AK18" s="69"/>
      <c r="AL18" s="70"/>
      <c r="AM18" s="102">
        <f t="shared" si="11"/>
        <v>150</v>
      </c>
    </row>
    <row r="19" spans="1:39" ht="15.75" x14ac:dyDescent="0.25">
      <c r="A19" s="118"/>
      <c r="B19" s="82">
        <f t="shared" si="4"/>
        <v>7</v>
      </c>
      <c r="C19" s="15">
        <v>1</v>
      </c>
      <c r="D19" s="1012">
        <v>10</v>
      </c>
      <c r="E19" s="1013">
        <v>45185</v>
      </c>
      <c r="F19" s="1012">
        <f t="shared" si="0"/>
        <v>10</v>
      </c>
      <c r="G19" s="844" t="s">
        <v>662</v>
      </c>
      <c r="H19" s="845">
        <v>115</v>
      </c>
      <c r="I19" s="102">
        <f t="shared" si="8"/>
        <v>70</v>
      </c>
      <c r="K19" s="118"/>
      <c r="L19" s="82">
        <f t="shared" si="5"/>
        <v>9</v>
      </c>
      <c r="M19" s="15">
        <v>1</v>
      </c>
      <c r="N19" s="1012">
        <v>10</v>
      </c>
      <c r="O19" s="1013">
        <v>45195</v>
      </c>
      <c r="P19" s="1012">
        <f t="shared" si="1"/>
        <v>10</v>
      </c>
      <c r="Q19" s="844" t="s">
        <v>727</v>
      </c>
      <c r="R19" s="845">
        <v>100</v>
      </c>
      <c r="S19" s="102">
        <f t="shared" si="9"/>
        <v>90</v>
      </c>
      <c r="U19" s="118"/>
      <c r="V19" s="1044">
        <f t="shared" si="6"/>
        <v>5</v>
      </c>
      <c r="W19" s="15"/>
      <c r="X19" s="68"/>
      <c r="Y19" s="191"/>
      <c r="Z19" s="68">
        <f t="shared" si="2"/>
        <v>0</v>
      </c>
      <c r="AA19" s="69"/>
      <c r="AB19" s="70"/>
      <c r="AC19" s="102">
        <f t="shared" si="10"/>
        <v>50</v>
      </c>
      <c r="AE19" s="118"/>
      <c r="AF19" s="82">
        <f t="shared" si="7"/>
        <v>15</v>
      </c>
      <c r="AG19" s="15"/>
      <c r="AH19" s="68"/>
      <c r="AI19" s="191"/>
      <c r="AJ19" s="68">
        <f t="shared" si="3"/>
        <v>0</v>
      </c>
      <c r="AK19" s="69"/>
      <c r="AL19" s="70"/>
      <c r="AM19" s="102">
        <f t="shared" si="11"/>
        <v>150</v>
      </c>
    </row>
    <row r="20" spans="1:39" ht="15.75" x14ac:dyDescent="0.25">
      <c r="A20" s="118"/>
      <c r="B20" s="82">
        <f t="shared" si="4"/>
        <v>6</v>
      </c>
      <c r="C20" s="15">
        <v>1</v>
      </c>
      <c r="D20" s="1012">
        <v>10</v>
      </c>
      <c r="E20" s="1013">
        <v>45188</v>
      </c>
      <c r="F20" s="1012">
        <f t="shared" si="0"/>
        <v>10</v>
      </c>
      <c r="G20" s="844" t="s">
        <v>674</v>
      </c>
      <c r="H20" s="845">
        <v>115</v>
      </c>
      <c r="I20" s="102">
        <f t="shared" si="8"/>
        <v>60</v>
      </c>
      <c r="K20" s="118"/>
      <c r="L20" s="82">
        <f t="shared" si="5"/>
        <v>9</v>
      </c>
      <c r="M20" s="15"/>
      <c r="N20" s="1012"/>
      <c r="O20" s="1013"/>
      <c r="P20" s="1012">
        <f t="shared" si="1"/>
        <v>0</v>
      </c>
      <c r="Q20" s="844"/>
      <c r="R20" s="845"/>
      <c r="S20" s="102">
        <f t="shared" si="9"/>
        <v>90</v>
      </c>
      <c r="U20" s="118"/>
      <c r="V20" s="1044">
        <f t="shared" si="6"/>
        <v>5</v>
      </c>
      <c r="W20" s="15"/>
      <c r="X20" s="68"/>
      <c r="Y20" s="191"/>
      <c r="Z20" s="68">
        <f t="shared" si="2"/>
        <v>0</v>
      </c>
      <c r="AA20" s="69"/>
      <c r="AB20" s="70"/>
      <c r="AC20" s="102">
        <f t="shared" si="10"/>
        <v>50</v>
      </c>
      <c r="AE20" s="118"/>
      <c r="AF20" s="82">
        <f t="shared" si="7"/>
        <v>15</v>
      </c>
      <c r="AG20" s="15"/>
      <c r="AH20" s="68"/>
      <c r="AI20" s="191"/>
      <c r="AJ20" s="68">
        <f t="shared" si="3"/>
        <v>0</v>
      </c>
      <c r="AK20" s="69"/>
      <c r="AL20" s="70"/>
      <c r="AM20" s="102">
        <f t="shared" si="11"/>
        <v>150</v>
      </c>
    </row>
    <row r="21" spans="1:39" ht="15.75" x14ac:dyDescent="0.25">
      <c r="A21" s="118"/>
      <c r="B21" s="82">
        <f t="shared" si="4"/>
        <v>4</v>
      </c>
      <c r="C21" s="15">
        <v>2</v>
      </c>
      <c r="D21" s="1012">
        <v>20</v>
      </c>
      <c r="E21" s="1013">
        <v>45196</v>
      </c>
      <c r="F21" s="1012">
        <f t="shared" si="0"/>
        <v>20</v>
      </c>
      <c r="G21" s="844" t="s">
        <v>737</v>
      </c>
      <c r="H21" s="845">
        <v>115</v>
      </c>
      <c r="I21" s="102">
        <f t="shared" si="8"/>
        <v>40</v>
      </c>
      <c r="K21" s="118"/>
      <c r="L21" s="82">
        <f t="shared" si="5"/>
        <v>9</v>
      </c>
      <c r="M21" s="15"/>
      <c r="N21" s="1012"/>
      <c r="O21" s="1013"/>
      <c r="P21" s="1012">
        <f t="shared" si="1"/>
        <v>0</v>
      </c>
      <c r="Q21" s="844"/>
      <c r="R21" s="845"/>
      <c r="S21" s="102">
        <f t="shared" si="9"/>
        <v>90</v>
      </c>
      <c r="U21" s="118"/>
      <c r="V21" s="1044">
        <f t="shared" si="6"/>
        <v>5</v>
      </c>
      <c r="W21" s="15"/>
      <c r="X21" s="68"/>
      <c r="Y21" s="191"/>
      <c r="Z21" s="68">
        <f t="shared" si="2"/>
        <v>0</v>
      </c>
      <c r="AA21" s="69"/>
      <c r="AB21" s="70"/>
      <c r="AC21" s="102">
        <f t="shared" si="10"/>
        <v>50</v>
      </c>
      <c r="AE21" s="118"/>
      <c r="AF21" s="82">
        <f t="shared" si="7"/>
        <v>15</v>
      </c>
      <c r="AG21" s="15"/>
      <c r="AH21" s="68"/>
      <c r="AI21" s="191"/>
      <c r="AJ21" s="68">
        <f t="shared" si="3"/>
        <v>0</v>
      </c>
      <c r="AK21" s="69"/>
      <c r="AL21" s="70"/>
      <c r="AM21" s="102">
        <f t="shared" si="11"/>
        <v>150</v>
      </c>
    </row>
    <row r="22" spans="1:39" ht="15.75" x14ac:dyDescent="0.25">
      <c r="A22" s="118"/>
      <c r="B22" s="219">
        <f t="shared" si="4"/>
        <v>3</v>
      </c>
      <c r="C22" s="15">
        <v>1</v>
      </c>
      <c r="D22" s="1012">
        <v>10</v>
      </c>
      <c r="E22" s="1013">
        <v>45199</v>
      </c>
      <c r="F22" s="1012">
        <f t="shared" si="0"/>
        <v>10</v>
      </c>
      <c r="G22" s="844" t="s">
        <v>768</v>
      </c>
      <c r="H22" s="845">
        <v>115</v>
      </c>
      <c r="I22" s="102">
        <f t="shared" si="8"/>
        <v>30</v>
      </c>
      <c r="K22" s="118"/>
      <c r="L22" s="219">
        <f t="shared" si="5"/>
        <v>9</v>
      </c>
      <c r="M22" s="15"/>
      <c r="N22" s="1012"/>
      <c r="O22" s="1013"/>
      <c r="P22" s="1012">
        <f t="shared" si="1"/>
        <v>0</v>
      </c>
      <c r="Q22" s="844"/>
      <c r="R22" s="845"/>
      <c r="S22" s="102">
        <f t="shared" si="9"/>
        <v>90</v>
      </c>
      <c r="U22" s="118"/>
      <c r="V22" s="1044">
        <f t="shared" si="6"/>
        <v>5</v>
      </c>
      <c r="W22" s="15"/>
      <c r="X22" s="68"/>
      <c r="Y22" s="191"/>
      <c r="Z22" s="68">
        <f t="shared" si="2"/>
        <v>0</v>
      </c>
      <c r="AA22" s="69"/>
      <c r="AB22" s="70"/>
      <c r="AC22" s="102">
        <f t="shared" si="10"/>
        <v>50</v>
      </c>
      <c r="AE22" s="118"/>
      <c r="AF22" s="219">
        <f t="shared" si="7"/>
        <v>15</v>
      </c>
      <c r="AG22" s="15"/>
      <c r="AH22" s="68"/>
      <c r="AI22" s="191"/>
      <c r="AJ22" s="68">
        <f t="shared" si="3"/>
        <v>0</v>
      </c>
      <c r="AK22" s="69"/>
      <c r="AL22" s="70"/>
      <c r="AM22" s="102">
        <f t="shared" si="11"/>
        <v>150</v>
      </c>
    </row>
    <row r="23" spans="1:39" ht="15.75" x14ac:dyDescent="0.25">
      <c r="A23" s="119"/>
      <c r="B23" s="219">
        <f t="shared" si="4"/>
        <v>3</v>
      </c>
      <c r="C23" s="72"/>
      <c r="D23" s="1012"/>
      <c r="E23" s="1013"/>
      <c r="F23" s="1012">
        <f t="shared" si="0"/>
        <v>0</v>
      </c>
      <c r="G23" s="844"/>
      <c r="H23" s="845"/>
      <c r="I23" s="102">
        <f t="shared" si="8"/>
        <v>30</v>
      </c>
      <c r="K23" s="119"/>
      <c r="L23" s="219">
        <f t="shared" si="5"/>
        <v>9</v>
      </c>
      <c r="M23" s="72"/>
      <c r="N23" s="1012"/>
      <c r="O23" s="1013"/>
      <c r="P23" s="1012">
        <f t="shared" si="1"/>
        <v>0</v>
      </c>
      <c r="Q23" s="844"/>
      <c r="R23" s="845"/>
      <c r="S23" s="102">
        <f t="shared" si="9"/>
        <v>90</v>
      </c>
      <c r="U23" s="119"/>
      <c r="V23" s="1044">
        <f t="shared" si="6"/>
        <v>5</v>
      </c>
      <c r="W23" s="72"/>
      <c r="X23" s="68"/>
      <c r="Y23" s="191"/>
      <c r="Z23" s="68">
        <f t="shared" si="2"/>
        <v>0</v>
      </c>
      <c r="AA23" s="69"/>
      <c r="AB23" s="70"/>
      <c r="AC23" s="102">
        <f t="shared" si="10"/>
        <v>50</v>
      </c>
      <c r="AE23" s="119"/>
      <c r="AF23" s="219">
        <f t="shared" si="7"/>
        <v>15</v>
      </c>
      <c r="AG23" s="72"/>
      <c r="AH23" s="68"/>
      <c r="AI23" s="191"/>
      <c r="AJ23" s="68">
        <f t="shared" si="3"/>
        <v>0</v>
      </c>
      <c r="AK23" s="69"/>
      <c r="AL23" s="70"/>
      <c r="AM23" s="102">
        <f t="shared" si="11"/>
        <v>150</v>
      </c>
    </row>
    <row r="24" spans="1:39" ht="15.75" x14ac:dyDescent="0.25">
      <c r="A24" s="118"/>
      <c r="B24" s="219">
        <f t="shared" si="4"/>
        <v>3</v>
      </c>
      <c r="C24" s="15"/>
      <c r="D24" s="1012"/>
      <c r="E24" s="1013"/>
      <c r="F24" s="1012">
        <f t="shared" si="0"/>
        <v>0</v>
      </c>
      <c r="G24" s="844"/>
      <c r="H24" s="845"/>
      <c r="I24" s="102">
        <f t="shared" si="8"/>
        <v>30</v>
      </c>
      <c r="K24" s="118"/>
      <c r="L24" s="219">
        <f t="shared" si="5"/>
        <v>9</v>
      </c>
      <c r="M24" s="15"/>
      <c r="N24" s="1012"/>
      <c r="O24" s="1013"/>
      <c r="P24" s="1012">
        <f t="shared" si="1"/>
        <v>0</v>
      </c>
      <c r="Q24" s="844"/>
      <c r="R24" s="845"/>
      <c r="S24" s="102">
        <f t="shared" si="9"/>
        <v>90</v>
      </c>
      <c r="U24" s="118"/>
      <c r="V24" s="1044">
        <f t="shared" si="6"/>
        <v>5</v>
      </c>
      <c r="W24" s="15"/>
      <c r="X24" s="68"/>
      <c r="Y24" s="191"/>
      <c r="Z24" s="68">
        <f t="shared" si="2"/>
        <v>0</v>
      </c>
      <c r="AA24" s="69"/>
      <c r="AB24" s="70"/>
      <c r="AC24" s="102">
        <f t="shared" si="10"/>
        <v>50</v>
      </c>
      <c r="AE24" s="118"/>
      <c r="AF24" s="219">
        <f t="shared" si="7"/>
        <v>15</v>
      </c>
      <c r="AG24" s="15"/>
      <c r="AH24" s="68"/>
      <c r="AI24" s="191"/>
      <c r="AJ24" s="68">
        <f t="shared" si="3"/>
        <v>0</v>
      </c>
      <c r="AK24" s="69"/>
      <c r="AL24" s="70"/>
      <c r="AM24" s="102">
        <f t="shared" si="11"/>
        <v>150</v>
      </c>
    </row>
    <row r="25" spans="1:39" ht="15.75" x14ac:dyDescent="0.25">
      <c r="A25" s="118"/>
      <c r="B25" s="219">
        <f t="shared" si="4"/>
        <v>3</v>
      </c>
      <c r="C25" s="15"/>
      <c r="D25" s="1012"/>
      <c r="E25" s="1013"/>
      <c r="F25" s="1012">
        <f t="shared" si="0"/>
        <v>0</v>
      </c>
      <c r="G25" s="844"/>
      <c r="H25" s="845"/>
      <c r="I25" s="102">
        <f t="shared" si="8"/>
        <v>30</v>
      </c>
      <c r="K25" s="118"/>
      <c r="L25" s="219">
        <f t="shared" si="5"/>
        <v>9</v>
      </c>
      <c r="M25" s="15"/>
      <c r="N25" s="1012"/>
      <c r="O25" s="1013"/>
      <c r="P25" s="1012">
        <f t="shared" si="1"/>
        <v>0</v>
      </c>
      <c r="Q25" s="844"/>
      <c r="R25" s="845"/>
      <c r="S25" s="102">
        <f t="shared" si="9"/>
        <v>90</v>
      </c>
      <c r="U25" s="118"/>
      <c r="V25" s="1044">
        <f t="shared" si="6"/>
        <v>5</v>
      </c>
      <c r="W25" s="15"/>
      <c r="X25" s="68"/>
      <c r="Y25" s="191"/>
      <c r="Z25" s="68">
        <f t="shared" si="2"/>
        <v>0</v>
      </c>
      <c r="AA25" s="69"/>
      <c r="AB25" s="70"/>
      <c r="AC25" s="102">
        <f t="shared" si="10"/>
        <v>50</v>
      </c>
      <c r="AE25" s="118"/>
      <c r="AF25" s="219">
        <f t="shared" si="7"/>
        <v>15</v>
      </c>
      <c r="AG25" s="15"/>
      <c r="AH25" s="68"/>
      <c r="AI25" s="191"/>
      <c r="AJ25" s="68">
        <f t="shared" si="3"/>
        <v>0</v>
      </c>
      <c r="AK25" s="69"/>
      <c r="AL25" s="70"/>
      <c r="AM25" s="102">
        <f t="shared" si="11"/>
        <v>150</v>
      </c>
    </row>
    <row r="26" spans="1:39" ht="15.75" x14ac:dyDescent="0.25">
      <c r="A26" s="118"/>
      <c r="B26" s="174">
        <f t="shared" si="4"/>
        <v>3</v>
      </c>
      <c r="C26" s="15"/>
      <c r="D26" s="1012"/>
      <c r="E26" s="1013"/>
      <c r="F26" s="1012">
        <f t="shared" si="0"/>
        <v>0</v>
      </c>
      <c r="G26" s="844"/>
      <c r="H26" s="845"/>
      <c r="I26" s="102">
        <f t="shared" si="8"/>
        <v>30</v>
      </c>
      <c r="K26" s="118"/>
      <c r="L26" s="174">
        <f t="shared" si="5"/>
        <v>9</v>
      </c>
      <c r="M26" s="15"/>
      <c r="N26" s="1012"/>
      <c r="O26" s="1013"/>
      <c r="P26" s="1012">
        <f t="shared" si="1"/>
        <v>0</v>
      </c>
      <c r="Q26" s="844"/>
      <c r="R26" s="845"/>
      <c r="S26" s="102">
        <f t="shared" si="9"/>
        <v>90</v>
      </c>
      <c r="U26" s="118"/>
      <c r="V26" s="1044">
        <f t="shared" si="6"/>
        <v>5</v>
      </c>
      <c r="W26" s="15"/>
      <c r="X26" s="68"/>
      <c r="Y26" s="191"/>
      <c r="Z26" s="68">
        <f t="shared" si="2"/>
        <v>0</v>
      </c>
      <c r="AA26" s="69"/>
      <c r="AB26" s="70"/>
      <c r="AC26" s="102">
        <f t="shared" si="10"/>
        <v>50</v>
      </c>
      <c r="AE26" s="118"/>
      <c r="AF26" s="174">
        <f t="shared" si="7"/>
        <v>15</v>
      </c>
      <c r="AG26" s="15"/>
      <c r="AH26" s="68"/>
      <c r="AI26" s="191"/>
      <c r="AJ26" s="68">
        <f t="shared" si="3"/>
        <v>0</v>
      </c>
      <c r="AK26" s="69"/>
      <c r="AL26" s="70"/>
      <c r="AM26" s="102">
        <f t="shared" si="11"/>
        <v>150</v>
      </c>
    </row>
    <row r="27" spans="1:39" ht="15.75" x14ac:dyDescent="0.25">
      <c r="A27" s="118"/>
      <c r="B27" s="219">
        <f t="shared" si="4"/>
        <v>3</v>
      </c>
      <c r="C27" s="15"/>
      <c r="D27" s="1012"/>
      <c r="E27" s="1013"/>
      <c r="F27" s="1012">
        <f t="shared" si="0"/>
        <v>0</v>
      </c>
      <c r="G27" s="844"/>
      <c r="H27" s="845"/>
      <c r="I27" s="102">
        <f t="shared" si="8"/>
        <v>30</v>
      </c>
      <c r="K27" s="118"/>
      <c r="L27" s="219">
        <f t="shared" si="5"/>
        <v>9</v>
      </c>
      <c r="M27" s="15"/>
      <c r="N27" s="1012"/>
      <c r="O27" s="1013"/>
      <c r="P27" s="1012">
        <f t="shared" si="1"/>
        <v>0</v>
      </c>
      <c r="Q27" s="844"/>
      <c r="R27" s="845"/>
      <c r="S27" s="102">
        <f t="shared" si="9"/>
        <v>90</v>
      </c>
      <c r="U27" s="118"/>
      <c r="V27" s="1044">
        <f t="shared" si="6"/>
        <v>5</v>
      </c>
      <c r="W27" s="15"/>
      <c r="X27" s="68"/>
      <c r="Y27" s="191"/>
      <c r="Z27" s="68">
        <f t="shared" si="2"/>
        <v>0</v>
      </c>
      <c r="AA27" s="69"/>
      <c r="AB27" s="70"/>
      <c r="AC27" s="102">
        <f t="shared" si="10"/>
        <v>50</v>
      </c>
      <c r="AE27" s="118"/>
      <c r="AF27" s="219">
        <f t="shared" si="7"/>
        <v>15</v>
      </c>
      <c r="AG27" s="15"/>
      <c r="AH27" s="68"/>
      <c r="AI27" s="191"/>
      <c r="AJ27" s="68">
        <f t="shared" si="3"/>
        <v>0</v>
      </c>
      <c r="AK27" s="69"/>
      <c r="AL27" s="70"/>
      <c r="AM27" s="102">
        <f t="shared" si="11"/>
        <v>150</v>
      </c>
    </row>
    <row r="28" spans="1:39" ht="15.75" x14ac:dyDescent="0.25">
      <c r="A28" s="118"/>
      <c r="B28" s="174">
        <f t="shared" si="4"/>
        <v>3</v>
      </c>
      <c r="C28" s="15"/>
      <c r="D28" s="1012"/>
      <c r="E28" s="1013"/>
      <c r="F28" s="1012">
        <f t="shared" si="0"/>
        <v>0</v>
      </c>
      <c r="G28" s="844"/>
      <c r="H28" s="845"/>
      <c r="I28" s="102">
        <f t="shared" si="8"/>
        <v>30</v>
      </c>
      <c r="K28" s="118"/>
      <c r="L28" s="174">
        <f t="shared" si="5"/>
        <v>9</v>
      </c>
      <c r="M28" s="15"/>
      <c r="N28" s="1012"/>
      <c r="O28" s="1013"/>
      <c r="P28" s="1012">
        <f t="shared" si="1"/>
        <v>0</v>
      </c>
      <c r="Q28" s="844"/>
      <c r="R28" s="845"/>
      <c r="S28" s="102">
        <f t="shared" si="9"/>
        <v>90</v>
      </c>
      <c r="U28" s="118"/>
      <c r="V28" s="1044">
        <f t="shared" si="6"/>
        <v>5</v>
      </c>
      <c r="W28" s="15"/>
      <c r="X28" s="68"/>
      <c r="Y28" s="191"/>
      <c r="Z28" s="68">
        <f t="shared" si="2"/>
        <v>0</v>
      </c>
      <c r="AA28" s="69"/>
      <c r="AB28" s="70"/>
      <c r="AC28" s="102">
        <f t="shared" si="10"/>
        <v>50</v>
      </c>
      <c r="AE28" s="118"/>
      <c r="AF28" s="174">
        <f t="shared" si="7"/>
        <v>15</v>
      </c>
      <c r="AG28" s="15"/>
      <c r="AH28" s="68"/>
      <c r="AI28" s="191"/>
      <c r="AJ28" s="68">
        <f t="shared" si="3"/>
        <v>0</v>
      </c>
      <c r="AK28" s="69"/>
      <c r="AL28" s="70"/>
      <c r="AM28" s="102">
        <f t="shared" si="11"/>
        <v>150</v>
      </c>
    </row>
    <row r="29" spans="1:39" ht="15.75" x14ac:dyDescent="0.25">
      <c r="A29" s="118"/>
      <c r="B29" s="219">
        <f t="shared" si="4"/>
        <v>3</v>
      </c>
      <c r="C29" s="15"/>
      <c r="D29" s="1012"/>
      <c r="E29" s="1013"/>
      <c r="F29" s="1012">
        <f t="shared" si="0"/>
        <v>0</v>
      </c>
      <c r="G29" s="844"/>
      <c r="H29" s="845"/>
      <c r="I29" s="102">
        <f t="shared" si="8"/>
        <v>30</v>
      </c>
      <c r="K29" s="118"/>
      <c r="L29" s="219">
        <f t="shared" si="5"/>
        <v>9</v>
      </c>
      <c r="M29" s="15"/>
      <c r="N29" s="68"/>
      <c r="O29" s="191"/>
      <c r="P29" s="68">
        <f t="shared" si="1"/>
        <v>0</v>
      </c>
      <c r="Q29" s="69"/>
      <c r="R29" s="70"/>
      <c r="S29" s="102">
        <f t="shared" si="9"/>
        <v>90</v>
      </c>
      <c r="U29" s="118"/>
      <c r="V29" s="1044">
        <f t="shared" si="6"/>
        <v>5</v>
      </c>
      <c r="W29" s="15"/>
      <c r="X29" s="68"/>
      <c r="Y29" s="191"/>
      <c r="Z29" s="68">
        <f t="shared" si="2"/>
        <v>0</v>
      </c>
      <c r="AA29" s="69"/>
      <c r="AB29" s="70"/>
      <c r="AC29" s="102">
        <f t="shared" si="10"/>
        <v>50</v>
      </c>
      <c r="AE29" s="118"/>
      <c r="AF29" s="219">
        <f t="shared" si="7"/>
        <v>15</v>
      </c>
      <c r="AG29" s="15"/>
      <c r="AH29" s="68"/>
      <c r="AI29" s="191"/>
      <c r="AJ29" s="68">
        <f t="shared" si="3"/>
        <v>0</v>
      </c>
      <c r="AK29" s="69"/>
      <c r="AL29" s="70"/>
      <c r="AM29" s="102">
        <f t="shared" si="11"/>
        <v>150</v>
      </c>
    </row>
    <row r="30" spans="1:39" ht="15.75" x14ac:dyDescent="0.25">
      <c r="A30" s="118"/>
      <c r="B30" s="219">
        <f t="shared" si="4"/>
        <v>3</v>
      </c>
      <c r="C30" s="15"/>
      <c r="D30" s="1012"/>
      <c r="E30" s="1013"/>
      <c r="F30" s="1012">
        <f t="shared" si="0"/>
        <v>0</v>
      </c>
      <c r="G30" s="844"/>
      <c r="H30" s="845"/>
      <c r="I30" s="102">
        <f t="shared" si="8"/>
        <v>30</v>
      </c>
      <c r="K30" s="118"/>
      <c r="L30" s="219">
        <f t="shared" si="5"/>
        <v>9</v>
      </c>
      <c r="M30" s="15"/>
      <c r="N30" s="68"/>
      <c r="O30" s="191"/>
      <c r="P30" s="68">
        <f t="shared" si="1"/>
        <v>0</v>
      </c>
      <c r="Q30" s="69"/>
      <c r="R30" s="70"/>
      <c r="S30" s="102">
        <f t="shared" si="9"/>
        <v>90</v>
      </c>
      <c r="U30" s="118"/>
      <c r="V30" s="1044">
        <f t="shared" si="6"/>
        <v>5</v>
      </c>
      <c r="W30" s="15"/>
      <c r="X30" s="68"/>
      <c r="Y30" s="191"/>
      <c r="Z30" s="68">
        <f t="shared" si="2"/>
        <v>0</v>
      </c>
      <c r="AA30" s="69"/>
      <c r="AB30" s="70"/>
      <c r="AC30" s="102">
        <f t="shared" si="10"/>
        <v>50</v>
      </c>
      <c r="AE30" s="118"/>
      <c r="AF30" s="219">
        <f t="shared" si="7"/>
        <v>15</v>
      </c>
      <c r="AG30" s="15"/>
      <c r="AH30" s="68"/>
      <c r="AI30" s="191"/>
      <c r="AJ30" s="68">
        <f t="shared" si="3"/>
        <v>0</v>
      </c>
      <c r="AK30" s="69"/>
      <c r="AL30" s="70"/>
      <c r="AM30" s="102">
        <f t="shared" si="11"/>
        <v>150</v>
      </c>
    </row>
    <row r="31" spans="1:39" ht="15.75" x14ac:dyDescent="0.25">
      <c r="A31" s="118"/>
      <c r="B31" s="219">
        <f t="shared" si="4"/>
        <v>3</v>
      </c>
      <c r="C31" s="15"/>
      <c r="D31" s="1012"/>
      <c r="E31" s="1013"/>
      <c r="F31" s="1012">
        <f t="shared" si="0"/>
        <v>0</v>
      </c>
      <c r="G31" s="844"/>
      <c r="H31" s="845"/>
      <c r="I31" s="102">
        <f t="shared" si="8"/>
        <v>30</v>
      </c>
      <c r="K31" s="118"/>
      <c r="L31" s="219">
        <f t="shared" si="5"/>
        <v>9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90</v>
      </c>
      <c r="U31" s="118"/>
      <c r="V31" s="1044">
        <f t="shared" si="6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50</v>
      </c>
      <c r="AE31" s="118"/>
      <c r="AF31" s="219">
        <f t="shared" si="7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150</v>
      </c>
    </row>
    <row r="32" spans="1:39" ht="15.75" x14ac:dyDescent="0.25">
      <c r="A32" s="118"/>
      <c r="B32" s="219">
        <f t="shared" si="4"/>
        <v>3</v>
      </c>
      <c r="C32" s="15"/>
      <c r="D32" s="1012"/>
      <c r="E32" s="1013"/>
      <c r="F32" s="1012">
        <f t="shared" si="0"/>
        <v>0</v>
      </c>
      <c r="G32" s="844"/>
      <c r="H32" s="845"/>
      <c r="I32" s="102">
        <f t="shared" si="8"/>
        <v>30</v>
      </c>
      <c r="K32" s="118"/>
      <c r="L32" s="219">
        <f t="shared" si="5"/>
        <v>9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90</v>
      </c>
      <c r="U32" s="118"/>
      <c r="V32" s="1044">
        <f t="shared" si="6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50</v>
      </c>
      <c r="AE32" s="118"/>
      <c r="AF32" s="219">
        <f t="shared" si="7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150</v>
      </c>
    </row>
    <row r="33" spans="1:39" ht="15.75" x14ac:dyDescent="0.25">
      <c r="A33" s="118"/>
      <c r="B33" s="219">
        <f t="shared" si="4"/>
        <v>3</v>
      </c>
      <c r="C33" s="15"/>
      <c r="D33" s="1012"/>
      <c r="E33" s="1013"/>
      <c r="F33" s="1012">
        <f t="shared" si="0"/>
        <v>0</v>
      </c>
      <c r="G33" s="844"/>
      <c r="H33" s="845"/>
      <c r="I33" s="102">
        <f t="shared" si="8"/>
        <v>30</v>
      </c>
      <c r="K33" s="118"/>
      <c r="L33" s="219">
        <f t="shared" si="5"/>
        <v>9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90</v>
      </c>
      <c r="U33" s="118"/>
      <c r="V33" s="1044">
        <f t="shared" si="6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50</v>
      </c>
      <c r="AE33" s="118"/>
      <c r="AF33" s="219">
        <f t="shared" si="7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150</v>
      </c>
    </row>
    <row r="34" spans="1:39" ht="15.75" x14ac:dyDescent="0.25">
      <c r="A34" s="118"/>
      <c r="B34" s="219">
        <f t="shared" si="4"/>
        <v>3</v>
      </c>
      <c r="C34" s="15"/>
      <c r="D34" s="1012"/>
      <c r="E34" s="1013"/>
      <c r="F34" s="1012">
        <f t="shared" si="0"/>
        <v>0</v>
      </c>
      <c r="G34" s="844"/>
      <c r="H34" s="845"/>
      <c r="I34" s="102">
        <f t="shared" si="8"/>
        <v>30</v>
      </c>
      <c r="K34" s="118"/>
      <c r="L34" s="219">
        <f t="shared" si="5"/>
        <v>9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90</v>
      </c>
      <c r="U34" s="118"/>
      <c r="V34" s="1044">
        <f t="shared" si="6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50</v>
      </c>
      <c r="AE34" s="118"/>
      <c r="AF34" s="219">
        <f t="shared" si="7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150</v>
      </c>
    </row>
    <row r="35" spans="1:39" ht="15.75" x14ac:dyDescent="0.25">
      <c r="A35" s="118"/>
      <c r="B35" s="219">
        <f t="shared" si="4"/>
        <v>3</v>
      </c>
      <c r="C35" s="15"/>
      <c r="D35" s="1012"/>
      <c r="E35" s="1013"/>
      <c r="F35" s="1012">
        <f t="shared" si="0"/>
        <v>0</v>
      </c>
      <c r="G35" s="844"/>
      <c r="H35" s="845"/>
      <c r="I35" s="102">
        <f t="shared" si="8"/>
        <v>30</v>
      </c>
      <c r="K35" s="118"/>
      <c r="L35" s="219">
        <f t="shared" si="5"/>
        <v>9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90</v>
      </c>
      <c r="U35" s="118"/>
      <c r="V35" s="1044">
        <f t="shared" si="6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50</v>
      </c>
      <c r="AE35" s="118"/>
      <c r="AF35" s="219">
        <f t="shared" si="7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150</v>
      </c>
    </row>
    <row r="36" spans="1:39" ht="15.75" x14ac:dyDescent="0.25">
      <c r="A36" s="118" t="s">
        <v>22</v>
      </c>
      <c r="B36" s="219">
        <f t="shared" si="4"/>
        <v>3</v>
      </c>
      <c r="C36" s="15"/>
      <c r="D36" s="1012"/>
      <c r="E36" s="1013"/>
      <c r="F36" s="1012">
        <f t="shared" si="0"/>
        <v>0</v>
      </c>
      <c r="G36" s="844"/>
      <c r="H36" s="845"/>
      <c r="I36" s="102">
        <f t="shared" si="8"/>
        <v>30</v>
      </c>
      <c r="K36" s="118" t="s">
        <v>22</v>
      </c>
      <c r="L36" s="219">
        <f t="shared" si="5"/>
        <v>9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90</v>
      </c>
      <c r="U36" s="118" t="s">
        <v>22</v>
      </c>
      <c r="V36" s="1044">
        <f t="shared" si="6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50</v>
      </c>
      <c r="AE36" s="118" t="s">
        <v>22</v>
      </c>
      <c r="AF36" s="219">
        <f t="shared" si="7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150</v>
      </c>
    </row>
    <row r="37" spans="1:39" ht="15.75" x14ac:dyDescent="0.25">
      <c r="A37" s="119"/>
      <c r="B37" s="219">
        <f t="shared" si="4"/>
        <v>3</v>
      </c>
      <c r="C37" s="15"/>
      <c r="D37" s="1012"/>
      <c r="E37" s="1013"/>
      <c r="F37" s="1012">
        <f t="shared" si="0"/>
        <v>0</v>
      </c>
      <c r="G37" s="844"/>
      <c r="H37" s="845"/>
      <c r="I37" s="102">
        <f t="shared" si="8"/>
        <v>30</v>
      </c>
      <c r="K37" s="119"/>
      <c r="L37" s="219">
        <f t="shared" si="5"/>
        <v>9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90</v>
      </c>
      <c r="U37" s="119"/>
      <c r="V37" s="1044">
        <f t="shared" si="6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50</v>
      </c>
      <c r="AE37" s="119"/>
      <c r="AF37" s="219">
        <f t="shared" si="7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150</v>
      </c>
    </row>
    <row r="38" spans="1:39" ht="15.75" x14ac:dyDescent="0.25">
      <c r="A38" s="118"/>
      <c r="B38" s="219">
        <f t="shared" si="4"/>
        <v>3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8"/>
        <v>30</v>
      </c>
      <c r="K38" s="118"/>
      <c r="L38" s="219">
        <f t="shared" si="5"/>
        <v>9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90</v>
      </c>
      <c r="U38" s="118"/>
      <c r="V38" s="1044">
        <f t="shared" si="6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50</v>
      </c>
      <c r="AE38" s="118"/>
      <c r="AF38" s="219">
        <f t="shared" si="7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150</v>
      </c>
    </row>
    <row r="39" spans="1:39" ht="15.75" x14ac:dyDescent="0.25">
      <c r="A39" s="118"/>
      <c r="B39" s="82">
        <f t="shared" si="4"/>
        <v>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30</v>
      </c>
      <c r="K39" s="118"/>
      <c r="L39" s="82">
        <f t="shared" si="5"/>
        <v>9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90</v>
      </c>
      <c r="U39" s="118"/>
      <c r="V39" s="1044">
        <f t="shared" si="6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50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30</v>
      </c>
      <c r="K40" s="118"/>
      <c r="L40" s="82">
        <f t="shared" si="5"/>
        <v>9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90</v>
      </c>
      <c r="U40" s="118"/>
      <c r="V40" s="1044">
        <f t="shared" si="6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50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30</v>
      </c>
      <c r="K41" s="118"/>
      <c r="L41" s="82">
        <f t="shared" si="5"/>
        <v>9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90</v>
      </c>
      <c r="U41" s="118"/>
      <c r="V41" s="1044">
        <f t="shared" si="6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50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30</v>
      </c>
      <c r="K42" s="118"/>
      <c r="L42" s="82">
        <f t="shared" si="5"/>
        <v>9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90</v>
      </c>
      <c r="U42" s="118"/>
      <c r="V42" s="1044">
        <f t="shared" si="6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50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30</v>
      </c>
      <c r="K43" s="118"/>
      <c r="L43" s="82">
        <f t="shared" si="5"/>
        <v>9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90</v>
      </c>
      <c r="U43" s="118"/>
      <c r="V43" s="1044">
        <f t="shared" si="6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50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30</v>
      </c>
      <c r="K44" s="118"/>
      <c r="L44" s="82">
        <f t="shared" si="5"/>
        <v>9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90</v>
      </c>
      <c r="U44" s="118"/>
      <c r="V44" s="1044">
        <f t="shared" si="6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50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30</v>
      </c>
      <c r="K45" s="118"/>
      <c r="L45" s="82">
        <f t="shared" si="5"/>
        <v>9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90</v>
      </c>
      <c r="U45" s="118"/>
      <c r="V45" s="1044">
        <f t="shared" si="6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50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30</v>
      </c>
      <c r="K46" s="118"/>
      <c r="L46" s="82">
        <f t="shared" si="5"/>
        <v>9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90</v>
      </c>
      <c r="U46" s="118"/>
      <c r="V46" s="1044">
        <f t="shared" si="6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50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30</v>
      </c>
      <c r="K47" s="118"/>
      <c r="L47" s="82">
        <f t="shared" si="5"/>
        <v>9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90</v>
      </c>
      <c r="U47" s="118"/>
      <c r="V47" s="1044">
        <f t="shared" si="6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50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30</v>
      </c>
      <c r="K48" s="118"/>
      <c r="L48" s="82">
        <f t="shared" si="5"/>
        <v>9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90</v>
      </c>
      <c r="U48" s="118"/>
      <c r="V48" s="1044">
        <f t="shared" si="6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50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30</v>
      </c>
      <c r="K49" s="118"/>
      <c r="L49" s="82">
        <f t="shared" si="5"/>
        <v>9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90</v>
      </c>
      <c r="U49" s="118"/>
      <c r="V49" s="1044">
        <f t="shared" si="6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50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30</v>
      </c>
      <c r="K50" s="118"/>
      <c r="L50" s="82">
        <f t="shared" si="5"/>
        <v>9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90</v>
      </c>
      <c r="U50" s="118"/>
      <c r="V50" s="1044">
        <f t="shared" si="6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50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30</v>
      </c>
      <c r="K51" s="118"/>
      <c r="L51" s="82">
        <f t="shared" si="5"/>
        <v>9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90</v>
      </c>
      <c r="U51" s="118"/>
      <c r="V51" s="1044">
        <f t="shared" si="6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50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30</v>
      </c>
      <c r="K52" s="118"/>
      <c r="L52" s="82">
        <f t="shared" si="5"/>
        <v>9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90</v>
      </c>
      <c r="U52" s="118"/>
      <c r="V52" s="1044">
        <f t="shared" si="6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50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30</v>
      </c>
      <c r="K53" s="118"/>
      <c r="L53" s="82">
        <f t="shared" si="5"/>
        <v>9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90</v>
      </c>
      <c r="U53" s="118"/>
      <c r="V53" s="1044">
        <f t="shared" si="6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50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30</v>
      </c>
      <c r="K54" s="118"/>
      <c r="L54" s="82">
        <f t="shared" si="5"/>
        <v>9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90</v>
      </c>
      <c r="U54" s="118"/>
      <c r="V54" s="1044">
        <f t="shared" si="6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50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30</v>
      </c>
      <c r="K55" s="118"/>
      <c r="L55" s="12">
        <f t="shared" si="5"/>
        <v>9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90</v>
      </c>
      <c r="U55" s="118"/>
      <c r="V55" s="133">
        <f t="shared" si="6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50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30</v>
      </c>
      <c r="K56" s="118"/>
      <c r="L56" s="12">
        <f t="shared" si="5"/>
        <v>9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90</v>
      </c>
      <c r="U56" s="118"/>
      <c r="V56" s="133">
        <f t="shared" si="6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50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30</v>
      </c>
      <c r="K57" s="118"/>
      <c r="L57" s="12">
        <f t="shared" si="5"/>
        <v>9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90</v>
      </c>
      <c r="U57" s="118"/>
      <c r="V57" s="133">
        <f t="shared" si="6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50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30</v>
      </c>
      <c r="K58" s="118"/>
      <c r="L58" s="12">
        <f t="shared" si="5"/>
        <v>9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90</v>
      </c>
      <c r="U58" s="118"/>
      <c r="V58" s="133">
        <f t="shared" si="6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50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30</v>
      </c>
      <c r="K59" s="118"/>
      <c r="L59" s="12">
        <f t="shared" si="5"/>
        <v>9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90</v>
      </c>
      <c r="U59" s="118"/>
      <c r="V59" s="133">
        <f t="shared" si="6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50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30</v>
      </c>
      <c r="K60" s="118"/>
      <c r="L60" s="12">
        <f t="shared" si="5"/>
        <v>9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90</v>
      </c>
      <c r="U60" s="118"/>
      <c r="V60" s="133">
        <f t="shared" si="6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50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30</v>
      </c>
      <c r="K61" s="118"/>
      <c r="L61" s="12">
        <f t="shared" si="5"/>
        <v>9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90</v>
      </c>
      <c r="U61" s="118"/>
      <c r="V61" s="133">
        <f t="shared" si="6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50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30</v>
      </c>
      <c r="K62" s="118"/>
      <c r="L62" s="12">
        <f t="shared" si="5"/>
        <v>9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90</v>
      </c>
      <c r="U62" s="118"/>
      <c r="V62" s="133">
        <f t="shared" si="6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50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30</v>
      </c>
      <c r="K63" s="118"/>
      <c r="L63" s="12">
        <f t="shared" si="5"/>
        <v>9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90</v>
      </c>
      <c r="U63" s="118"/>
      <c r="V63" s="133">
        <f t="shared" si="6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50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30</v>
      </c>
      <c r="K64" s="118"/>
      <c r="L64" s="12">
        <f t="shared" si="5"/>
        <v>9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90</v>
      </c>
      <c r="U64" s="118"/>
      <c r="V64" s="133">
        <f t="shared" si="6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50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30</v>
      </c>
      <c r="K65" s="118"/>
      <c r="L65" s="12">
        <f t="shared" si="5"/>
        <v>9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90</v>
      </c>
      <c r="U65" s="118"/>
      <c r="V65" s="133">
        <f t="shared" si="6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50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30</v>
      </c>
      <c r="K66" s="118"/>
      <c r="L66" s="12">
        <f t="shared" si="5"/>
        <v>9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90</v>
      </c>
      <c r="U66" s="118"/>
      <c r="V66" s="133">
        <f t="shared" si="6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50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30</v>
      </c>
      <c r="K67" s="118"/>
      <c r="L67" s="12">
        <f t="shared" si="5"/>
        <v>9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90</v>
      </c>
      <c r="U67" s="118"/>
      <c r="V67" s="133">
        <f t="shared" si="6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50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30</v>
      </c>
      <c r="K68" s="118"/>
      <c r="L68" s="12">
        <f t="shared" si="5"/>
        <v>9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90</v>
      </c>
      <c r="U68" s="118"/>
      <c r="V68" s="133">
        <f t="shared" si="6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50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30</v>
      </c>
      <c r="K69" s="118"/>
      <c r="L69" s="12">
        <f t="shared" si="5"/>
        <v>9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90</v>
      </c>
      <c r="U69" s="118"/>
      <c r="V69" s="133">
        <f t="shared" si="6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50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30</v>
      </c>
      <c r="K70" s="118"/>
      <c r="L70" s="12">
        <f t="shared" si="5"/>
        <v>9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90</v>
      </c>
      <c r="U70" s="118"/>
      <c r="V70" s="133">
        <f t="shared" si="6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50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30</v>
      </c>
      <c r="K71" s="118"/>
      <c r="L71" s="12">
        <f t="shared" si="5"/>
        <v>9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90</v>
      </c>
      <c r="U71" s="118"/>
      <c r="V71" s="133">
        <f t="shared" si="6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50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30</v>
      </c>
      <c r="K72" s="118"/>
      <c r="L72" s="12">
        <f t="shared" si="5"/>
        <v>9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90</v>
      </c>
      <c r="U72" s="118"/>
      <c r="V72" s="133">
        <f t="shared" si="6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50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30</v>
      </c>
      <c r="K73" s="118"/>
      <c r="L73" s="12">
        <f t="shared" si="5"/>
        <v>9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90</v>
      </c>
      <c r="U73" s="118"/>
      <c r="V73" s="133">
        <f t="shared" si="6"/>
        <v>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50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30</v>
      </c>
      <c r="K74" s="118"/>
      <c r="L74" s="12">
        <f t="shared" ref="L74:L75" si="17">L73-M74</f>
        <v>9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90</v>
      </c>
      <c r="U74" s="118"/>
      <c r="V74" s="133">
        <f t="shared" ref="V74:V75" si="18">V73-W74</f>
        <v>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50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30</v>
      </c>
      <c r="K75" s="118"/>
      <c r="L75" s="12">
        <f t="shared" si="17"/>
        <v>9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90</v>
      </c>
      <c r="U75" s="118"/>
      <c r="V75" s="133">
        <f t="shared" si="18"/>
        <v>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50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90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9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595" t="s">
        <v>11</v>
      </c>
      <c r="D83" s="1596"/>
      <c r="E83" s="56">
        <f>E5+E6-F78+E7</f>
        <v>30</v>
      </c>
      <c r="F83" s="72"/>
      <c r="M83" s="1595" t="s">
        <v>11</v>
      </c>
      <c r="N83" s="1596"/>
      <c r="O83" s="56">
        <f>O5+O6-P78+O7</f>
        <v>90</v>
      </c>
      <c r="P83" s="72"/>
      <c r="W83" s="1595" t="s">
        <v>11</v>
      </c>
      <c r="X83" s="1596"/>
      <c r="Y83" s="56">
        <f>Y5+Y6-Z78+Y7</f>
        <v>50</v>
      </c>
      <c r="Z83" s="72"/>
      <c r="AG83" s="1595" t="s">
        <v>11</v>
      </c>
      <c r="AH83" s="1596"/>
      <c r="AI83" s="56">
        <f>AI5+AI6-AJ78+AI7</f>
        <v>150</v>
      </c>
      <c r="AJ83" s="7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98"/>
      <c r="B5" s="1611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98"/>
      <c r="B6" s="161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87" t="s">
        <v>3</v>
      </c>
    </row>
    <row r="9" spans="1:10" ht="15.75" thickTop="1" x14ac:dyDescent="0.25">
      <c r="A9" s="72"/>
      <c r="B9" s="59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93">
        <f>H9*F9</f>
        <v>0</v>
      </c>
      <c r="J9" s="102">
        <f>E4+E5+E6+E7-F9</f>
        <v>0</v>
      </c>
    </row>
    <row r="10" spans="1:10" x14ac:dyDescent="0.25">
      <c r="B10" s="59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9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9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9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9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94">
        <f t="shared" si="1"/>
        <v>0</v>
      </c>
      <c r="J12" s="102">
        <f t="shared" si="3"/>
        <v>0</v>
      </c>
    </row>
    <row r="13" spans="1:10" x14ac:dyDescent="0.25">
      <c r="B13" s="59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9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92">
        <f t="shared" si="2"/>
        <v>0</v>
      </c>
      <c r="C14" s="15"/>
      <c r="D14" s="618"/>
      <c r="E14" s="641"/>
      <c r="F14" s="637">
        <f t="shared" si="0"/>
        <v>0</v>
      </c>
      <c r="G14" s="638"/>
      <c r="H14" s="194"/>
      <c r="I14" s="594">
        <f t="shared" si="1"/>
        <v>0</v>
      </c>
      <c r="J14" s="102">
        <f t="shared" ref="J14:J37" si="4">J13-F14</f>
        <v>0</v>
      </c>
    </row>
    <row r="15" spans="1:10" x14ac:dyDescent="0.25">
      <c r="B15" s="592">
        <f t="shared" si="2"/>
        <v>0</v>
      </c>
      <c r="C15" s="15"/>
      <c r="D15" s="618"/>
      <c r="E15" s="641"/>
      <c r="F15" s="637">
        <f t="shared" si="0"/>
        <v>0</v>
      </c>
      <c r="G15" s="638"/>
      <c r="H15" s="194"/>
      <c r="I15" s="594">
        <f t="shared" si="1"/>
        <v>0</v>
      </c>
      <c r="J15" s="102">
        <f t="shared" si="4"/>
        <v>0</v>
      </c>
    </row>
    <row r="16" spans="1:10" ht="15.75" x14ac:dyDescent="0.25">
      <c r="A16" s="433"/>
      <c r="B16" s="592">
        <f t="shared" si="2"/>
        <v>0</v>
      </c>
      <c r="C16" s="15"/>
      <c r="D16" s="618"/>
      <c r="E16" s="641"/>
      <c r="F16" s="637">
        <f t="shared" si="0"/>
        <v>0</v>
      </c>
      <c r="G16" s="638"/>
      <c r="H16" s="194"/>
      <c r="I16" s="594">
        <f t="shared" si="1"/>
        <v>0</v>
      </c>
      <c r="J16" s="102">
        <f t="shared" si="4"/>
        <v>0</v>
      </c>
    </row>
    <row r="17" spans="1:10" ht="15.75" x14ac:dyDescent="0.25">
      <c r="A17" s="433"/>
      <c r="B17" s="592">
        <f t="shared" si="2"/>
        <v>0</v>
      </c>
      <c r="C17" s="15"/>
      <c r="D17" s="618"/>
      <c r="E17" s="641"/>
      <c r="F17" s="637">
        <f t="shared" si="0"/>
        <v>0</v>
      </c>
      <c r="G17" s="638"/>
      <c r="H17" s="194"/>
      <c r="I17" s="594">
        <f t="shared" si="1"/>
        <v>0</v>
      </c>
      <c r="J17" s="102">
        <f t="shared" si="4"/>
        <v>0</v>
      </c>
    </row>
    <row r="18" spans="1:10" ht="15.75" x14ac:dyDescent="0.25">
      <c r="A18" s="433"/>
      <c r="B18" s="592">
        <f t="shared" si="2"/>
        <v>0</v>
      </c>
      <c r="C18" s="15"/>
      <c r="D18" s="617"/>
      <c r="E18" s="663"/>
      <c r="F18" s="662">
        <f t="shared" si="0"/>
        <v>0</v>
      </c>
      <c r="G18" s="517"/>
      <c r="H18" s="353"/>
      <c r="I18" s="594">
        <f t="shared" si="1"/>
        <v>0</v>
      </c>
      <c r="J18" s="102">
        <f t="shared" si="4"/>
        <v>0</v>
      </c>
    </row>
    <row r="19" spans="1:10" x14ac:dyDescent="0.25">
      <c r="B19" s="592">
        <f t="shared" si="2"/>
        <v>0</v>
      </c>
      <c r="C19" s="15"/>
      <c r="D19" s="617"/>
      <c r="E19" s="663"/>
      <c r="F19" s="662">
        <f t="shared" si="0"/>
        <v>0</v>
      </c>
      <c r="G19" s="517"/>
      <c r="H19" s="353"/>
      <c r="I19" s="594">
        <f t="shared" si="1"/>
        <v>0</v>
      </c>
      <c r="J19" s="102">
        <f t="shared" si="4"/>
        <v>0</v>
      </c>
    </row>
    <row r="20" spans="1:10" x14ac:dyDescent="0.25">
      <c r="B20" s="592">
        <f t="shared" si="2"/>
        <v>0</v>
      </c>
      <c r="C20" s="15"/>
      <c r="D20" s="617"/>
      <c r="E20" s="663"/>
      <c r="F20" s="662">
        <f t="shared" si="0"/>
        <v>0</v>
      </c>
      <c r="G20" s="517"/>
      <c r="H20" s="353"/>
      <c r="I20" s="594">
        <f t="shared" si="1"/>
        <v>0</v>
      </c>
      <c r="J20" s="102">
        <f t="shared" si="4"/>
        <v>0</v>
      </c>
    </row>
    <row r="21" spans="1:10" x14ac:dyDescent="0.25">
      <c r="B21" s="592">
        <f t="shared" si="2"/>
        <v>0</v>
      </c>
      <c r="C21" s="15"/>
      <c r="D21" s="617"/>
      <c r="E21" s="663"/>
      <c r="F21" s="662">
        <f t="shared" si="0"/>
        <v>0</v>
      </c>
      <c r="G21" s="517"/>
      <c r="H21" s="353"/>
      <c r="I21" s="594">
        <f t="shared" si="1"/>
        <v>0</v>
      </c>
      <c r="J21" s="102">
        <f t="shared" si="4"/>
        <v>0</v>
      </c>
    </row>
    <row r="22" spans="1:10" x14ac:dyDescent="0.25">
      <c r="B22" s="592">
        <f t="shared" si="2"/>
        <v>0</v>
      </c>
      <c r="C22" s="15"/>
      <c r="D22" s="617"/>
      <c r="E22" s="663"/>
      <c r="F22" s="662">
        <f t="shared" si="0"/>
        <v>0</v>
      </c>
      <c r="G22" s="517"/>
      <c r="H22" s="353"/>
      <c r="I22" s="594">
        <f t="shared" si="1"/>
        <v>0</v>
      </c>
      <c r="J22" s="102">
        <f t="shared" si="4"/>
        <v>0</v>
      </c>
    </row>
    <row r="23" spans="1:10" x14ac:dyDescent="0.25">
      <c r="B23" s="592">
        <f t="shared" si="2"/>
        <v>0</v>
      </c>
      <c r="C23" s="15"/>
      <c r="D23" s="619"/>
      <c r="E23" s="731"/>
      <c r="F23" s="476">
        <f t="shared" si="0"/>
        <v>0</v>
      </c>
      <c r="G23" s="314"/>
      <c r="H23" s="315"/>
      <c r="I23" s="594">
        <f t="shared" si="1"/>
        <v>0</v>
      </c>
      <c r="J23" s="102">
        <f t="shared" si="4"/>
        <v>0</v>
      </c>
    </row>
    <row r="24" spans="1:10" x14ac:dyDescent="0.25">
      <c r="B24" s="592">
        <f t="shared" si="2"/>
        <v>0</v>
      </c>
      <c r="C24" s="15"/>
      <c r="D24" s="619"/>
      <c r="E24" s="731"/>
      <c r="F24" s="476">
        <f t="shared" si="0"/>
        <v>0</v>
      </c>
      <c r="G24" s="314"/>
      <c r="H24" s="315"/>
      <c r="I24" s="594">
        <f t="shared" si="1"/>
        <v>0</v>
      </c>
      <c r="J24" s="102">
        <f t="shared" si="4"/>
        <v>0</v>
      </c>
    </row>
    <row r="25" spans="1:10" x14ac:dyDescent="0.25">
      <c r="B25" s="592">
        <f t="shared" si="2"/>
        <v>0</v>
      </c>
      <c r="C25" s="15"/>
      <c r="D25" s="619"/>
      <c r="E25" s="731"/>
      <c r="F25" s="476">
        <f t="shared" si="0"/>
        <v>0</v>
      </c>
      <c r="G25" s="314"/>
      <c r="H25" s="315"/>
      <c r="I25" s="594">
        <f t="shared" si="1"/>
        <v>0</v>
      </c>
      <c r="J25" s="102">
        <f t="shared" si="4"/>
        <v>0</v>
      </c>
    </row>
    <row r="26" spans="1:10" x14ac:dyDescent="0.25">
      <c r="B26" s="592">
        <f t="shared" si="2"/>
        <v>0</v>
      </c>
      <c r="C26" s="15"/>
      <c r="D26" s="737"/>
      <c r="E26" s="736"/>
      <c r="F26" s="735">
        <f t="shared" si="0"/>
        <v>0</v>
      </c>
      <c r="G26" s="488"/>
      <c r="H26" s="489"/>
      <c r="I26" s="594">
        <f t="shared" si="1"/>
        <v>0</v>
      </c>
      <c r="J26" s="102">
        <f t="shared" si="4"/>
        <v>0</v>
      </c>
    </row>
    <row r="27" spans="1:10" x14ac:dyDescent="0.25">
      <c r="B27" s="592">
        <f t="shared" si="2"/>
        <v>0</v>
      </c>
      <c r="C27" s="15"/>
      <c r="D27" s="737"/>
      <c r="E27" s="736"/>
      <c r="F27" s="735">
        <f t="shared" si="0"/>
        <v>0</v>
      </c>
      <c r="G27" s="488"/>
      <c r="H27" s="489"/>
      <c r="I27" s="594">
        <f t="shared" si="1"/>
        <v>0</v>
      </c>
      <c r="J27" s="102">
        <f t="shared" si="4"/>
        <v>0</v>
      </c>
    </row>
    <row r="28" spans="1:10" x14ac:dyDescent="0.25">
      <c r="B28" s="592">
        <f t="shared" si="2"/>
        <v>0</v>
      </c>
      <c r="C28" s="15"/>
      <c r="D28" s="735"/>
      <c r="E28" s="736"/>
      <c r="F28" s="735">
        <f t="shared" si="0"/>
        <v>0</v>
      </c>
      <c r="G28" s="488"/>
      <c r="H28" s="489"/>
      <c r="I28" s="594">
        <f t="shared" si="1"/>
        <v>0</v>
      </c>
      <c r="J28" s="102">
        <f t="shared" si="4"/>
        <v>0</v>
      </c>
    </row>
    <row r="29" spans="1:10" x14ac:dyDescent="0.25">
      <c r="B29" s="592">
        <f t="shared" si="2"/>
        <v>0</v>
      </c>
      <c r="C29" s="15"/>
      <c r="D29" s="735"/>
      <c r="E29" s="736"/>
      <c r="F29" s="735">
        <f t="shared" si="0"/>
        <v>0</v>
      </c>
      <c r="G29" s="488"/>
      <c r="H29" s="489"/>
      <c r="I29" s="59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92">
        <f t="shared" si="2"/>
        <v>0</v>
      </c>
      <c r="C30" s="15"/>
      <c r="D30" s="735"/>
      <c r="E30" s="736"/>
      <c r="F30" s="735">
        <f t="shared" si="0"/>
        <v>0</v>
      </c>
      <c r="G30" s="488"/>
      <c r="H30" s="489"/>
      <c r="I30" s="594">
        <f t="shared" si="5"/>
        <v>0</v>
      </c>
      <c r="J30" s="102">
        <f t="shared" si="6"/>
        <v>0</v>
      </c>
    </row>
    <row r="31" spans="1:10" x14ac:dyDescent="0.25">
      <c r="B31" s="592">
        <f t="shared" si="2"/>
        <v>0</v>
      </c>
      <c r="C31" s="15"/>
      <c r="D31" s="735"/>
      <c r="E31" s="736"/>
      <c r="F31" s="735">
        <f t="shared" si="0"/>
        <v>0</v>
      </c>
      <c r="G31" s="488"/>
      <c r="H31" s="489"/>
      <c r="I31" s="594">
        <f t="shared" si="5"/>
        <v>0</v>
      </c>
      <c r="J31" s="102">
        <f t="shared" si="6"/>
        <v>0</v>
      </c>
    </row>
    <row r="32" spans="1:10" x14ac:dyDescent="0.25">
      <c r="B32" s="592">
        <f t="shared" si="2"/>
        <v>0</v>
      </c>
      <c r="C32" s="15"/>
      <c r="D32" s="735"/>
      <c r="E32" s="736"/>
      <c r="F32" s="735">
        <f t="shared" si="0"/>
        <v>0</v>
      </c>
      <c r="G32" s="488"/>
      <c r="H32" s="489"/>
      <c r="I32" s="594">
        <f t="shared" si="5"/>
        <v>0</v>
      </c>
      <c r="J32" s="102">
        <f t="shared" si="6"/>
        <v>0</v>
      </c>
    </row>
    <row r="33" spans="2:10" x14ac:dyDescent="0.25">
      <c r="B33" s="592">
        <f t="shared" si="2"/>
        <v>0</v>
      </c>
      <c r="C33" s="15"/>
      <c r="D33" s="735"/>
      <c r="E33" s="736"/>
      <c r="F33" s="735">
        <f t="shared" si="0"/>
        <v>0</v>
      </c>
      <c r="G33" s="488"/>
      <c r="H33" s="489"/>
      <c r="I33" s="594">
        <f t="shared" si="5"/>
        <v>0</v>
      </c>
      <c r="J33" s="102">
        <f t="shared" si="6"/>
        <v>0</v>
      </c>
    </row>
    <row r="34" spans="2:10" x14ac:dyDescent="0.25">
      <c r="B34" s="592">
        <f t="shared" si="2"/>
        <v>0</v>
      </c>
      <c r="C34" s="15"/>
      <c r="D34" s="735"/>
      <c r="E34" s="736"/>
      <c r="F34" s="735">
        <f t="shared" si="0"/>
        <v>0</v>
      </c>
      <c r="G34" s="488"/>
      <c r="H34" s="489"/>
      <c r="I34" s="594">
        <f t="shared" si="5"/>
        <v>0</v>
      </c>
      <c r="J34" s="102">
        <f t="shared" si="6"/>
        <v>0</v>
      </c>
    </row>
    <row r="35" spans="2:10" x14ac:dyDescent="0.25">
      <c r="B35" s="592">
        <f t="shared" si="2"/>
        <v>0</v>
      </c>
      <c r="C35" s="15"/>
      <c r="D35" s="735"/>
      <c r="E35" s="736"/>
      <c r="F35" s="735">
        <f t="shared" si="0"/>
        <v>0</v>
      </c>
      <c r="G35" s="488"/>
      <c r="H35" s="489"/>
      <c r="I35" s="594">
        <f t="shared" si="5"/>
        <v>0</v>
      </c>
      <c r="J35" s="102">
        <f t="shared" si="6"/>
        <v>0</v>
      </c>
    </row>
    <row r="36" spans="2:10" x14ac:dyDescent="0.25">
      <c r="B36" s="592">
        <f t="shared" si="2"/>
        <v>0</v>
      </c>
      <c r="C36" s="15"/>
      <c r="D36" s="735"/>
      <c r="E36" s="736"/>
      <c r="F36" s="735">
        <f t="shared" si="0"/>
        <v>0</v>
      </c>
      <c r="G36" s="488"/>
      <c r="H36" s="489"/>
      <c r="I36" s="594">
        <f t="shared" si="5"/>
        <v>0</v>
      </c>
      <c r="J36" s="102">
        <f t="shared" si="6"/>
        <v>0</v>
      </c>
    </row>
    <row r="37" spans="2:10" ht="15.75" thickBot="1" x14ac:dyDescent="0.3">
      <c r="B37" s="59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65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8">
        <f>SUM(D9:D37)</f>
        <v>0</v>
      </c>
      <c r="E38" s="13"/>
      <c r="F38" s="68">
        <f>SUM(F9:F37)</f>
        <v>0</v>
      </c>
      <c r="G38" s="31"/>
      <c r="H38" s="17"/>
      <c r="I38" s="59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96">
        <f>F4+F5+F6+F7-C38</f>
        <v>0</v>
      </c>
      <c r="E40" s="40"/>
      <c r="F40" s="6"/>
      <c r="G40" s="31"/>
      <c r="H40" s="17"/>
    </row>
    <row r="41" spans="2:10" x14ac:dyDescent="0.25">
      <c r="C41" s="1656" t="s">
        <v>19</v>
      </c>
      <c r="D41" s="1657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pane xSplit="2" ySplit="9" topLeftCell="C16" activePane="bottomRight" state="frozen"/>
      <selection pane="topRight" activeCell="C1" sqref="C1"/>
      <selection pane="bottomLeft" activeCell="A10" sqref="A10"/>
      <selection pane="bottomRight" activeCell="A23" sqref="A22: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3" t="s">
        <v>333</v>
      </c>
      <c r="B1" s="1593"/>
      <c r="C1" s="1593"/>
      <c r="D1" s="1593"/>
      <c r="E1" s="1593"/>
      <c r="F1" s="1593"/>
      <c r="G1" s="15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864"/>
      <c r="B4" s="140"/>
      <c r="C4" s="501"/>
      <c r="D4" s="130"/>
      <c r="E4" s="823"/>
      <c r="F4" s="61"/>
    </row>
    <row r="5" spans="1:10" ht="20.25" customHeight="1" x14ac:dyDescent="0.25">
      <c r="A5" s="1673" t="s">
        <v>52</v>
      </c>
      <c r="B5" s="1668" t="s">
        <v>99</v>
      </c>
      <c r="C5" s="733">
        <v>59</v>
      </c>
      <c r="D5" s="556">
        <v>45180</v>
      </c>
      <c r="E5" s="822">
        <v>14666.78</v>
      </c>
      <c r="F5" s="684">
        <v>515</v>
      </c>
      <c r="G5" s="143">
        <f>F62</f>
        <v>19072.080000000002</v>
      </c>
      <c r="H5" s="57">
        <f>E4+E5+E8-G5+E6</f>
        <v>-4.9400000000014188</v>
      </c>
    </row>
    <row r="6" spans="1:10" ht="20.25" customHeight="1" x14ac:dyDescent="0.25">
      <c r="A6" s="1673"/>
      <c r="B6" s="1669"/>
      <c r="C6" s="212">
        <v>59</v>
      </c>
      <c r="D6" s="130">
        <v>45184</v>
      </c>
      <c r="E6" s="823">
        <v>4400.3599999999997</v>
      </c>
      <c r="F6" s="226">
        <v>151</v>
      </c>
      <c r="G6" s="143"/>
      <c r="H6" s="57"/>
    </row>
    <row r="7" spans="1:10" ht="20.25" customHeight="1" thickBot="1" x14ac:dyDescent="0.3">
      <c r="A7" s="1673"/>
      <c r="B7" s="1669"/>
      <c r="C7" s="482"/>
      <c r="D7" s="323"/>
      <c r="E7" s="824"/>
      <c r="F7" s="227"/>
      <c r="G7" s="143"/>
      <c r="H7" s="57"/>
    </row>
    <row r="8" spans="1:10" ht="21" customHeight="1" thickTop="1" thickBot="1" x14ac:dyDescent="0.3">
      <c r="A8" s="865"/>
      <c r="B8" s="1670"/>
      <c r="C8" s="482"/>
      <c r="D8" s="130"/>
      <c r="E8" s="823"/>
      <c r="F8" s="226"/>
      <c r="I8" s="1671" t="s">
        <v>3</v>
      </c>
      <c r="J8" s="166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72"/>
      <c r="J9" s="1667"/>
    </row>
    <row r="10" spans="1:10" ht="15.75" thickTop="1" x14ac:dyDescent="0.25">
      <c r="A10" s="79" t="s">
        <v>32</v>
      </c>
      <c r="B10" s="82"/>
      <c r="C10" s="15">
        <v>35</v>
      </c>
      <c r="D10" s="168">
        <v>1012.84</v>
      </c>
      <c r="E10" s="232">
        <v>45181</v>
      </c>
      <c r="F10" s="68">
        <f t="shared" ref="F10:F15" si="0">D10</f>
        <v>1012.84</v>
      </c>
      <c r="G10" s="69" t="s">
        <v>610</v>
      </c>
      <c r="H10" s="124">
        <v>61</v>
      </c>
      <c r="I10" s="197">
        <f>E5+E4-F10+E8+E6+E7</f>
        <v>18054.3</v>
      </c>
      <c r="J10" s="123">
        <f>F4+F5+F8-C10+F6+F7</f>
        <v>631</v>
      </c>
    </row>
    <row r="11" spans="1:10" x14ac:dyDescent="0.25">
      <c r="A11" s="185"/>
      <c r="B11" s="82"/>
      <c r="C11" s="15">
        <v>35</v>
      </c>
      <c r="D11" s="168">
        <v>966.15</v>
      </c>
      <c r="E11" s="232">
        <v>45181</v>
      </c>
      <c r="F11" s="68">
        <f t="shared" si="0"/>
        <v>966.15</v>
      </c>
      <c r="G11" s="69" t="s">
        <v>610</v>
      </c>
      <c r="H11" s="124">
        <v>61</v>
      </c>
      <c r="I11" s="197">
        <f>I10-F11</f>
        <v>17088.149999999998</v>
      </c>
      <c r="J11" s="123">
        <f>J10-C11</f>
        <v>596</v>
      </c>
    </row>
    <row r="12" spans="1:10" x14ac:dyDescent="0.25">
      <c r="A12" s="174"/>
      <c r="B12" s="82"/>
      <c r="C12" s="15">
        <v>70</v>
      </c>
      <c r="D12" s="168">
        <v>1945.75</v>
      </c>
      <c r="E12" s="232">
        <v>45181</v>
      </c>
      <c r="F12" s="68">
        <f t="shared" si="0"/>
        <v>1945.75</v>
      </c>
      <c r="G12" s="69" t="s">
        <v>617</v>
      </c>
      <c r="H12" s="124">
        <v>61</v>
      </c>
      <c r="I12" s="197">
        <f t="shared" ref="I12:I42" si="1">I11-F12</f>
        <v>15142.399999999998</v>
      </c>
      <c r="J12" s="123">
        <f t="shared" ref="J12:J60" si="2">J11-C12</f>
        <v>526</v>
      </c>
    </row>
    <row r="13" spans="1:10" x14ac:dyDescent="0.25">
      <c r="A13" s="81" t="s">
        <v>33</v>
      </c>
      <c r="B13" s="82"/>
      <c r="C13" s="15">
        <v>35</v>
      </c>
      <c r="D13" s="168">
        <v>1020.37</v>
      </c>
      <c r="E13" s="232">
        <v>45181</v>
      </c>
      <c r="F13" s="68">
        <f t="shared" si="0"/>
        <v>1020.37</v>
      </c>
      <c r="G13" s="69" t="s">
        <v>619</v>
      </c>
      <c r="H13" s="124">
        <v>61</v>
      </c>
      <c r="I13" s="197">
        <f t="shared" si="1"/>
        <v>14122.029999999997</v>
      </c>
      <c r="J13" s="123">
        <f t="shared" si="2"/>
        <v>491</v>
      </c>
    </row>
    <row r="14" spans="1:10" x14ac:dyDescent="0.25">
      <c r="A14" s="72"/>
      <c r="B14" s="82"/>
      <c r="C14" s="15">
        <v>35</v>
      </c>
      <c r="D14" s="168">
        <v>944.37</v>
      </c>
      <c r="E14" s="232">
        <v>45181</v>
      </c>
      <c r="F14" s="68">
        <f t="shared" si="0"/>
        <v>944.37</v>
      </c>
      <c r="G14" s="69" t="s">
        <v>619</v>
      </c>
      <c r="H14" s="124">
        <v>61</v>
      </c>
      <c r="I14" s="197">
        <f t="shared" si="1"/>
        <v>13177.659999999996</v>
      </c>
      <c r="J14" s="123">
        <f t="shared" si="2"/>
        <v>456</v>
      </c>
    </row>
    <row r="15" spans="1:10" x14ac:dyDescent="0.25">
      <c r="A15" s="72"/>
      <c r="B15" s="82"/>
      <c r="C15" s="15">
        <v>35</v>
      </c>
      <c r="D15" s="168">
        <v>1023.74</v>
      </c>
      <c r="E15" s="231">
        <v>45181</v>
      </c>
      <c r="F15" s="68">
        <f t="shared" si="0"/>
        <v>1023.74</v>
      </c>
      <c r="G15" s="69" t="s">
        <v>621</v>
      </c>
      <c r="H15" s="124">
        <v>61</v>
      </c>
      <c r="I15" s="197">
        <f t="shared" si="1"/>
        <v>12153.919999999996</v>
      </c>
      <c r="J15" s="123">
        <f t="shared" si="2"/>
        <v>421</v>
      </c>
    </row>
    <row r="16" spans="1:10" x14ac:dyDescent="0.25">
      <c r="B16" s="82"/>
      <c r="C16" s="15">
        <v>35</v>
      </c>
      <c r="D16" s="168">
        <v>1043.96</v>
      </c>
      <c r="E16" s="231">
        <v>45181</v>
      </c>
      <c r="F16" s="68">
        <f>D16</f>
        <v>1043.96</v>
      </c>
      <c r="G16" s="69" t="s">
        <v>624</v>
      </c>
      <c r="H16" s="124">
        <v>61</v>
      </c>
      <c r="I16" s="197">
        <f t="shared" si="1"/>
        <v>11109.959999999995</v>
      </c>
      <c r="J16" s="123">
        <f t="shared" si="2"/>
        <v>386</v>
      </c>
    </row>
    <row r="17" spans="1:10" x14ac:dyDescent="0.25">
      <c r="B17" s="82"/>
      <c r="C17" s="15">
        <v>35</v>
      </c>
      <c r="D17" s="168">
        <v>1034.81</v>
      </c>
      <c r="E17" s="231">
        <v>45181</v>
      </c>
      <c r="F17" s="68">
        <f>D17</f>
        <v>1034.81</v>
      </c>
      <c r="G17" s="69" t="s">
        <v>624</v>
      </c>
      <c r="H17" s="124">
        <v>61</v>
      </c>
      <c r="I17" s="197">
        <f t="shared" si="1"/>
        <v>10075.149999999996</v>
      </c>
      <c r="J17" s="123">
        <f t="shared" si="2"/>
        <v>351</v>
      </c>
    </row>
    <row r="18" spans="1:10" x14ac:dyDescent="0.25">
      <c r="A18" s="80"/>
      <c r="B18" s="82"/>
      <c r="C18" s="15">
        <v>35</v>
      </c>
      <c r="D18" s="168">
        <v>972.89</v>
      </c>
      <c r="E18" s="238">
        <v>45181</v>
      </c>
      <c r="F18" s="68">
        <f>D18</f>
        <v>972.89</v>
      </c>
      <c r="G18" s="69" t="s">
        <v>625</v>
      </c>
      <c r="H18" s="124">
        <v>61</v>
      </c>
      <c r="I18" s="197">
        <f t="shared" si="1"/>
        <v>9102.2599999999966</v>
      </c>
      <c r="J18" s="123">
        <f t="shared" si="2"/>
        <v>316</v>
      </c>
    </row>
    <row r="19" spans="1:10" x14ac:dyDescent="0.25">
      <c r="A19" s="82"/>
      <c r="B19" s="82"/>
      <c r="C19" s="15">
        <v>35</v>
      </c>
      <c r="D19" s="168">
        <v>1029.83</v>
      </c>
      <c r="E19" s="238">
        <v>45182</v>
      </c>
      <c r="F19" s="68">
        <f t="shared" ref="F19:F60" si="3">D19</f>
        <v>1029.83</v>
      </c>
      <c r="G19" s="679" t="s">
        <v>626</v>
      </c>
      <c r="H19" s="124">
        <v>61</v>
      </c>
      <c r="I19" s="197">
        <f t="shared" si="1"/>
        <v>8072.4299999999967</v>
      </c>
      <c r="J19" s="123">
        <f t="shared" si="2"/>
        <v>281</v>
      </c>
    </row>
    <row r="20" spans="1:10" x14ac:dyDescent="0.25">
      <c r="A20" s="2"/>
      <c r="B20" s="82"/>
      <c r="C20" s="15">
        <v>35</v>
      </c>
      <c r="D20" s="168">
        <v>968.44</v>
      </c>
      <c r="E20" s="238">
        <v>45182</v>
      </c>
      <c r="F20" s="68">
        <f t="shared" si="3"/>
        <v>968.44</v>
      </c>
      <c r="G20" s="69" t="s">
        <v>626</v>
      </c>
      <c r="H20" s="124">
        <v>61</v>
      </c>
      <c r="I20" s="197">
        <f t="shared" si="1"/>
        <v>7103.9899999999961</v>
      </c>
      <c r="J20" s="123">
        <f t="shared" si="2"/>
        <v>246</v>
      </c>
    </row>
    <row r="21" spans="1:10" x14ac:dyDescent="0.25">
      <c r="A21" s="2"/>
      <c r="B21" s="82"/>
      <c r="C21" s="15">
        <v>35</v>
      </c>
      <c r="D21" s="168">
        <v>1008.75</v>
      </c>
      <c r="E21" s="238">
        <v>45182</v>
      </c>
      <c r="F21" s="68">
        <f t="shared" si="3"/>
        <v>1008.75</v>
      </c>
      <c r="G21" s="69" t="s">
        <v>626</v>
      </c>
      <c r="H21" s="124">
        <v>61</v>
      </c>
      <c r="I21" s="197">
        <f t="shared" si="1"/>
        <v>6095.2399999999961</v>
      </c>
      <c r="J21" s="123">
        <f t="shared" si="2"/>
        <v>211</v>
      </c>
    </row>
    <row r="22" spans="1:10" x14ac:dyDescent="0.25">
      <c r="A22" s="2"/>
      <c r="B22" s="82"/>
      <c r="C22" s="15">
        <v>35</v>
      </c>
      <c r="D22" s="168">
        <v>1043.94</v>
      </c>
      <c r="E22" s="231">
        <v>45182</v>
      </c>
      <c r="F22" s="68">
        <f t="shared" si="3"/>
        <v>1043.94</v>
      </c>
      <c r="G22" s="69" t="s">
        <v>626</v>
      </c>
      <c r="H22" s="124">
        <v>61</v>
      </c>
      <c r="I22" s="197">
        <f t="shared" si="1"/>
        <v>5051.2999999999956</v>
      </c>
      <c r="J22" s="123">
        <f t="shared" si="2"/>
        <v>176</v>
      </c>
    </row>
    <row r="23" spans="1:10" x14ac:dyDescent="0.25">
      <c r="A23" s="2"/>
      <c r="B23" s="82"/>
      <c r="C23" s="15">
        <v>25</v>
      </c>
      <c r="D23" s="168">
        <v>655.94</v>
      </c>
      <c r="E23" s="231">
        <v>45182</v>
      </c>
      <c r="F23" s="68">
        <f t="shared" si="3"/>
        <v>655.94</v>
      </c>
      <c r="G23" s="69" t="s">
        <v>631</v>
      </c>
      <c r="H23" s="124">
        <v>61</v>
      </c>
      <c r="I23" s="197">
        <f t="shared" si="1"/>
        <v>4395.3599999999951</v>
      </c>
      <c r="J23" s="123">
        <f t="shared" si="2"/>
        <v>151</v>
      </c>
    </row>
    <row r="24" spans="1:10" x14ac:dyDescent="0.25">
      <c r="A24" s="2"/>
      <c r="B24" s="82"/>
      <c r="C24" s="15">
        <v>151</v>
      </c>
      <c r="D24" s="168">
        <v>4400.3</v>
      </c>
      <c r="E24" s="231">
        <v>45184</v>
      </c>
      <c r="F24" s="68">
        <f t="shared" si="3"/>
        <v>4400.3</v>
      </c>
      <c r="G24" s="69" t="s">
        <v>654</v>
      </c>
      <c r="H24" s="124">
        <v>61</v>
      </c>
      <c r="I24" s="197">
        <f t="shared" si="1"/>
        <v>-4.9400000000050568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-4.9400000000050568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1269">
        <f t="shared" si="3"/>
        <v>0</v>
      </c>
      <c r="G26" s="1270"/>
      <c r="H26" s="1295"/>
      <c r="I26" s="1296">
        <f t="shared" si="1"/>
        <v>-4.9400000000050568</v>
      </c>
      <c r="J26" s="1289">
        <f t="shared" si="2"/>
        <v>0</v>
      </c>
    </row>
    <row r="27" spans="1:10" x14ac:dyDescent="0.25">
      <c r="A27" s="2"/>
      <c r="B27" s="82"/>
      <c r="C27" s="15"/>
      <c r="D27" s="168"/>
      <c r="E27" s="238"/>
      <c r="F27" s="1269">
        <f t="shared" si="3"/>
        <v>0</v>
      </c>
      <c r="G27" s="1270"/>
      <c r="H27" s="1295"/>
      <c r="I27" s="1296">
        <f t="shared" si="1"/>
        <v>-4.9400000000050568</v>
      </c>
      <c r="J27" s="1289">
        <f t="shared" si="2"/>
        <v>0</v>
      </c>
    </row>
    <row r="28" spans="1:10" x14ac:dyDescent="0.25">
      <c r="A28" s="2"/>
      <c r="B28" s="82"/>
      <c r="C28" s="15"/>
      <c r="D28" s="168"/>
      <c r="E28" s="238"/>
      <c r="F28" s="1269">
        <f t="shared" si="3"/>
        <v>0</v>
      </c>
      <c r="G28" s="1270"/>
      <c r="H28" s="1295"/>
      <c r="I28" s="1296">
        <f t="shared" si="1"/>
        <v>-4.9400000000050568</v>
      </c>
      <c r="J28" s="1289">
        <f t="shared" si="2"/>
        <v>0</v>
      </c>
    </row>
    <row r="29" spans="1:10" x14ac:dyDescent="0.25">
      <c r="A29" s="169"/>
      <c r="B29" s="82"/>
      <c r="C29" s="15"/>
      <c r="D29" s="168"/>
      <c r="E29" s="238"/>
      <c r="F29" s="1269">
        <f t="shared" si="3"/>
        <v>0</v>
      </c>
      <c r="G29" s="1270"/>
      <c r="H29" s="1295"/>
      <c r="I29" s="1296">
        <f t="shared" si="1"/>
        <v>-4.9400000000050568</v>
      </c>
      <c r="J29" s="1289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-4.9400000000050568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-4.9400000000050568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-4.9400000000050568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-4.9400000000050568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-4.9400000000050568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-4.9400000000050568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-4.9400000000050568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-4.9400000000050568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-4.9400000000050568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-4.9400000000050568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-4.9400000000050568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-4.9400000000050568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-4.9400000000050568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-4.9400000000050568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-4.9400000000050568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-4.9400000000050568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-4.9400000000050568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-4.9400000000050568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-4.9400000000050568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-4.9400000000050568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-4.9400000000050568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-4.9400000000050568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-4.9400000000050568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-4.9400000000050568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-4.9400000000050568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-4.9400000000050568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-4.9400000000050568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-4.9400000000050568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-4.9400000000050568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-4.9400000000050568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-4.9400000000050568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666</v>
      </c>
      <c r="D62" s="48">
        <f>SUM(D10:D61)</f>
        <v>19072.080000000002</v>
      </c>
      <c r="E62" s="38"/>
      <c r="F62" s="5">
        <f>SUM(F10:F61)</f>
        <v>19072.080000000002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-151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647" t="s">
        <v>11</v>
      </c>
      <c r="D65" s="1648"/>
      <c r="E65" s="141">
        <f>E5+E4+E8+-F62</f>
        <v>-4405.3000000000011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76"/>
      <c r="B1" s="1676"/>
      <c r="C1" s="1676"/>
      <c r="D1" s="1676"/>
      <c r="E1" s="1676"/>
      <c r="F1" s="1676"/>
      <c r="G1" s="1676"/>
      <c r="H1" s="1676"/>
      <c r="I1" s="167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130"/>
      <c r="E4" s="777"/>
      <c r="F4" s="778"/>
      <c r="G4" s="72"/>
    </row>
    <row r="5" spans="1:10" ht="15" customHeight="1" x14ac:dyDescent="0.25">
      <c r="A5" s="1677"/>
      <c r="B5" s="1525" t="s">
        <v>75</v>
      </c>
      <c r="C5" s="222"/>
      <c r="D5" s="130"/>
      <c r="E5" s="777"/>
      <c r="F5" s="778"/>
      <c r="G5" s="143">
        <f>F102</f>
        <v>0</v>
      </c>
      <c r="H5" s="57">
        <f>E4+E5+E6-G5+E7+E8</f>
        <v>0</v>
      </c>
    </row>
    <row r="6" spans="1:10" ht="16.5" customHeight="1" x14ac:dyDescent="0.25">
      <c r="A6" s="1677"/>
      <c r="B6" s="1526"/>
      <c r="C6" s="222"/>
      <c r="D6" s="130"/>
      <c r="E6" s="777"/>
      <c r="F6" s="778"/>
      <c r="G6" s="72"/>
    </row>
    <row r="7" spans="1:10" ht="15.75" customHeight="1" thickBot="1" x14ac:dyDescent="0.35">
      <c r="A7" s="1677"/>
      <c r="B7" s="1527"/>
      <c r="C7" s="222"/>
      <c r="D7" s="130"/>
      <c r="E7" s="777"/>
      <c r="F7" s="778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130"/>
      <c r="E8" s="779"/>
      <c r="F8" s="123"/>
      <c r="G8" s="72"/>
      <c r="I8" s="1660" t="s">
        <v>47</v>
      </c>
      <c r="J8" s="1674" t="s">
        <v>4</v>
      </c>
    </row>
    <row r="9" spans="1:10" ht="16.5" customHeight="1" thickTop="1" thickBot="1" x14ac:dyDescent="0.3">
      <c r="A9" s="1"/>
      <c r="B9" s="24" t="s">
        <v>7</v>
      </c>
      <c r="C9" s="73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1"/>
      <c r="J9" s="1675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967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79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47" t="s">
        <v>11</v>
      </c>
      <c r="D105" s="1648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76" t="s">
        <v>334</v>
      </c>
      <c r="B1" s="1676"/>
      <c r="C1" s="1676"/>
      <c r="D1" s="1676"/>
      <c r="E1" s="1676"/>
      <c r="F1" s="1676"/>
      <c r="G1" s="1676"/>
      <c r="H1" s="1676"/>
      <c r="I1" s="167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318"/>
      <c r="E4" s="240"/>
      <c r="F4" s="227"/>
      <c r="G4" s="72"/>
    </row>
    <row r="5" spans="1:10" ht="15" customHeight="1" x14ac:dyDescent="0.3">
      <c r="A5" s="1678" t="s">
        <v>462</v>
      </c>
      <c r="B5" s="1679" t="s">
        <v>184</v>
      </c>
      <c r="C5" s="713">
        <v>100</v>
      </c>
      <c r="D5" s="318">
        <v>45191</v>
      </c>
      <c r="E5" s="712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678"/>
      <c r="B6" s="1680"/>
      <c r="C6" s="222"/>
      <c r="D6" s="318"/>
      <c r="E6" s="712"/>
      <c r="F6" s="227"/>
      <c r="G6" s="72"/>
    </row>
    <row r="7" spans="1:10" ht="15.75" customHeight="1" thickBot="1" x14ac:dyDescent="0.35">
      <c r="A7" s="1678"/>
      <c r="B7" s="1681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318"/>
      <c r="E8" s="225"/>
      <c r="F8" s="226"/>
      <c r="G8" s="72"/>
      <c r="I8" s="1660" t="s">
        <v>47</v>
      </c>
      <c r="J8" s="167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61"/>
      <c r="J9" s="1675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688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754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28">
        <f t="shared" ref="I12:I40" si="0">I11-F12</f>
        <v>25.779999999999998</v>
      </c>
      <c r="J12" s="123">
        <f t="shared" ref="J12:J40" si="1">J11-C12</f>
        <v>3</v>
      </c>
    </row>
    <row r="13" spans="1:10" x14ac:dyDescent="0.25">
      <c r="A13" s="80"/>
      <c r="B13" s="82"/>
      <c r="C13" s="15"/>
      <c r="D13" s="147"/>
      <c r="E13" s="238"/>
      <c r="F13" s="68">
        <f t="shared" ref="F13:F40" si="2">D13</f>
        <v>0</v>
      </c>
      <c r="G13" s="69"/>
      <c r="H13" s="70"/>
      <c r="I13" s="128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47"/>
      <c r="E14" s="238"/>
      <c r="F14" s="68">
        <f t="shared" si="2"/>
        <v>0</v>
      </c>
      <c r="G14" s="69"/>
      <c r="H14" s="70"/>
      <c r="I14" s="128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2"/>
        <v>0</v>
      </c>
      <c r="G15" s="69"/>
      <c r="H15" s="70"/>
      <c r="I15" s="128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47"/>
      <c r="E16" s="231"/>
      <c r="F16" s="68">
        <f t="shared" si="2"/>
        <v>0</v>
      </c>
      <c r="G16" s="69"/>
      <c r="H16" s="70"/>
      <c r="I16" s="128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47"/>
      <c r="E17" s="238"/>
      <c r="F17" s="68">
        <f t="shared" si="2"/>
        <v>0</v>
      </c>
      <c r="G17" s="69"/>
      <c r="H17" s="70"/>
      <c r="I17" s="128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47"/>
      <c r="E18" s="238"/>
      <c r="F18" s="68">
        <f t="shared" si="2"/>
        <v>0</v>
      </c>
      <c r="G18" s="679"/>
      <c r="H18" s="70"/>
      <c r="I18" s="128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47"/>
      <c r="E19" s="238"/>
      <c r="F19" s="68">
        <f t="shared" si="2"/>
        <v>0</v>
      </c>
      <c r="G19" s="69"/>
      <c r="H19" s="70"/>
      <c r="I19" s="128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47"/>
      <c r="E20" s="231"/>
      <c r="F20" s="68">
        <f t="shared" si="2"/>
        <v>0</v>
      </c>
      <c r="G20" s="69"/>
      <c r="H20" s="70"/>
      <c r="I20" s="128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47"/>
      <c r="E21" s="231"/>
      <c r="F21" s="68">
        <f t="shared" si="2"/>
        <v>0</v>
      </c>
      <c r="G21" s="69"/>
      <c r="H21" s="70"/>
      <c r="I21" s="128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47"/>
      <c r="E22" s="232"/>
      <c r="F22" s="68">
        <f t="shared" si="2"/>
        <v>0</v>
      </c>
      <c r="G22" s="69"/>
      <c r="H22" s="70"/>
      <c r="I22" s="128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47"/>
      <c r="E23" s="232"/>
      <c r="F23" s="68">
        <f t="shared" si="2"/>
        <v>0</v>
      </c>
      <c r="G23" s="69"/>
      <c r="H23" s="70"/>
      <c r="I23" s="128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47" t="s">
        <v>11</v>
      </c>
      <c r="D46" s="1648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3" t="s">
        <v>334</v>
      </c>
      <c r="B1" s="1593"/>
      <c r="C1" s="1593"/>
      <c r="D1" s="1593"/>
      <c r="E1" s="1593"/>
      <c r="F1" s="1593"/>
      <c r="G1" s="15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12"/>
      <c r="B4" s="12"/>
      <c r="C4" s="12"/>
      <c r="D4" s="968"/>
      <c r="E4" s="883"/>
      <c r="F4" s="970"/>
      <c r="G4" s="125"/>
      <c r="H4" s="151"/>
    </row>
    <row r="5" spans="1:10" ht="16.5" thickBot="1" x14ac:dyDescent="0.3">
      <c r="A5" s="74"/>
      <c r="B5" s="140"/>
      <c r="C5" s="482"/>
      <c r="D5" s="130"/>
      <c r="E5" s="969"/>
      <c r="F5" s="971"/>
    </row>
    <row r="6" spans="1:10" ht="15" customHeight="1" thickBot="1" x14ac:dyDescent="0.3">
      <c r="A6" s="1682" t="s">
        <v>95</v>
      </c>
      <c r="B6" s="1679" t="s">
        <v>97</v>
      </c>
      <c r="C6" s="124">
        <v>74</v>
      </c>
      <c r="D6" s="130">
        <v>45177</v>
      </c>
      <c r="E6" s="1059">
        <v>1732.13</v>
      </c>
      <c r="F6" s="971">
        <v>70</v>
      </c>
      <c r="G6" s="143">
        <f>F47</f>
        <v>1392.86</v>
      </c>
      <c r="H6" s="57">
        <f>E5+E6+E7-G6</f>
        <v>339.27000000000021</v>
      </c>
    </row>
    <row r="7" spans="1:10" ht="16.5" thickTop="1" thickBot="1" x14ac:dyDescent="0.3">
      <c r="A7" s="1683"/>
      <c r="B7" s="1681"/>
      <c r="C7" s="124"/>
      <c r="D7" s="130"/>
      <c r="E7" s="883"/>
      <c r="F7" s="970"/>
      <c r="I7" s="1671" t="s">
        <v>3</v>
      </c>
      <c r="J7" s="166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72"/>
      <c r="J8" s="1667"/>
    </row>
    <row r="9" spans="1:10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0">D9</f>
        <v>19.84</v>
      </c>
      <c r="G9" s="69" t="s">
        <v>578</v>
      </c>
      <c r="H9" s="124">
        <v>76</v>
      </c>
      <c r="I9" s="197">
        <f>E6+E5-F9+E7+E4</f>
        <v>1712.2900000000002</v>
      </c>
      <c r="J9" s="123">
        <f>F5+F6+F7-C9+F4</f>
        <v>69</v>
      </c>
    </row>
    <row r="10" spans="1:10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0"/>
        <v>237.33</v>
      </c>
      <c r="G10" s="69" t="s">
        <v>590</v>
      </c>
      <c r="H10" s="124">
        <v>76</v>
      </c>
      <c r="I10" s="197">
        <f>I9-F10</f>
        <v>1474.9600000000003</v>
      </c>
      <c r="J10" s="123">
        <f>J9-C10</f>
        <v>59</v>
      </c>
    </row>
    <row r="11" spans="1:10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0"/>
        <v>29.39</v>
      </c>
      <c r="G11" s="69" t="s">
        <v>600</v>
      </c>
      <c r="H11" s="124">
        <v>76</v>
      </c>
      <c r="I11" s="197">
        <f t="shared" ref="I11:I45" si="1">I10-F11</f>
        <v>1445.5700000000002</v>
      </c>
      <c r="J11" s="123">
        <f t="shared" ref="J11:J45" si="2">J10-C11</f>
        <v>58</v>
      </c>
    </row>
    <row r="12" spans="1:10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0"/>
        <v>18.96</v>
      </c>
      <c r="G12" s="69" t="s">
        <v>618</v>
      </c>
      <c r="H12" s="124">
        <v>74</v>
      </c>
      <c r="I12" s="197">
        <f t="shared" si="1"/>
        <v>1426.6100000000001</v>
      </c>
      <c r="J12" s="123">
        <f t="shared" si="2"/>
        <v>57</v>
      </c>
    </row>
    <row r="13" spans="1:10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0"/>
        <v>26</v>
      </c>
      <c r="G13" s="69" t="s">
        <v>618</v>
      </c>
      <c r="H13" s="124">
        <v>74</v>
      </c>
      <c r="I13" s="197">
        <f t="shared" si="1"/>
        <v>1400.6100000000001</v>
      </c>
      <c r="J13" s="123">
        <f t="shared" si="2"/>
        <v>56</v>
      </c>
    </row>
    <row r="14" spans="1:10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0"/>
        <v>205.38</v>
      </c>
      <c r="G14" s="69" t="s">
        <v>621</v>
      </c>
      <c r="H14" s="124">
        <v>74</v>
      </c>
      <c r="I14" s="197">
        <f t="shared" si="1"/>
        <v>1195.23</v>
      </c>
      <c r="J14" s="123">
        <f t="shared" si="2"/>
        <v>48</v>
      </c>
    </row>
    <row r="15" spans="1:10" x14ac:dyDescent="0.25">
      <c r="B15" s="82"/>
      <c r="C15" s="15">
        <v>8</v>
      </c>
      <c r="D15" s="168">
        <v>197.29</v>
      </c>
      <c r="E15" s="231">
        <v>45184</v>
      </c>
      <c r="F15" s="68">
        <f t="shared" si="0"/>
        <v>197.29</v>
      </c>
      <c r="G15" s="69" t="s">
        <v>653</v>
      </c>
      <c r="H15" s="124">
        <v>74</v>
      </c>
      <c r="I15" s="942">
        <f t="shared" si="1"/>
        <v>997.94</v>
      </c>
      <c r="J15" s="123">
        <f t="shared" si="2"/>
        <v>40</v>
      </c>
    </row>
    <row r="16" spans="1:10" x14ac:dyDescent="0.25">
      <c r="B16" s="82"/>
      <c r="C16" s="15">
        <v>8</v>
      </c>
      <c r="D16" s="168">
        <v>210.2</v>
      </c>
      <c r="E16" s="231">
        <v>45188</v>
      </c>
      <c r="F16" s="68">
        <f t="shared" si="0"/>
        <v>210.2</v>
      </c>
      <c r="G16" s="69" t="s">
        <v>673</v>
      </c>
      <c r="H16" s="124">
        <v>76</v>
      </c>
      <c r="I16" s="197">
        <f t="shared" si="1"/>
        <v>787.74</v>
      </c>
      <c r="J16" s="123">
        <f t="shared" si="2"/>
        <v>32</v>
      </c>
    </row>
    <row r="17" spans="1:10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0"/>
        <v>206.84</v>
      </c>
      <c r="G17" s="69" t="s">
        <v>722</v>
      </c>
      <c r="H17" s="124">
        <v>76</v>
      </c>
      <c r="I17" s="197">
        <f t="shared" si="1"/>
        <v>580.9</v>
      </c>
      <c r="J17" s="123">
        <f t="shared" si="2"/>
        <v>24</v>
      </c>
    </row>
    <row r="18" spans="1:10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0"/>
        <v>23.73</v>
      </c>
      <c r="G18" s="679" t="s">
        <v>730</v>
      </c>
      <c r="H18" s="124">
        <v>74</v>
      </c>
      <c r="I18" s="197">
        <f t="shared" si="1"/>
        <v>557.16999999999996</v>
      </c>
      <c r="J18" s="123">
        <f t="shared" si="2"/>
        <v>23</v>
      </c>
    </row>
    <row r="19" spans="1:10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0"/>
        <v>23.64</v>
      </c>
      <c r="G19" s="69" t="s">
        <v>757</v>
      </c>
      <c r="H19" s="124">
        <v>74</v>
      </c>
      <c r="I19" s="197">
        <f t="shared" si="1"/>
        <v>533.53</v>
      </c>
      <c r="J19" s="123">
        <f t="shared" si="2"/>
        <v>22</v>
      </c>
    </row>
    <row r="20" spans="1:10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0"/>
        <v>194.26</v>
      </c>
      <c r="G20" s="69" t="s">
        <v>778</v>
      </c>
      <c r="H20" s="124">
        <v>74</v>
      </c>
      <c r="I20" s="197">
        <f t="shared" si="1"/>
        <v>339.27</v>
      </c>
      <c r="J20" s="123">
        <f t="shared" si="2"/>
        <v>14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0"/>
        <v>0</v>
      </c>
      <c r="G21" s="69"/>
      <c r="H21" s="124"/>
      <c r="I21" s="197">
        <f t="shared" si="1"/>
        <v>339.27</v>
      </c>
      <c r="J21" s="123">
        <f t="shared" si="2"/>
        <v>14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0"/>
        <v>0</v>
      </c>
      <c r="G22" s="69"/>
      <c r="H22" s="124"/>
      <c r="I22" s="197">
        <f t="shared" si="1"/>
        <v>339.27</v>
      </c>
      <c r="J22" s="123">
        <f t="shared" si="2"/>
        <v>14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0"/>
        <v>0</v>
      </c>
      <c r="G23" s="69"/>
      <c r="H23" s="124"/>
      <c r="I23" s="197">
        <f t="shared" si="1"/>
        <v>339.27</v>
      </c>
      <c r="J23" s="123">
        <f t="shared" si="2"/>
        <v>14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339.27</v>
      </c>
      <c r="J24" s="123">
        <f t="shared" si="2"/>
        <v>14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339.27</v>
      </c>
      <c r="J25" s="123">
        <f t="shared" si="2"/>
        <v>14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0"/>
        <v>0</v>
      </c>
      <c r="G26" s="69"/>
      <c r="H26" s="124"/>
      <c r="I26" s="197">
        <f t="shared" si="1"/>
        <v>339.27</v>
      </c>
      <c r="J26" s="123">
        <f t="shared" si="2"/>
        <v>14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0"/>
        <v>0</v>
      </c>
      <c r="G27" s="69"/>
      <c r="H27" s="124"/>
      <c r="I27" s="197">
        <f t="shared" si="1"/>
        <v>339.27</v>
      </c>
      <c r="J27" s="123">
        <f t="shared" si="2"/>
        <v>14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0"/>
        <v>0</v>
      </c>
      <c r="G28" s="69"/>
      <c r="H28" s="124"/>
      <c r="I28" s="197">
        <f t="shared" si="1"/>
        <v>339.27</v>
      </c>
      <c r="J28" s="123">
        <f t="shared" si="2"/>
        <v>14</v>
      </c>
    </row>
    <row r="29" spans="1:10" x14ac:dyDescent="0.25">
      <c r="A29" s="2"/>
      <c r="B29" s="82"/>
      <c r="C29" s="15"/>
      <c r="D29" s="168">
        <v>0</v>
      </c>
      <c r="E29" s="797"/>
      <c r="F29" s="68">
        <f t="shared" si="0"/>
        <v>0</v>
      </c>
      <c r="G29" s="517"/>
      <c r="H29" s="796"/>
      <c r="I29" s="197">
        <f t="shared" si="1"/>
        <v>339.27</v>
      </c>
      <c r="J29" s="123">
        <f t="shared" si="2"/>
        <v>14</v>
      </c>
    </row>
    <row r="30" spans="1:10" x14ac:dyDescent="0.25">
      <c r="A30" s="2"/>
      <c r="B30" s="82"/>
      <c r="C30" s="15"/>
      <c r="D30" s="168">
        <v>0</v>
      </c>
      <c r="E30" s="797"/>
      <c r="F30" s="68">
        <f t="shared" si="0"/>
        <v>0</v>
      </c>
      <c r="G30" s="517"/>
      <c r="H30" s="796"/>
      <c r="I30" s="197">
        <f t="shared" si="1"/>
        <v>339.27</v>
      </c>
      <c r="J30" s="123">
        <f t="shared" si="2"/>
        <v>14</v>
      </c>
    </row>
    <row r="31" spans="1:10" x14ac:dyDescent="0.25">
      <c r="A31" s="2"/>
      <c r="B31" s="82"/>
      <c r="C31" s="15"/>
      <c r="D31" s="168">
        <v>0</v>
      </c>
      <c r="E31" s="797"/>
      <c r="F31" s="68">
        <f t="shared" si="0"/>
        <v>0</v>
      </c>
      <c r="G31" s="517"/>
      <c r="H31" s="796"/>
      <c r="I31" s="197">
        <f t="shared" si="1"/>
        <v>339.27</v>
      </c>
      <c r="J31" s="123">
        <f t="shared" si="2"/>
        <v>14</v>
      </c>
    </row>
    <row r="32" spans="1:10" x14ac:dyDescent="0.25">
      <c r="A32" s="2"/>
      <c r="B32" s="82"/>
      <c r="C32" s="15"/>
      <c r="D32" s="168">
        <v>0</v>
      </c>
      <c r="E32" s="797"/>
      <c r="F32" s="68">
        <f t="shared" si="0"/>
        <v>0</v>
      </c>
      <c r="G32" s="517"/>
      <c r="H32" s="796"/>
      <c r="I32" s="197">
        <f t="shared" si="1"/>
        <v>339.27</v>
      </c>
      <c r="J32" s="123">
        <f t="shared" si="2"/>
        <v>14</v>
      </c>
    </row>
    <row r="33" spans="1:10" x14ac:dyDescent="0.25">
      <c r="A33" s="2"/>
      <c r="B33" s="82"/>
      <c r="C33" s="15"/>
      <c r="D33" s="168">
        <v>0</v>
      </c>
      <c r="E33" s="797"/>
      <c r="F33" s="68">
        <f t="shared" si="0"/>
        <v>0</v>
      </c>
      <c r="G33" s="517"/>
      <c r="H33" s="796"/>
      <c r="I33" s="197">
        <f t="shared" si="1"/>
        <v>339.27</v>
      </c>
      <c r="J33" s="123">
        <f t="shared" si="2"/>
        <v>14</v>
      </c>
    </row>
    <row r="34" spans="1:10" x14ac:dyDescent="0.25">
      <c r="A34" s="2"/>
      <c r="B34" s="82"/>
      <c r="C34" s="15"/>
      <c r="D34" s="168">
        <v>0</v>
      </c>
      <c r="E34" s="797"/>
      <c r="F34" s="68">
        <f t="shared" si="0"/>
        <v>0</v>
      </c>
      <c r="G34" s="517"/>
      <c r="H34" s="796"/>
      <c r="I34" s="197">
        <f t="shared" si="1"/>
        <v>339.27</v>
      </c>
      <c r="J34" s="123">
        <f t="shared" si="2"/>
        <v>14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0"/>
        <v>0</v>
      </c>
      <c r="G35" s="69"/>
      <c r="H35" s="124"/>
      <c r="I35" s="197">
        <f t="shared" si="1"/>
        <v>339.27</v>
      </c>
      <c r="J35" s="123">
        <f t="shared" si="2"/>
        <v>14</v>
      </c>
    </row>
    <row r="36" spans="1:10" x14ac:dyDescent="0.25">
      <c r="A36" s="2"/>
      <c r="B36" s="82"/>
      <c r="C36" s="15"/>
      <c r="D36" s="168">
        <v>0</v>
      </c>
      <c r="E36" s="238"/>
      <c r="F36" s="68">
        <f t="shared" si="0"/>
        <v>0</v>
      </c>
      <c r="G36" s="69"/>
      <c r="H36" s="124"/>
      <c r="I36" s="197">
        <f t="shared" si="1"/>
        <v>339.27</v>
      </c>
      <c r="J36" s="123">
        <f t="shared" si="2"/>
        <v>14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0"/>
        <v>0</v>
      </c>
      <c r="G37" s="69"/>
      <c r="H37" s="124"/>
      <c r="I37" s="197">
        <f t="shared" si="1"/>
        <v>339.27</v>
      </c>
      <c r="J37" s="123">
        <f t="shared" si="2"/>
        <v>14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0"/>
        <v>0</v>
      </c>
      <c r="G38" s="69"/>
      <c r="H38" s="124"/>
      <c r="I38" s="197">
        <f t="shared" si="1"/>
        <v>339.27</v>
      </c>
      <c r="J38" s="123">
        <f t="shared" si="2"/>
        <v>14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0"/>
        <v>0</v>
      </c>
      <c r="G39" s="69"/>
      <c r="H39" s="124"/>
      <c r="I39" s="197">
        <f t="shared" si="1"/>
        <v>339.27</v>
      </c>
      <c r="J39" s="123">
        <f t="shared" si="2"/>
        <v>14</v>
      </c>
    </row>
    <row r="40" spans="1:10" x14ac:dyDescent="0.25">
      <c r="A40" s="2"/>
      <c r="B40" s="82"/>
      <c r="C40" s="15"/>
      <c r="D40" s="168">
        <v>0</v>
      </c>
      <c r="E40" s="231"/>
      <c r="F40" s="68">
        <f t="shared" si="0"/>
        <v>0</v>
      </c>
      <c r="G40" s="69"/>
      <c r="H40" s="124"/>
      <c r="I40" s="197">
        <f t="shared" si="1"/>
        <v>339.27</v>
      </c>
      <c r="J40" s="123">
        <f t="shared" si="2"/>
        <v>14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0"/>
        <v>0</v>
      </c>
      <c r="G41" s="69"/>
      <c r="H41" s="124"/>
      <c r="I41" s="197">
        <f t="shared" si="1"/>
        <v>339.27</v>
      </c>
      <c r="J41" s="123">
        <f t="shared" si="2"/>
        <v>14</v>
      </c>
    </row>
    <row r="42" spans="1:10" x14ac:dyDescent="0.25">
      <c r="A42" s="2"/>
      <c r="B42" s="82"/>
      <c r="C42" s="15"/>
      <c r="D42" s="168">
        <v>0</v>
      </c>
      <c r="E42" s="238"/>
      <c r="F42" s="68">
        <f t="shared" si="0"/>
        <v>0</v>
      </c>
      <c r="G42" s="69"/>
      <c r="H42" s="124"/>
      <c r="I42" s="197">
        <f t="shared" si="1"/>
        <v>339.27</v>
      </c>
      <c r="J42" s="123">
        <f t="shared" si="2"/>
        <v>14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0"/>
        <v>0</v>
      </c>
      <c r="G43" s="69"/>
      <c r="H43" s="70"/>
      <c r="I43" s="197">
        <f t="shared" si="1"/>
        <v>339.27</v>
      </c>
      <c r="J43" s="123">
        <f t="shared" si="2"/>
        <v>14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0"/>
        <v>0</v>
      </c>
      <c r="G44" s="69"/>
      <c r="H44" s="70"/>
      <c r="I44" s="197">
        <f t="shared" si="1"/>
        <v>339.27</v>
      </c>
      <c r="J44" s="123">
        <f t="shared" si="2"/>
        <v>14</v>
      </c>
    </row>
    <row r="45" spans="1:10" x14ac:dyDescent="0.25">
      <c r="A45" s="2"/>
      <c r="B45" s="82"/>
      <c r="C45" s="15"/>
      <c r="D45" s="168">
        <v>0</v>
      </c>
      <c r="E45" s="232"/>
      <c r="F45" s="68">
        <f t="shared" si="0"/>
        <v>0</v>
      </c>
      <c r="G45" s="69"/>
      <c r="H45" s="70"/>
      <c r="I45" s="197">
        <f t="shared" si="1"/>
        <v>339.27</v>
      </c>
      <c r="J45" s="123">
        <f t="shared" si="2"/>
        <v>14</v>
      </c>
    </row>
    <row r="46" spans="1:10" ht="15.75" thickBot="1" x14ac:dyDescent="0.3">
      <c r="A46" s="4"/>
      <c r="B46" s="73"/>
      <c r="C46" s="37"/>
      <c r="D46" s="177"/>
      <c r="E46" s="153"/>
      <c r="F46" s="146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0"/>
        <v>1392.86</v>
      </c>
      <c r="J47" s="72"/>
    </row>
    <row r="48" spans="1:10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647" t="s">
        <v>11</v>
      </c>
      <c r="D50" s="1648"/>
      <c r="E50" s="141">
        <f>E6+E5+E7+-F47</f>
        <v>339.27000000000021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1" sqref="F11:I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 t="s">
        <v>331</v>
      </c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99" t="s">
        <v>465</v>
      </c>
      <c r="B5" s="1600" t="s">
        <v>468</v>
      </c>
      <c r="C5" s="357"/>
      <c r="D5" s="130">
        <v>45191</v>
      </c>
      <c r="E5" s="766">
        <v>47.8</v>
      </c>
      <c r="F5" s="61">
        <v>5</v>
      </c>
      <c r="G5" s="102">
        <f>F35</f>
        <v>47.8</v>
      </c>
    </row>
    <row r="6" spans="1:9" x14ac:dyDescent="0.25">
      <c r="A6" s="1599"/>
      <c r="B6" s="1600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>
        <v>5</v>
      </c>
      <c r="D9" s="68">
        <v>47.8</v>
      </c>
      <c r="E9" s="191">
        <v>45191</v>
      </c>
      <c r="F9" s="68">
        <v>47.8</v>
      </c>
      <c r="G9" s="69" t="s">
        <v>681</v>
      </c>
      <c r="H9" s="70">
        <v>100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 t="s">
        <v>703</v>
      </c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69"/>
      <c r="G11" s="1270"/>
      <c r="H11" s="1261"/>
      <c r="I11" s="1262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69"/>
      <c r="G12" s="1270"/>
      <c r="H12" s="1261"/>
      <c r="I12" s="1262">
        <f>I11-F12</f>
        <v>0</v>
      </c>
    </row>
    <row r="13" spans="1:9" x14ac:dyDescent="0.25">
      <c r="A13" s="81"/>
      <c r="B13" s="174"/>
      <c r="C13" s="15"/>
      <c r="D13" s="68"/>
      <c r="E13" s="191"/>
      <c r="F13" s="1269"/>
      <c r="G13" s="1270"/>
      <c r="H13" s="1261"/>
      <c r="I13" s="1262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69"/>
      <c r="G14" s="1270"/>
      <c r="H14" s="1261"/>
      <c r="I14" s="1262">
        <f t="shared" si="1"/>
        <v>0</v>
      </c>
    </row>
    <row r="15" spans="1:9" x14ac:dyDescent="0.25">
      <c r="A15" s="72"/>
      <c r="B15" s="174"/>
      <c r="C15" s="15"/>
      <c r="D15" s="68"/>
      <c r="E15" s="191"/>
      <c r="F15" s="1269"/>
      <c r="G15" s="1270"/>
      <c r="H15" s="1261"/>
      <c r="I15" s="1262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5</v>
      </c>
      <c r="D35" s="6">
        <f>SUM(D9:D34)</f>
        <v>47.8</v>
      </c>
      <c r="F35" s="6">
        <f>SUM(F9:F34)</f>
        <v>47.8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5" t="s">
        <v>11</v>
      </c>
      <c r="D40" s="159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L12" sqref="L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07" t="s">
        <v>315</v>
      </c>
      <c r="B1" s="1607"/>
      <c r="C1" s="1607"/>
      <c r="D1" s="1607"/>
      <c r="E1" s="1607"/>
      <c r="F1" s="1607"/>
      <c r="G1" s="1607"/>
      <c r="H1" s="96">
        <v>1</v>
      </c>
      <c r="L1" s="1593" t="s">
        <v>333</v>
      </c>
      <c r="M1" s="1593"/>
      <c r="N1" s="1593"/>
      <c r="O1" s="1593"/>
      <c r="P1" s="1593"/>
      <c r="Q1" s="1593"/>
      <c r="R1" s="1593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342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2"/>
      <c r="D4" s="718"/>
      <c r="E4" s="225"/>
      <c r="F4" s="226"/>
      <c r="L4" s="1526" t="s">
        <v>95</v>
      </c>
      <c r="M4" s="1679" t="s">
        <v>106</v>
      </c>
      <c r="N4" s="482"/>
      <c r="O4" s="718"/>
      <c r="P4" s="225"/>
      <c r="Q4" s="226"/>
    </row>
    <row r="5" spans="1:21" ht="16.5" customHeight="1" thickBot="1" x14ac:dyDescent="0.3">
      <c r="A5" s="1682" t="s">
        <v>95</v>
      </c>
      <c r="B5" s="1679" t="s">
        <v>106</v>
      </c>
      <c r="C5" s="482">
        <v>228</v>
      </c>
      <c r="D5" s="718">
        <v>45154</v>
      </c>
      <c r="E5" s="712">
        <v>614.51</v>
      </c>
      <c r="F5" s="227">
        <v>20</v>
      </c>
      <c r="G5" s="143">
        <f>F30</f>
        <v>1258.81</v>
      </c>
      <c r="H5" s="57">
        <f>E4+E5+E6-G5</f>
        <v>0.18000000000006366</v>
      </c>
      <c r="L5" s="1526"/>
      <c r="M5" s="1681"/>
      <c r="N5" s="482">
        <v>230</v>
      </c>
      <c r="O5" s="718">
        <v>45183</v>
      </c>
      <c r="P5" s="712">
        <v>606.36</v>
      </c>
      <c r="Q5" s="227">
        <v>20</v>
      </c>
      <c r="R5" s="143">
        <f>Q30</f>
        <v>242.47</v>
      </c>
      <c r="S5" s="57">
        <f>P4+P5+P6-R5</f>
        <v>568.37</v>
      </c>
    </row>
    <row r="6" spans="1:21" ht="33" thickTop="1" thickBot="1" x14ac:dyDescent="0.3">
      <c r="A6" s="1683"/>
      <c r="B6" s="1681"/>
      <c r="C6" s="212">
        <v>228</v>
      </c>
      <c r="D6" s="718">
        <v>45164</v>
      </c>
      <c r="E6" s="140">
        <v>644.48</v>
      </c>
      <c r="F6" s="227">
        <v>21</v>
      </c>
      <c r="I6" s="1671" t="s">
        <v>3</v>
      </c>
      <c r="J6" s="1666" t="s">
        <v>4</v>
      </c>
      <c r="L6" s="1363" t="s">
        <v>465</v>
      </c>
      <c r="M6" s="1362" t="s">
        <v>466</v>
      </c>
      <c r="N6" s="441">
        <v>230</v>
      </c>
      <c r="O6" s="130">
        <v>45191</v>
      </c>
      <c r="P6" s="77">
        <v>204.48</v>
      </c>
      <c r="Q6" s="61">
        <v>9</v>
      </c>
      <c r="T6" s="1671" t="s">
        <v>3</v>
      </c>
      <c r="U6" s="166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2"/>
      <c r="J7" s="1667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72"/>
      <c r="U7" s="1667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69" t="s">
        <v>249</v>
      </c>
      <c r="H8" s="124">
        <v>230</v>
      </c>
      <c r="I8" s="197">
        <f>E5+E4-F8+E6</f>
        <v>954.97</v>
      </c>
      <c r="J8" s="123">
        <f>F4+F5+F6-C8</f>
        <v>31</v>
      </c>
      <c r="L8" s="79" t="s">
        <v>32</v>
      </c>
      <c r="M8" s="82"/>
      <c r="N8" s="15">
        <v>7</v>
      </c>
      <c r="O8" s="168">
        <v>209</v>
      </c>
      <c r="P8" s="232">
        <v>45188</v>
      </c>
      <c r="Q8" s="68">
        <f t="shared" ref="Q8:Q29" si="1">O8</f>
        <v>209</v>
      </c>
      <c r="R8" s="69" t="s">
        <v>673</v>
      </c>
      <c r="S8" s="124">
        <v>232</v>
      </c>
      <c r="T8" s="197">
        <f>P5+P4-Q8+P6</f>
        <v>601.84</v>
      </c>
      <c r="U8" s="123">
        <f>Q4+Q5+Q6-N8</f>
        <v>22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69" t="s">
        <v>259</v>
      </c>
      <c r="H9" s="124">
        <v>230</v>
      </c>
      <c r="I9" s="197">
        <f>I8-F9</f>
        <v>735.85</v>
      </c>
      <c r="J9" s="123">
        <f>J8-C9</f>
        <v>24</v>
      </c>
      <c r="L9" s="185"/>
      <c r="M9" s="82"/>
      <c r="N9" s="15">
        <v>1</v>
      </c>
      <c r="O9" s="168">
        <v>33.47</v>
      </c>
      <c r="P9" s="232">
        <v>45196</v>
      </c>
      <c r="Q9" s="68">
        <f t="shared" si="1"/>
        <v>33.47</v>
      </c>
      <c r="R9" s="69" t="s">
        <v>733</v>
      </c>
      <c r="S9" s="124">
        <v>232</v>
      </c>
      <c r="T9" s="197">
        <f>T8-Q9</f>
        <v>568.37</v>
      </c>
      <c r="U9" s="123">
        <f>U8-N9</f>
        <v>21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69" t="s">
        <v>267</v>
      </c>
      <c r="H10" s="124">
        <v>230</v>
      </c>
      <c r="I10" s="197">
        <f t="shared" ref="I10:I28" si="2">I9-F10</f>
        <v>675.41000000000008</v>
      </c>
      <c r="J10" s="123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588">
        <f t="shared" ref="T10:T28" si="4">T9-Q10</f>
        <v>568.37</v>
      </c>
      <c r="U10" s="589">
        <f t="shared" ref="U10:U28" si="5">U9-N10</f>
        <v>21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69" t="s">
        <v>279</v>
      </c>
      <c r="H11" s="124">
        <v>230</v>
      </c>
      <c r="I11" s="197">
        <f t="shared" si="2"/>
        <v>464.05000000000007</v>
      </c>
      <c r="J11" s="123">
        <f t="shared" si="3"/>
        <v>15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568.37</v>
      </c>
      <c r="U11" s="123">
        <f t="shared" si="5"/>
        <v>21</v>
      </c>
    </row>
    <row r="12" spans="1:21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588">
        <f t="shared" si="2"/>
        <v>464.05000000000007</v>
      </c>
      <c r="J12" s="589">
        <f t="shared" si="3"/>
        <v>15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568.37</v>
      </c>
      <c r="U12" s="123">
        <f t="shared" si="5"/>
        <v>21</v>
      </c>
    </row>
    <row r="13" spans="1:21" x14ac:dyDescent="0.25">
      <c r="A13" s="72"/>
      <c r="B13" s="82"/>
      <c r="C13" s="15">
        <v>8</v>
      </c>
      <c r="D13" s="1045">
        <v>250.68</v>
      </c>
      <c r="E13" s="1035">
        <v>45173</v>
      </c>
      <c r="F13" s="1012">
        <f t="shared" si="0"/>
        <v>250.68</v>
      </c>
      <c r="G13" s="844" t="s">
        <v>522</v>
      </c>
      <c r="H13" s="1046">
        <v>230</v>
      </c>
      <c r="I13" s="197">
        <f t="shared" si="2"/>
        <v>213.37000000000006</v>
      </c>
      <c r="J13" s="123">
        <f t="shared" si="3"/>
        <v>7</v>
      </c>
      <c r="L13" s="72"/>
      <c r="M13" s="82"/>
      <c r="N13" s="15"/>
      <c r="O13" s="168">
        <v>0</v>
      </c>
      <c r="P13" s="232"/>
      <c r="Q13" s="68">
        <f t="shared" si="1"/>
        <v>0</v>
      </c>
      <c r="R13" s="69"/>
      <c r="S13" s="1046"/>
      <c r="T13" s="197">
        <f t="shared" si="4"/>
        <v>568.37</v>
      </c>
      <c r="U13" s="123">
        <f t="shared" si="5"/>
        <v>21</v>
      </c>
    </row>
    <row r="14" spans="1:21" x14ac:dyDescent="0.25">
      <c r="B14" s="82"/>
      <c r="C14" s="15">
        <v>7</v>
      </c>
      <c r="D14" s="1045">
        <v>213.19</v>
      </c>
      <c r="E14" s="1035">
        <v>45175</v>
      </c>
      <c r="F14" s="1012">
        <f t="shared" si="0"/>
        <v>213.19</v>
      </c>
      <c r="G14" s="844" t="s">
        <v>550</v>
      </c>
      <c r="H14" s="1046">
        <v>230</v>
      </c>
      <c r="I14" s="197">
        <f t="shared" si="2"/>
        <v>0.18000000000006366</v>
      </c>
      <c r="J14" s="123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69"/>
      <c r="S14" s="1046"/>
      <c r="T14" s="197">
        <f t="shared" si="4"/>
        <v>568.37</v>
      </c>
      <c r="U14" s="123">
        <f t="shared" si="5"/>
        <v>21</v>
      </c>
    </row>
    <row r="15" spans="1:21" x14ac:dyDescent="0.25">
      <c r="B15" s="82"/>
      <c r="C15" s="15"/>
      <c r="D15" s="1045">
        <v>0</v>
      </c>
      <c r="E15" s="1035"/>
      <c r="F15" s="1012">
        <f t="shared" si="0"/>
        <v>0</v>
      </c>
      <c r="G15" s="844"/>
      <c r="H15" s="1046"/>
      <c r="I15" s="197">
        <f t="shared" si="2"/>
        <v>0.18000000000006366</v>
      </c>
      <c r="J15" s="123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69"/>
      <c r="S15" s="1046"/>
      <c r="T15" s="197">
        <f t="shared" si="4"/>
        <v>568.37</v>
      </c>
      <c r="U15" s="123">
        <f t="shared" si="5"/>
        <v>21</v>
      </c>
    </row>
    <row r="16" spans="1:21" x14ac:dyDescent="0.25">
      <c r="A16" s="80"/>
      <c r="B16" s="82"/>
      <c r="C16" s="15"/>
      <c r="D16" s="1045">
        <v>0</v>
      </c>
      <c r="E16" s="1035"/>
      <c r="F16" s="1257">
        <f t="shared" si="0"/>
        <v>0</v>
      </c>
      <c r="G16" s="1258"/>
      <c r="H16" s="1287"/>
      <c r="I16" s="1288">
        <f t="shared" si="2"/>
        <v>0.18000000000006366</v>
      </c>
      <c r="J16" s="1289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69"/>
      <c r="S16" s="1046"/>
      <c r="T16" s="197">
        <f t="shared" si="4"/>
        <v>568.37</v>
      </c>
      <c r="U16" s="123">
        <f t="shared" si="5"/>
        <v>21</v>
      </c>
    </row>
    <row r="17" spans="1:21" x14ac:dyDescent="0.25">
      <c r="A17" s="82"/>
      <c r="B17" s="82"/>
      <c r="C17" s="15"/>
      <c r="D17" s="1045">
        <v>0</v>
      </c>
      <c r="E17" s="1035"/>
      <c r="F17" s="1257">
        <f t="shared" si="0"/>
        <v>0</v>
      </c>
      <c r="G17" s="1290"/>
      <c r="H17" s="1287"/>
      <c r="I17" s="1288">
        <f t="shared" si="2"/>
        <v>0.18000000000006366</v>
      </c>
      <c r="J17" s="1289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679"/>
      <c r="S17" s="1046"/>
      <c r="T17" s="197">
        <f t="shared" si="4"/>
        <v>568.37</v>
      </c>
      <c r="U17" s="123">
        <f t="shared" si="5"/>
        <v>21</v>
      </c>
    </row>
    <row r="18" spans="1:21" x14ac:dyDescent="0.25">
      <c r="A18" s="2"/>
      <c r="B18" s="82"/>
      <c r="C18" s="15"/>
      <c r="D18" s="1045">
        <v>0</v>
      </c>
      <c r="E18" s="1035"/>
      <c r="F18" s="1257">
        <f t="shared" si="0"/>
        <v>0</v>
      </c>
      <c r="G18" s="1258"/>
      <c r="H18" s="1287"/>
      <c r="I18" s="1288">
        <f t="shared" si="2"/>
        <v>0.18000000000006366</v>
      </c>
      <c r="J18" s="1289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046"/>
      <c r="T18" s="197">
        <f t="shared" si="4"/>
        <v>568.37</v>
      </c>
      <c r="U18" s="123">
        <f t="shared" si="5"/>
        <v>21</v>
      </c>
    </row>
    <row r="19" spans="1:21" x14ac:dyDescent="0.25">
      <c r="A19" s="2"/>
      <c r="B19" s="82"/>
      <c r="C19" s="15"/>
      <c r="D19" s="1045">
        <v>0</v>
      </c>
      <c r="E19" s="1035"/>
      <c r="F19" s="1257">
        <f t="shared" si="0"/>
        <v>0</v>
      </c>
      <c r="G19" s="1258"/>
      <c r="H19" s="1287"/>
      <c r="I19" s="1288">
        <f t="shared" si="2"/>
        <v>0.18000000000006366</v>
      </c>
      <c r="J19" s="1289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046"/>
      <c r="T19" s="197">
        <f t="shared" si="4"/>
        <v>568.37</v>
      </c>
      <c r="U19" s="123">
        <f t="shared" si="5"/>
        <v>21</v>
      </c>
    </row>
    <row r="20" spans="1:21" x14ac:dyDescent="0.25">
      <c r="A20" s="2"/>
      <c r="B20" s="82"/>
      <c r="C20" s="15"/>
      <c r="D20" s="1045">
        <v>0</v>
      </c>
      <c r="E20" s="1035"/>
      <c r="F20" s="1012">
        <f t="shared" si="0"/>
        <v>0</v>
      </c>
      <c r="G20" s="844"/>
      <c r="H20" s="1046"/>
      <c r="I20" s="197">
        <f t="shared" si="2"/>
        <v>0.18000000000006366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046"/>
      <c r="T20" s="197">
        <f t="shared" si="4"/>
        <v>568.37</v>
      </c>
      <c r="U20" s="123">
        <f t="shared" si="5"/>
        <v>21</v>
      </c>
    </row>
    <row r="21" spans="1:21" x14ac:dyDescent="0.25">
      <c r="A21" s="2"/>
      <c r="B21" s="82"/>
      <c r="C21" s="15"/>
      <c r="D21" s="1045">
        <v>0</v>
      </c>
      <c r="E21" s="1035"/>
      <c r="F21" s="1012">
        <f t="shared" si="0"/>
        <v>0</v>
      </c>
      <c r="G21" s="844"/>
      <c r="H21" s="1046"/>
      <c r="I21" s="197">
        <f t="shared" si="2"/>
        <v>0.18000000000006366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046"/>
      <c r="T21" s="197">
        <f t="shared" si="4"/>
        <v>568.37</v>
      </c>
      <c r="U21" s="123">
        <f t="shared" si="5"/>
        <v>21</v>
      </c>
    </row>
    <row r="22" spans="1:21" x14ac:dyDescent="0.25">
      <c r="A22" s="2"/>
      <c r="B22" s="82"/>
      <c r="C22" s="15"/>
      <c r="D22" s="1045">
        <v>0</v>
      </c>
      <c r="E22" s="1035"/>
      <c r="F22" s="1012">
        <f t="shared" si="0"/>
        <v>0</v>
      </c>
      <c r="G22" s="844"/>
      <c r="H22" s="1046"/>
      <c r="I22" s="197">
        <f t="shared" si="2"/>
        <v>0.18000000000006366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046"/>
      <c r="T22" s="197">
        <f t="shared" si="4"/>
        <v>568.37</v>
      </c>
      <c r="U22" s="123">
        <f t="shared" si="5"/>
        <v>21</v>
      </c>
    </row>
    <row r="23" spans="1:21" x14ac:dyDescent="0.25">
      <c r="A23" s="2"/>
      <c r="B23" s="82"/>
      <c r="C23" s="15"/>
      <c r="D23" s="1045">
        <v>0</v>
      </c>
      <c r="E23" s="1020"/>
      <c r="F23" s="1012">
        <f t="shared" si="0"/>
        <v>0</v>
      </c>
      <c r="G23" s="844"/>
      <c r="H23" s="1046"/>
      <c r="I23" s="197">
        <f t="shared" si="2"/>
        <v>0.18000000000006366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046"/>
      <c r="T23" s="197">
        <f t="shared" si="4"/>
        <v>568.37</v>
      </c>
      <c r="U23" s="123">
        <f t="shared" si="5"/>
        <v>21</v>
      </c>
    </row>
    <row r="24" spans="1:21" x14ac:dyDescent="0.25">
      <c r="A24" s="2"/>
      <c r="B24" s="82"/>
      <c r="C24" s="15"/>
      <c r="D24" s="1045">
        <v>0</v>
      </c>
      <c r="E24" s="1048"/>
      <c r="F24" s="1012">
        <f t="shared" si="0"/>
        <v>0</v>
      </c>
      <c r="G24" s="844"/>
      <c r="H24" s="1046"/>
      <c r="I24" s="197">
        <f t="shared" si="2"/>
        <v>0.18000000000006366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046"/>
      <c r="T24" s="197">
        <f t="shared" si="4"/>
        <v>568.37</v>
      </c>
      <c r="U24" s="123">
        <f t="shared" si="5"/>
        <v>21</v>
      </c>
    </row>
    <row r="25" spans="1:21" x14ac:dyDescent="0.25">
      <c r="A25" s="2"/>
      <c r="B25" s="82"/>
      <c r="C25" s="15"/>
      <c r="D25" s="1045">
        <v>0</v>
      </c>
      <c r="E25" s="1048"/>
      <c r="F25" s="1012">
        <f t="shared" si="0"/>
        <v>0</v>
      </c>
      <c r="G25" s="844"/>
      <c r="H25" s="1046"/>
      <c r="I25" s="197">
        <f t="shared" si="2"/>
        <v>0.18000000000006366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046"/>
      <c r="T25" s="197">
        <f t="shared" si="4"/>
        <v>568.37</v>
      </c>
      <c r="U25" s="123">
        <f t="shared" si="5"/>
        <v>21</v>
      </c>
    </row>
    <row r="26" spans="1:21" x14ac:dyDescent="0.25">
      <c r="A26" s="2"/>
      <c r="B26" s="82"/>
      <c r="C26" s="15"/>
      <c r="D26" s="1045">
        <v>0</v>
      </c>
      <c r="E26" s="1035"/>
      <c r="F26" s="1012">
        <f t="shared" si="0"/>
        <v>0</v>
      </c>
      <c r="G26" s="844"/>
      <c r="H26" s="845"/>
      <c r="I26" s="197">
        <f t="shared" si="2"/>
        <v>0.18000000000006366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845"/>
      <c r="T26" s="197">
        <f t="shared" si="4"/>
        <v>568.37</v>
      </c>
      <c r="U26" s="123">
        <f t="shared" si="5"/>
        <v>21</v>
      </c>
    </row>
    <row r="27" spans="1:21" x14ac:dyDescent="0.25">
      <c r="A27" s="2"/>
      <c r="B27" s="82"/>
      <c r="C27" s="15"/>
      <c r="D27" s="1045">
        <v>0</v>
      </c>
      <c r="E27" s="1035"/>
      <c r="F27" s="1012">
        <f t="shared" si="0"/>
        <v>0</v>
      </c>
      <c r="G27" s="844"/>
      <c r="H27" s="845"/>
      <c r="I27" s="197">
        <f t="shared" si="2"/>
        <v>0.18000000000006366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845"/>
      <c r="T27" s="197">
        <f t="shared" si="4"/>
        <v>568.37</v>
      </c>
      <c r="U27" s="123">
        <f t="shared" si="5"/>
        <v>21</v>
      </c>
    </row>
    <row r="28" spans="1:21" x14ac:dyDescent="0.25">
      <c r="A28" s="2"/>
      <c r="B28" s="82"/>
      <c r="C28" s="15"/>
      <c r="D28" s="1045">
        <v>0</v>
      </c>
      <c r="E28" s="1035"/>
      <c r="F28" s="1012">
        <f t="shared" si="0"/>
        <v>0</v>
      </c>
      <c r="G28" s="844"/>
      <c r="H28" s="845"/>
      <c r="I28" s="197">
        <f t="shared" si="2"/>
        <v>0.18000000000006366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845"/>
      <c r="T28" s="197">
        <f t="shared" si="4"/>
        <v>568.37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41</v>
      </c>
      <c r="D30" s="48">
        <f>SUM(D8:D29)</f>
        <v>1258.81</v>
      </c>
      <c r="E30" s="38"/>
      <c r="F30" s="5">
        <f>SUM(F8:F29)</f>
        <v>1258.81</v>
      </c>
      <c r="J30" s="72"/>
      <c r="N30" s="89">
        <f>SUM(N8:N29)</f>
        <v>8</v>
      </c>
      <c r="O30" s="48">
        <f>SUM(O8:O29)</f>
        <v>242.47</v>
      </c>
      <c r="P30" s="38"/>
      <c r="Q30" s="5">
        <f>SUM(Q8:Q29)</f>
        <v>242.47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47" t="s">
        <v>11</v>
      </c>
      <c r="D33" s="1648"/>
      <c r="E33" s="141">
        <f>E5+E4+E6+-F30</f>
        <v>0.18000000000006366</v>
      </c>
      <c r="L33" s="47"/>
      <c r="N33" s="1647" t="s">
        <v>11</v>
      </c>
      <c r="O33" s="1648"/>
      <c r="P33" s="141">
        <f>P5+P4+P6+-Q30</f>
        <v>568.37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T6:T7"/>
    <mergeCell ref="M4:M5"/>
    <mergeCell ref="L4:L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4"/>
      <c r="B1" s="1584"/>
      <c r="C1" s="1584"/>
      <c r="D1" s="1584"/>
      <c r="E1" s="1584"/>
      <c r="F1" s="1584"/>
      <c r="G1" s="1584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74"/>
      <c r="C4" s="357"/>
      <c r="D4" s="130"/>
      <c r="E4" s="85"/>
      <c r="F4" s="72"/>
      <c r="G4" s="224"/>
      <c r="H4" s="144"/>
      <c r="I4" s="364"/>
    </row>
    <row r="5" spans="1:10" ht="15" customHeight="1" x14ac:dyDescent="0.25">
      <c r="A5" s="1597"/>
      <c r="B5" s="1614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1"/>
    </row>
    <row r="6" spans="1:10" ht="15.75" thickBot="1" x14ac:dyDescent="0.3">
      <c r="A6" s="1597"/>
      <c r="B6" s="1684"/>
      <c r="C6" s="358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8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8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8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8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8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8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8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89" t="s">
        <v>21</v>
      </c>
      <c r="E75" s="1590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98"/>
      <c r="B5" s="168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98"/>
      <c r="B6" s="1685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8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95" t="s">
        <v>11</v>
      </c>
      <c r="D60" s="159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6" sqref="C2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4" t="s">
        <v>318</v>
      </c>
      <c r="B1" s="1584"/>
      <c r="C1" s="1584"/>
      <c r="D1" s="1584"/>
      <c r="E1" s="1584"/>
      <c r="F1" s="1584"/>
      <c r="G1" s="1584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thickTop="1" x14ac:dyDescent="0.25">
      <c r="A4" s="1368" t="s">
        <v>319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4"/>
    </row>
    <row r="5" spans="1:10" ht="15" customHeight="1" x14ac:dyDescent="0.25">
      <c r="A5" s="1598" t="s">
        <v>329</v>
      </c>
      <c r="B5" s="1686" t="s">
        <v>183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1"/>
    </row>
    <row r="6" spans="1:10" x14ac:dyDescent="0.25">
      <c r="A6" s="1598"/>
      <c r="B6" s="1686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86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563</v>
      </c>
      <c r="H9" s="70">
        <v>32</v>
      </c>
      <c r="I9" s="358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585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588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598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601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602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609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620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622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628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628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631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631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637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644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650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708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707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768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1370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1369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68">
        <v>0</v>
      </c>
      <c r="E30" s="130"/>
      <c r="F30" s="91">
        <f t="shared" si="0"/>
        <v>0</v>
      </c>
      <c r="G30" s="69"/>
      <c r="H30" s="70"/>
      <c r="I30" s="230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68">
        <v>0</v>
      </c>
      <c r="E31" s="130"/>
      <c r="F31" s="91">
        <f t="shared" si="0"/>
        <v>0</v>
      </c>
      <c r="G31" s="69"/>
      <c r="H31" s="70"/>
      <c r="I31" s="230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68">
        <v>0</v>
      </c>
      <c r="E32" s="130"/>
      <c r="F32" s="91">
        <f t="shared" si="0"/>
        <v>0</v>
      </c>
      <c r="G32" s="69"/>
      <c r="H32" s="70"/>
      <c r="I32" s="230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68">
        <v>0</v>
      </c>
      <c r="E33" s="130"/>
      <c r="F33" s="91">
        <f t="shared" si="0"/>
        <v>0</v>
      </c>
      <c r="G33" s="69"/>
      <c r="H33" s="70"/>
      <c r="I33" s="230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68">
        <v>0</v>
      </c>
      <c r="E34" s="130"/>
      <c r="F34" s="91">
        <f t="shared" si="0"/>
        <v>0</v>
      </c>
      <c r="G34" s="69"/>
      <c r="H34" s="70"/>
      <c r="I34" s="230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68">
        <v>0</v>
      </c>
      <c r="E35" s="130"/>
      <c r="F35" s="91">
        <f t="shared" si="0"/>
        <v>0</v>
      </c>
      <c r="G35" s="69"/>
      <c r="H35" s="70"/>
      <c r="I35" s="230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68">
        <v>0</v>
      </c>
      <c r="E36" s="130"/>
      <c r="F36" s="91">
        <f t="shared" si="0"/>
        <v>0</v>
      </c>
      <c r="G36" s="69"/>
      <c r="H36" s="70"/>
      <c r="I36" s="230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68">
        <v>0</v>
      </c>
      <c r="E37" s="130"/>
      <c r="F37" s="91">
        <f t="shared" si="0"/>
        <v>0</v>
      </c>
      <c r="G37" s="69"/>
      <c r="H37" s="70"/>
      <c r="I37" s="230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68">
        <v>0</v>
      </c>
      <c r="E38" s="233"/>
      <c r="F38" s="91">
        <f t="shared" si="0"/>
        <v>0</v>
      </c>
      <c r="G38" s="135"/>
      <c r="H38" s="189"/>
      <c r="I38" s="230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89" t="s">
        <v>21</v>
      </c>
      <c r="E41" s="1590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93" t="s">
        <v>331</v>
      </c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58" t="s">
        <v>52</v>
      </c>
      <c r="B4" s="437"/>
      <c r="C4" s="124"/>
      <c r="D4" s="131"/>
      <c r="E4" s="85"/>
      <c r="F4" s="72"/>
      <c r="G4" s="224"/>
    </row>
    <row r="5" spans="1:9" ht="15" customHeight="1" x14ac:dyDescent="0.25">
      <c r="A5" s="1687"/>
      <c r="B5" s="1688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659"/>
      <c r="B6" s="1689"/>
      <c r="C6" s="482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2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8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75"/>
      <c r="B10" s="221">
        <f>F4+F5+F6+F7+F8-C10</f>
        <v>86</v>
      </c>
      <c r="C10" s="319">
        <v>8</v>
      </c>
      <c r="D10" s="320">
        <v>218.14</v>
      </c>
      <c r="E10" s="541">
        <v>45175</v>
      </c>
      <c r="F10" s="320">
        <f t="shared" ref="F10:F57" si="0">D10</f>
        <v>218.14</v>
      </c>
      <c r="G10" s="539" t="s">
        <v>550</v>
      </c>
      <c r="H10" s="540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41">
        <v>45176</v>
      </c>
      <c r="F11" s="320">
        <f t="shared" si="0"/>
        <v>56.62</v>
      </c>
      <c r="G11" s="539" t="s">
        <v>557</v>
      </c>
      <c r="H11" s="540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41">
        <v>45176</v>
      </c>
      <c r="F12" s="320">
        <f t="shared" si="0"/>
        <v>113.85</v>
      </c>
      <c r="G12" s="539" t="s">
        <v>558</v>
      </c>
      <c r="H12" s="540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41">
        <v>45176</v>
      </c>
      <c r="F13" s="320">
        <f t="shared" si="0"/>
        <v>195.55</v>
      </c>
      <c r="G13" s="539" t="s">
        <v>563</v>
      </c>
      <c r="H13" s="540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41">
        <v>45177</v>
      </c>
      <c r="F14" s="320">
        <f t="shared" si="0"/>
        <v>28.44</v>
      </c>
      <c r="G14" s="539" t="s">
        <v>568</v>
      </c>
      <c r="H14" s="540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41">
        <v>45177</v>
      </c>
      <c r="F15" s="320">
        <f t="shared" si="0"/>
        <v>28.91</v>
      </c>
      <c r="G15" s="539" t="s">
        <v>568</v>
      </c>
      <c r="H15" s="540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41">
        <v>45177</v>
      </c>
      <c r="F16" s="320">
        <f t="shared" si="0"/>
        <v>28.17</v>
      </c>
      <c r="G16" s="539" t="s">
        <v>569</v>
      </c>
      <c r="H16" s="540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41">
        <v>45177</v>
      </c>
      <c r="F17" s="320">
        <f t="shared" si="0"/>
        <v>202.04</v>
      </c>
      <c r="G17" s="539" t="s">
        <v>573</v>
      </c>
      <c r="H17" s="540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41">
        <v>45178</v>
      </c>
      <c r="F18" s="320">
        <f t="shared" si="0"/>
        <v>118.58</v>
      </c>
      <c r="G18" s="539" t="s">
        <v>583</v>
      </c>
      <c r="H18" s="540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41">
        <v>45195</v>
      </c>
      <c r="F19" s="320">
        <f t="shared" si="0"/>
        <v>59.57</v>
      </c>
      <c r="G19" s="539" t="s">
        <v>627</v>
      </c>
      <c r="H19" s="540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41">
        <v>45195</v>
      </c>
      <c r="F20" s="320">
        <f t="shared" si="0"/>
        <v>304.52</v>
      </c>
      <c r="G20" s="539" t="s">
        <v>727</v>
      </c>
      <c r="H20" s="540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612">
        <v>45196</v>
      </c>
      <c r="F21" s="320">
        <f t="shared" si="0"/>
        <v>55.77</v>
      </c>
      <c r="G21" s="539" t="s">
        <v>739</v>
      </c>
      <c r="H21" s="540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612">
        <v>45197</v>
      </c>
      <c r="F22" s="320">
        <f t="shared" si="0"/>
        <v>28.63</v>
      </c>
      <c r="G22" s="539" t="s">
        <v>757</v>
      </c>
      <c r="H22" s="540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612">
        <v>45197</v>
      </c>
      <c r="F23" s="320">
        <f t="shared" si="0"/>
        <v>28.96</v>
      </c>
      <c r="G23" s="539" t="s">
        <v>757</v>
      </c>
      <c r="H23" s="540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612">
        <v>45197</v>
      </c>
      <c r="F24" s="320">
        <f t="shared" si="0"/>
        <v>232.08</v>
      </c>
      <c r="G24" s="539" t="s">
        <v>760</v>
      </c>
      <c r="H24" s="540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612">
        <v>45198</v>
      </c>
      <c r="F25" s="320">
        <f t="shared" si="0"/>
        <v>28.43</v>
      </c>
      <c r="G25" s="539" t="s">
        <v>763</v>
      </c>
      <c r="H25" s="540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612">
        <v>45199</v>
      </c>
      <c r="F26" s="320">
        <f t="shared" si="0"/>
        <v>178.17</v>
      </c>
      <c r="G26" s="539" t="s">
        <v>768</v>
      </c>
      <c r="H26" s="540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612">
        <v>45199</v>
      </c>
      <c r="F27" s="320">
        <f t="shared" si="0"/>
        <v>30.23</v>
      </c>
      <c r="G27" s="539" t="s">
        <v>772</v>
      </c>
      <c r="H27" s="540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612">
        <v>45199</v>
      </c>
      <c r="F28" s="320">
        <f t="shared" si="0"/>
        <v>26.61</v>
      </c>
      <c r="G28" s="539" t="s">
        <v>772</v>
      </c>
      <c r="H28" s="540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612">
        <v>45201</v>
      </c>
      <c r="F29" s="320">
        <f t="shared" si="0"/>
        <v>58.8</v>
      </c>
      <c r="G29" s="539" t="s">
        <v>777</v>
      </c>
      <c r="H29" s="540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612">
        <v>45201</v>
      </c>
      <c r="F30" s="320">
        <f t="shared" si="0"/>
        <v>224.98</v>
      </c>
      <c r="G30" s="539" t="s">
        <v>778</v>
      </c>
      <c r="H30" s="540">
        <v>40</v>
      </c>
      <c r="I30" s="128">
        <f t="shared" si="3"/>
        <v>463.98</v>
      </c>
    </row>
    <row r="31" spans="2:9" x14ac:dyDescent="0.25">
      <c r="B31" s="328">
        <f t="shared" si="1"/>
        <v>16</v>
      </c>
      <c r="C31" s="319"/>
      <c r="D31" s="320"/>
      <c r="E31" s="541"/>
      <c r="F31" s="320">
        <f t="shared" si="0"/>
        <v>0</v>
      </c>
      <c r="G31" s="539"/>
      <c r="H31" s="540"/>
      <c r="I31" s="128">
        <f t="shared" si="3"/>
        <v>463.98</v>
      </c>
    </row>
    <row r="32" spans="2:9" x14ac:dyDescent="0.25">
      <c r="B32" s="328">
        <f t="shared" si="1"/>
        <v>16</v>
      </c>
      <c r="C32" s="319"/>
      <c r="D32" s="320"/>
      <c r="E32" s="541"/>
      <c r="F32" s="320">
        <f t="shared" si="0"/>
        <v>0</v>
      </c>
      <c r="G32" s="539"/>
      <c r="H32" s="540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320"/>
      <c r="E33" s="541"/>
      <c r="F33" s="320">
        <f t="shared" si="0"/>
        <v>0</v>
      </c>
      <c r="G33" s="539"/>
      <c r="H33" s="540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320"/>
      <c r="E34" s="541"/>
      <c r="F34" s="320">
        <f t="shared" si="0"/>
        <v>0</v>
      </c>
      <c r="G34" s="539"/>
      <c r="H34" s="540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320"/>
      <c r="E35" s="541"/>
      <c r="F35" s="320">
        <f t="shared" si="0"/>
        <v>0</v>
      </c>
      <c r="G35" s="539"/>
      <c r="H35" s="540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320"/>
      <c r="E36" s="541"/>
      <c r="F36" s="320">
        <f t="shared" si="0"/>
        <v>0</v>
      </c>
      <c r="G36" s="539"/>
      <c r="H36" s="540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320"/>
      <c r="E37" s="541"/>
      <c r="F37" s="320">
        <f t="shared" si="0"/>
        <v>0</v>
      </c>
      <c r="G37" s="539"/>
      <c r="H37" s="540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320"/>
      <c r="E38" s="541"/>
      <c r="F38" s="320">
        <f t="shared" si="0"/>
        <v>0</v>
      </c>
      <c r="G38" s="539"/>
      <c r="H38" s="540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320"/>
      <c r="E39" s="541"/>
      <c r="F39" s="320">
        <f t="shared" si="0"/>
        <v>0</v>
      </c>
      <c r="G39" s="539"/>
      <c r="H39" s="540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320"/>
      <c r="E40" s="541"/>
      <c r="F40" s="320">
        <f t="shared" si="0"/>
        <v>0</v>
      </c>
      <c r="G40" s="539"/>
      <c r="H40" s="540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320"/>
      <c r="E41" s="541"/>
      <c r="F41" s="320">
        <f t="shared" si="0"/>
        <v>0</v>
      </c>
      <c r="G41" s="539"/>
      <c r="H41" s="540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320"/>
      <c r="E42" s="541"/>
      <c r="F42" s="320">
        <f t="shared" si="0"/>
        <v>0</v>
      </c>
      <c r="G42" s="539"/>
      <c r="H42" s="540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320"/>
      <c r="E43" s="541"/>
      <c r="F43" s="320">
        <f t="shared" si="0"/>
        <v>0</v>
      </c>
      <c r="G43" s="539"/>
      <c r="H43" s="540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320"/>
      <c r="E44" s="541"/>
      <c r="F44" s="320">
        <f t="shared" si="0"/>
        <v>0</v>
      </c>
      <c r="G44" s="539"/>
      <c r="H44" s="540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320"/>
      <c r="E45" s="541"/>
      <c r="F45" s="320">
        <f t="shared" si="0"/>
        <v>0</v>
      </c>
      <c r="G45" s="539"/>
      <c r="H45" s="540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320"/>
      <c r="E46" s="541"/>
      <c r="F46" s="320">
        <f t="shared" si="0"/>
        <v>0</v>
      </c>
      <c r="G46" s="539"/>
      <c r="H46" s="540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320"/>
      <c r="E47" s="541"/>
      <c r="F47" s="320">
        <f t="shared" si="0"/>
        <v>0</v>
      </c>
      <c r="G47" s="539"/>
      <c r="H47" s="540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320"/>
      <c r="E48" s="541"/>
      <c r="F48" s="320">
        <f t="shared" si="0"/>
        <v>0</v>
      </c>
      <c r="G48" s="539"/>
      <c r="H48" s="540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320"/>
      <c r="E49" s="541"/>
      <c r="F49" s="320">
        <f t="shared" si="0"/>
        <v>0</v>
      </c>
      <c r="G49" s="539"/>
      <c r="H49" s="540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320"/>
      <c r="E50" s="541"/>
      <c r="F50" s="320">
        <f t="shared" si="0"/>
        <v>0</v>
      </c>
      <c r="G50" s="539"/>
      <c r="H50" s="540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320"/>
      <c r="E51" s="541"/>
      <c r="F51" s="320">
        <f t="shared" si="0"/>
        <v>0</v>
      </c>
      <c r="G51" s="539"/>
      <c r="H51" s="540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320"/>
      <c r="E52" s="541"/>
      <c r="F52" s="320">
        <f t="shared" si="0"/>
        <v>0</v>
      </c>
      <c r="G52" s="539"/>
      <c r="H52" s="540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320"/>
      <c r="E53" s="541"/>
      <c r="F53" s="320">
        <f t="shared" si="0"/>
        <v>0</v>
      </c>
      <c r="G53" s="539"/>
      <c r="H53" s="540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320"/>
      <c r="E54" s="541"/>
      <c r="F54" s="320">
        <f t="shared" si="0"/>
        <v>0</v>
      </c>
      <c r="G54" s="539"/>
      <c r="H54" s="540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41"/>
      <c r="F55" s="320">
        <f t="shared" si="0"/>
        <v>0</v>
      </c>
      <c r="G55" s="539"/>
      <c r="H55" s="540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41"/>
      <c r="F56" s="320">
        <f t="shared" si="0"/>
        <v>0</v>
      </c>
      <c r="G56" s="539"/>
      <c r="H56" s="540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41"/>
      <c r="F57" s="320">
        <f t="shared" si="0"/>
        <v>0</v>
      </c>
      <c r="G57" s="539"/>
      <c r="H57" s="540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9"/>
      <c r="F58" s="320"/>
      <c r="G58" s="539"/>
      <c r="H58" s="540"/>
      <c r="I58" s="128">
        <f t="shared" si="3"/>
        <v>463.98</v>
      </c>
    </row>
    <row r="59" spans="1:9" x14ac:dyDescent="0.25">
      <c r="B59" s="328"/>
      <c r="C59" s="319"/>
      <c r="D59" s="320"/>
      <c r="E59" s="439"/>
      <c r="F59" s="320"/>
      <c r="G59" s="542"/>
      <c r="H59" s="439"/>
      <c r="I59" s="128"/>
    </row>
    <row r="60" spans="1:9" x14ac:dyDescent="0.25">
      <c r="B60" s="328"/>
      <c r="C60" s="319"/>
      <c r="D60" s="320"/>
      <c r="E60" s="439"/>
      <c r="F60" s="320"/>
      <c r="G60" s="542"/>
      <c r="H60" s="439"/>
      <c r="I60" s="128"/>
    </row>
    <row r="61" spans="1:9" ht="15.75" thickBot="1" x14ac:dyDescent="0.3">
      <c r="B61" s="73"/>
      <c r="C61" s="321"/>
      <c r="D61" s="479"/>
      <c r="E61" s="326"/>
      <c r="F61" s="325"/>
      <c r="G61" s="327"/>
      <c r="H61" s="438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7" t="s">
        <v>21</v>
      </c>
      <c r="E65" s="548"/>
      <c r="F65" s="549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50" t="s">
        <v>4</v>
      </c>
      <c r="E66" s="551"/>
      <c r="F66" s="552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6" sqref="F16:I1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07" t="s">
        <v>316</v>
      </c>
      <c r="B1" s="1607"/>
      <c r="C1" s="1607"/>
      <c r="D1" s="1607"/>
      <c r="E1" s="1607"/>
      <c r="F1" s="1607"/>
      <c r="G1" s="16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84</v>
      </c>
      <c r="C4" s="124"/>
      <c r="D4" s="131"/>
      <c r="E4" s="85">
        <v>401.15</v>
      </c>
      <c r="F4" s="72">
        <v>18</v>
      </c>
      <c r="G4" s="224"/>
    </row>
    <row r="5" spans="1:9" x14ac:dyDescent="0.25">
      <c r="A5" s="74" t="s">
        <v>52</v>
      </c>
      <c r="B5" s="1691"/>
      <c r="C5" s="358">
        <v>85</v>
      </c>
      <c r="D5" s="131">
        <v>45146</v>
      </c>
      <c r="E5" s="85">
        <v>2011.56</v>
      </c>
      <c r="F5" s="72">
        <v>89</v>
      </c>
      <c r="G5" s="48">
        <f>F32</f>
        <v>2412.71</v>
      </c>
      <c r="H5" s="134">
        <f>E5-G5+E6</f>
        <v>-401.15000000000009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1" t="s">
        <v>7</v>
      </c>
      <c r="C7" s="772" t="s">
        <v>8</v>
      </c>
      <c r="D7" s="773" t="s">
        <v>17</v>
      </c>
      <c r="E7" s="774" t="s">
        <v>2</v>
      </c>
      <c r="F7" s="775" t="s">
        <v>18</v>
      </c>
      <c r="G7" s="776" t="s">
        <v>15</v>
      </c>
      <c r="H7" s="24"/>
    </row>
    <row r="8" spans="1:9" ht="15.75" thickTop="1" x14ac:dyDescent="0.25">
      <c r="A8" s="54"/>
      <c r="B8" s="376">
        <f>F4+F5+F6-C8</f>
        <v>107</v>
      </c>
      <c r="C8" s="751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2412.71</v>
      </c>
    </row>
    <row r="9" spans="1:9" x14ac:dyDescent="0.25">
      <c r="A9" s="74"/>
      <c r="B9" s="376">
        <f>B8-C9</f>
        <v>82</v>
      </c>
      <c r="C9" s="751">
        <v>25</v>
      </c>
      <c r="D9" s="320">
        <v>564.41</v>
      </c>
      <c r="E9" s="130">
        <v>45159</v>
      </c>
      <c r="F9" s="91">
        <f t="shared" si="0"/>
        <v>564.41</v>
      </c>
      <c r="G9" s="274" t="s">
        <v>251</v>
      </c>
      <c r="H9" s="975">
        <v>61</v>
      </c>
      <c r="I9" s="128">
        <f>I8-F9</f>
        <v>1848.3000000000002</v>
      </c>
    </row>
    <row r="10" spans="1:9" x14ac:dyDescent="0.25">
      <c r="A10" s="74"/>
      <c r="B10" s="376">
        <f t="shared" ref="B10:B28" si="1">B9-C10</f>
        <v>72</v>
      </c>
      <c r="C10" s="514">
        <v>10</v>
      </c>
      <c r="D10" s="320">
        <v>215.06</v>
      </c>
      <c r="E10" s="130">
        <v>45170</v>
      </c>
      <c r="F10" s="91">
        <f t="shared" si="0"/>
        <v>215.06</v>
      </c>
      <c r="G10" s="274" t="s">
        <v>294</v>
      </c>
      <c r="H10" s="975">
        <v>61</v>
      </c>
      <c r="I10" s="128">
        <f t="shared" ref="I10:I28" si="2">I9-F10</f>
        <v>1633.2400000000002</v>
      </c>
    </row>
    <row r="11" spans="1:9" x14ac:dyDescent="0.25">
      <c r="A11" s="54"/>
      <c r="B11" s="591">
        <f t="shared" si="1"/>
        <v>72</v>
      </c>
      <c r="C11" s="514"/>
      <c r="D11" s="320"/>
      <c r="E11" s="130"/>
      <c r="F11" s="91">
        <f t="shared" si="0"/>
        <v>0</v>
      </c>
      <c r="G11" s="274"/>
      <c r="H11" s="230"/>
      <c r="I11" s="581">
        <f t="shared" si="2"/>
        <v>1633.2400000000002</v>
      </c>
    </row>
    <row r="12" spans="1:9" x14ac:dyDescent="0.25">
      <c r="A12" s="74"/>
      <c r="B12" s="376">
        <f t="shared" si="1"/>
        <v>47</v>
      </c>
      <c r="C12" s="514">
        <v>25</v>
      </c>
      <c r="D12" s="1049">
        <v>557.4</v>
      </c>
      <c r="E12" s="1050">
        <v>45182</v>
      </c>
      <c r="F12" s="908">
        <f t="shared" si="0"/>
        <v>557.4</v>
      </c>
      <c r="G12" s="1051" t="s">
        <v>627</v>
      </c>
      <c r="H12" s="910">
        <v>67</v>
      </c>
      <c r="I12" s="128">
        <f t="shared" si="2"/>
        <v>1075.8400000000001</v>
      </c>
    </row>
    <row r="13" spans="1:9" x14ac:dyDescent="0.25">
      <c r="A13" s="74"/>
      <c r="B13" s="376">
        <f t="shared" si="1"/>
        <v>39</v>
      </c>
      <c r="C13" s="514">
        <v>8</v>
      </c>
      <c r="D13" s="1049">
        <v>199.49</v>
      </c>
      <c r="E13" s="1050">
        <v>45195</v>
      </c>
      <c r="F13" s="908">
        <f t="shared" si="0"/>
        <v>199.49</v>
      </c>
      <c r="G13" s="1051" t="s">
        <v>726</v>
      </c>
      <c r="H13" s="910">
        <v>102</v>
      </c>
      <c r="I13" s="128">
        <f t="shared" si="2"/>
        <v>876.35000000000014</v>
      </c>
    </row>
    <row r="14" spans="1:9" x14ac:dyDescent="0.25">
      <c r="B14" s="376">
        <f t="shared" si="1"/>
        <v>0</v>
      </c>
      <c r="C14" s="514">
        <v>39</v>
      </c>
      <c r="D14" s="1049">
        <v>876.35</v>
      </c>
      <c r="E14" s="1050">
        <v>45195</v>
      </c>
      <c r="F14" s="908">
        <f t="shared" si="0"/>
        <v>876.35</v>
      </c>
      <c r="G14" s="1051" t="s">
        <v>731</v>
      </c>
      <c r="H14" s="910">
        <v>87</v>
      </c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1049"/>
      <c r="E15" s="1050"/>
      <c r="F15" s="908">
        <f t="shared" si="0"/>
        <v>0</v>
      </c>
      <c r="G15" s="1051"/>
      <c r="H15" s="91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1049"/>
      <c r="E16" s="1050"/>
      <c r="F16" s="1308">
        <f t="shared" si="0"/>
        <v>0</v>
      </c>
      <c r="G16" s="1309"/>
      <c r="H16" s="1310"/>
      <c r="I16" s="1265">
        <f t="shared" si="2"/>
        <v>0</v>
      </c>
    </row>
    <row r="17" spans="1:9" x14ac:dyDescent="0.25">
      <c r="B17" s="376">
        <f t="shared" si="1"/>
        <v>0</v>
      </c>
      <c r="C17" s="514"/>
      <c r="D17" s="1049"/>
      <c r="E17" s="1050"/>
      <c r="F17" s="1308">
        <f t="shared" si="0"/>
        <v>0</v>
      </c>
      <c r="G17" s="1309"/>
      <c r="H17" s="1310"/>
      <c r="I17" s="1265">
        <f t="shared" si="2"/>
        <v>0</v>
      </c>
    </row>
    <row r="18" spans="1:9" x14ac:dyDescent="0.25">
      <c r="B18" s="376">
        <f t="shared" si="1"/>
        <v>0</v>
      </c>
      <c r="C18" s="514"/>
      <c r="D18" s="1049"/>
      <c r="E18" s="1050"/>
      <c r="F18" s="1308">
        <f t="shared" si="0"/>
        <v>0</v>
      </c>
      <c r="G18" s="1309"/>
      <c r="H18" s="1310"/>
      <c r="I18" s="1265">
        <f t="shared" si="2"/>
        <v>0</v>
      </c>
    </row>
    <row r="19" spans="1:9" x14ac:dyDescent="0.25">
      <c r="B19" s="376">
        <f t="shared" si="1"/>
        <v>0</v>
      </c>
      <c r="C19" s="514"/>
      <c r="D19" s="1049"/>
      <c r="E19" s="1050"/>
      <c r="F19" s="1308">
        <f t="shared" si="0"/>
        <v>0</v>
      </c>
      <c r="G19" s="1309"/>
      <c r="H19" s="1310"/>
      <c r="I19" s="1265">
        <f t="shared" si="2"/>
        <v>0</v>
      </c>
    </row>
    <row r="20" spans="1:9" x14ac:dyDescent="0.25">
      <c r="B20" s="376">
        <f t="shared" si="1"/>
        <v>0</v>
      </c>
      <c r="C20" s="514"/>
      <c r="D20" s="1049"/>
      <c r="E20" s="1050"/>
      <c r="F20" s="908">
        <f t="shared" si="0"/>
        <v>0</v>
      </c>
      <c r="G20" s="1051"/>
      <c r="H20" s="91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1049"/>
      <c r="E21" s="1050"/>
      <c r="F21" s="908">
        <f t="shared" si="0"/>
        <v>0</v>
      </c>
      <c r="G21" s="1051"/>
      <c r="H21" s="1052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1049"/>
      <c r="E22" s="1050"/>
      <c r="F22" s="908">
        <f t="shared" si="0"/>
        <v>0</v>
      </c>
      <c r="G22" s="1051"/>
      <c r="H22" s="1052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1049"/>
      <c r="E23" s="1050"/>
      <c r="F23" s="908">
        <f t="shared" si="0"/>
        <v>0</v>
      </c>
      <c r="G23" s="1051"/>
      <c r="H23" s="1052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1049"/>
      <c r="E24" s="1050"/>
      <c r="F24" s="908">
        <f t="shared" si="0"/>
        <v>0</v>
      </c>
      <c r="G24" s="1051"/>
      <c r="H24" s="1052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1049"/>
      <c r="E25" s="1050"/>
      <c r="F25" s="908">
        <f t="shared" si="0"/>
        <v>0</v>
      </c>
      <c r="G25" s="1051"/>
      <c r="H25" s="1052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1049"/>
      <c r="E26" s="1050"/>
      <c r="F26" s="908">
        <f t="shared" si="0"/>
        <v>0</v>
      </c>
      <c r="G26" s="1053"/>
      <c r="H26" s="1052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1054"/>
      <c r="E27" s="1050"/>
      <c r="F27" s="908">
        <f t="shared" si="0"/>
        <v>0</v>
      </c>
      <c r="G27" s="1055"/>
      <c r="H27" s="1056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3"/>
      <c r="E29" s="645"/>
      <c r="F29" s="400"/>
      <c r="G29" s="738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107</v>
      </c>
      <c r="D32" s="102">
        <f>SUM(C8:C31)</f>
        <v>107</v>
      </c>
      <c r="E32" s="74"/>
      <c r="F32" s="102">
        <f>SUM(F8:F31)</f>
        <v>2412.71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1904.56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86</v>
      </c>
      <c r="C4" s="99"/>
      <c r="D4" s="131"/>
      <c r="E4" s="85"/>
      <c r="F4" s="72"/>
      <c r="G4" s="224"/>
    </row>
    <row r="5" spans="1:9" x14ac:dyDescent="0.25">
      <c r="A5" s="1597"/>
      <c r="B5" s="169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400"/>
      <c r="G29" s="738"/>
      <c r="H29" s="64"/>
    </row>
    <row r="30" spans="1:9" x14ac:dyDescent="0.25">
      <c r="B30" s="2"/>
      <c r="C30" s="15"/>
      <c r="D30" s="6"/>
      <c r="E30" s="573"/>
      <c r="F30" s="6"/>
    </row>
    <row r="31" spans="1:9" ht="15.75" thickBot="1" x14ac:dyDescent="0.3">
      <c r="B31" s="73"/>
      <c r="C31" s="86"/>
      <c r="D31" s="75"/>
      <c r="E31" s="57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185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91"/>
      <c r="C5" s="358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1" t="s">
        <v>7</v>
      </c>
      <c r="C7" s="772" t="s">
        <v>8</v>
      </c>
      <c r="D7" s="773" t="s">
        <v>17</v>
      </c>
      <c r="E7" s="774" t="s">
        <v>2</v>
      </c>
      <c r="F7" s="775" t="s">
        <v>18</v>
      </c>
      <c r="G7" s="776" t="s">
        <v>15</v>
      </c>
      <c r="H7" s="24"/>
    </row>
    <row r="8" spans="1:9" ht="15.75" thickTop="1" x14ac:dyDescent="0.25">
      <c r="A8" s="54"/>
      <c r="B8" s="376">
        <f>F4+F5+F6-C8</f>
        <v>0</v>
      </c>
      <c r="C8" s="751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6">
        <f>B8-C9</f>
        <v>0</v>
      </c>
      <c r="C9" s="751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6">
        <f t="shared" ref="B10:B28" si="1">B9-C10</f>
        <v>0</v>
      </c>
      <c r="C10" s="514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6">
        <f t="shared" si="1"/>
        <v>0</v>
      </c>
      <c r="C11" s="514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6">
        <f t="shared" si="1"/>
        <v>0</v>
      </c>
      <c r="C12" s="514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6">
        <f t="shared" si="1"/>
        <v>0</v>
      </c>
      <c r="C13" s="514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6">
        <f t="shared" si="1"/>
        <v>0</v>
      </c>
      <c r="C14" s="514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6">
        <f t="shared" si="1"/>
        <v>0</v>
      </c>
      <c r="C17" s="514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6">
        <f t="shared" si="1"/>
        <v>0</v>
      </c>
      <c r="C18" s="514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6">
        <f t="shared" si="1"/>
        <v>0</v>
      </c>
      <c r="C19" s="514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6">
        <f t="shared" si="1"/>
        <v>0</v>
      </c>
      <c r="C20" s="514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320"/>
      <c r="E26" s="130"/>
      <c r="F26" s="91">
        <f t="shared" si="0"/>
        <v>0</v>
      </c>
      <c r="G26" s="643"/>
      <c r="H26" s="148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6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3"/>
      <c r="E29" s="645"/>
      <c r="F29" s="400"/>
      <c r="G29" s="738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T1" workbookViewId="0">
      <selection activeCell="AD20" sqref="AD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607" t="s">
        <v>317</v>
      </c>
      <c r="B1" s="1607"/>
      <c r="C1" s="1607"/>
      <c r="D1" s="1607"/>
      <c r="E1" s="1607"/>
      <c r="F1" s="1607"/>
      <c r="G1" s="1607"/>
      <c r="H1" s="96">
        <v>1</v>
      </c>
      <c r="L1" s="1593" t="s">
        <v>331</v>
      </c>
      <c r="M1" s="1593"/>
      <c r="N1" s="1593"/>
      <c r="O1" s="1593"/>
      <c r="P1" s="1593"/>
      <c r="Q1" s="1593"/>
      <c r="R1" s="1593"/>
      <c r="S1" s="96">
        <v>1</v>
      </c>
      <c r="W1" s="1593" t="s">
        <v>331</v>
      </c>
      <c r="X1" s="1593"/>
      <c r="Y1" s="1593"/>
      <c r="Z1" s="1593"/>
      <c r="AA1" s="1593"/>
      <c r="AB1" s="1593"/>
      <c r="AC1" s="1593"/>
      <c r="AD1" s="96">
        <v>1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2" ht="15.75" customHeight="1" thickBot="1" x14ac:dyDescent="0.3">
      <c r="A5" s="1682" t="s">
        <v>95</v>
      </c>
      <c r="B5" s="1694" t="s">
        <v>148</v>
      </c>
      <c r="C5" s="482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682" t="s">
        <v>376</v>
      </c>
      <c r="M5" s="1694" t="s">
        <v>148</v>
      </c>
      <c r="N5" s="482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682" t="s">
        <v>462</v>
      </c>
      <c r="X5" s="1692" t="s">
        <v>463</v>
      </c>
      <c r="Y5" s="482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2" ht="17.25" customHeight="1" thickTop="1" thickBot="1" x14ac:dyDescent="0.3">
      <c r="A6" s="1683"/>
      <c r="B6" s="1695"/>
      <c r="C6" s="212">
        <v>112</v>
      </c>
      <c r="D6" s="114">
        <v>45164</v>
      </c>
      <c r="E6" s="140">
        <v>593.83000000000004</v>
      </c>
      <c r="F6" s="227">
        <v>25</v>
      </c>
      <c r="I6" s="1671" t="s">
        <v>3</v>
      </c>
      <c r="J6" s="1666" t="s">
        <v>4</v>
      </c>
      <c r="L6" s="1683"/>
      <c r="M6" s="1695"/>
      <c r="N6" s="212"/>
      <c r="O6" s="114"/>
      <c r="P6" s="140"/>
      <c r="Q6" s="227"/>
      <c r="T6" s="1671" t="s">
        <v>3</v>
      </c>
      <c r="U6" s="1666" t="s">
        <v>4</v>
      </c>
      <c r="W6" s="1683"/>
      <c r="X6" s="1693"/>
      <c r="Y6" s="212"/>
      <c r="Z6" s="114"/>
      <c r="AA6" s="140"/>
      <c r="AB6" s="227"/>
      <c r="AE6" s="1671" t="s">
        <v>3</v>
      </c>
      <c r="AF6" s="1666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2"/>
      <c r="J7" s="166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72"/>
      <c r="U7" s="1667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72"/>
      <c r="AF7" s="1667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236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197">
        <f>P5+P4-Q8+P6</f>
        <v>143.38999999999999</v>
      </c>
      <c r="U8" s="123">
        <f>Q4+Q5+Q6-N8</f>
        <v>7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197">
        <f>AA5+AA4-AB8+AA6</f>
        <v>740.16</v>
      </c>
      <c r="AF8" s="123">
        <f>AB4+AB5+AB6-Y8</f>
        <v>28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247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143.38999999999999</v>
      </c>
      <c r="U9" s="123">
        <f>U8-N9</f>
        <v>7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740.16</v>
      </c>
      <c r="AF9" s="123">
        <f>AF8-Y9</f>
        <v>28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249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143.38999999999999</v>
      </c>
      <c r="U10" s="123">
        <f t="shared" ref="U10:U28" si="6">U9-N10</f>
        <v>7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740.16</v>
      </c>
      <c r="AF10" s="123">
        <f t="shared" ref="AF10:AF28" si="8">AF9-Y10</f>
        <v>28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266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143.38999999999999</v>
      </c>
      <c r="U11" s="123">
        <f t="shared" si="6"/>
        <v>7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740.16</v>
      </c>
      <c r="AF11" s="123">
        <f t="shared" si="8"/>
        <v>28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267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143.38999999999999</v>
      </c>
      <c r="U12" s="123">
        <f t="shared" si="6"/>
        <v>7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740.16</v>
      </c>
      <c r="AF12" s="123">
        <f t="shared" si="8"/>
        <v>28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280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143.38999999999999</v>
      </c>
      <c r="U13" s="123">
        <f t="shared" si="6"/>
        <v>7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740.16</v>
      </c>
      <c r="AF13" s="123">
        <f t="shared" si="8"/>
        <v>28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88">
        <f t="shared" si="3"/>
        <v>745.84999999999991</v>
      </c>
      <c r="J14" s="589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143.38999999999999</v>
      </c>
      <c r="U14" s="123">
        <f t="shared" si="6"/>
        <v>7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740.16</v>
      </c>
      <c r="AF14" s="123">
        <f t="shared" si="8"/>
        <v>28</v>
      </c>
    </row>
    <row r="15" spans="1:32" x14ac:dyDescent="0.25">
      <c r="B15" s="82"/>
      <c r="C15" s="15">
        <v>8</v>
      </c>
      <c r="D15" s="1045">
        <v>196.67</v>
      </c>
      <c r="E15" s="1020">
        <v>45173</v>
      </c>
      <c r="F15" s="1012">
        <f>D15</f>
        <v>196.67</v>
      </c>
      <c r="G15" s="844" t="s">
        <v>522</v>
      </c>
      <c r="H15" s="1046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143.38999999999999</v>
      </c>
      <c r="U15" s="123">
        <f t="shared" si="6"/>
        <v>7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740.16</v>
      </c>
      <c r="AF15" s="123">
        <f t="shared" si="8"/>
        <v>28</v>
      </c>
    </row>
    <row r="16" spans="1:32" x14ac:dyDescent="0.25">
      <c r="A16" s="80"/>
      <c r="B16" s="82"/>
      <c r="C16" s="15">
        <v>1</v>
      </c>
      <c r="D16" s="1045">
        <v>20.86</v>
      </c>
      <c r="E16" s="1048">
        <v>45177</v>
      </c>
      <c r="F16" s="1012">
        <f>D16</f>
        <v>20.86</v>
      </c>
      <c r="G16" s="844" t="s">
        <v>574</v>
      </c>
      <c r="H16" s="1046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143.38999999999999</v>
      </c>
      <c r="U16" s="123">
        <f t="shared" si="6"/>
        <v>7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740.16</v>
      </c>
      <c r="AF16" s="123">
        <f t="shared" si="8"/>
        <v>28</v>
      </c>
    </row>
    <row r="17" spans="1:32" x14ac:dyDescent="0.25">
      <c r="A17" s="82"/>
      <c r="B17" s="82"/>
      <c r="C17" s="15">
        <v>5</v>
      </c>
      <c r="D17" s="1045">
        <v>116.45</v>
      </c>
      <c r="E17" s="1048">
        <v>45178</v>
      </c>
      <c r="F17" s="1012">
        <f t="shared" ref="F17:F29" si="9">D17</f>
        <v>116.45</v>
      </c>
      <c r="G17" s="1047" t="s">
        <v>590</v>
      </c>
      <c r="H17" s="1274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79"/>
      <c r="S17" s="124"/>
      <c r="T17" s="197">
        <f t="shared" si="5"/>
        <v>143.38999999999999</v>
      </c>
      <c r="U17" s="123">
        <f t="shared" si="6"/>
        <v>7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79"/>
      <c r="AD17" s="124"/>
      <c r="AE17" s="197">
        <f t="shared" si="7"/>
        <v>740.16</v>
      </c>
      <c r="AF17" s="123">
        <f t="shared" si="8"/>
        <v>28</v>
      </c>
    </row>
    <row r="18" spans="1:32" x14ac:dyDescent="0.25">
      <c r="A18" s="2"/>
      <c r="B18" s="82"/>
      <c r="C18" s="15">
        <v>9</v>
      </c>
      <c r="D18" s="1045">
        <v>218.29</v>
      </c>
      <c r="E18" s="1048">
        <v>45191</v>
      </c>
      <c r="F18" s="1012">
        <f t="shared" si="9"/>
        <v>218.29</v>
      </c>
      <c r="G18" s="844" t="s">
        <v>702</v>
      </c>
      <c r="H18" s="1046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143.38999999999999</v>
      </c>
      <c r="U18" s="123">
        <f t="shared" si="6"/>
        <v>7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740.16</v>
      </c>
      <c r="AF18" s="123">
        <f t="shared" si="8"/>
        <v>28</v>
      </c>
    </row>
    <row r="19" spans="1:32" x14ac:dyDescent="0.25">
      <c r="A19" s="2"/>
      <c r="B19" s="82"/>
      <c r="C19" s="15">
        <v>1</v>
      </c>
      <c r="D19" s="1045">
        <v>25.24</v>
      </c>
      <c r="E19" s="1048">
        <v>45196</v>
      </c>
      <c r="F19" s="1012">
        <f t="shared" si="9"/>
        <v>25.24</v>
      </c>
      <c r="G19" s="844" t="s">
        <v>733</v>
      </c>
      <c r="H19" s="1046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143.38999999999999</v>
      </c>
      <c r="U19" s="123">
        <f t="shared" si="6"/>
        <v>7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740.16</v>
      </c>
      <c r="AF19" s="123">
        <f t="shared" si="8"/>
        <v>28</v>
      </c>
    </row>
    <row r="20" spans="1:32" x14ac:dyDescent="0.25">
      <c r="A20" s="2"/>
      <c r="B20" s="82"/>
      <c r="C20" s="15"/>
      <c r="D20" s="1045">
        <v>0</v>
      </c>
      <c r="E20" s="1020"/>
      <c r="F20" s="1012">
        <f t="shared" si="9"/>
        <v>0</v>
      </c>
      <c r="G20" s="844"/>
      <c r="H20" s="1046"/>
      <c r="I20" s="197">
        <f t="shared" si="3"/>
        <v>168.33999999999995</v>
      </c>
      <c r="J20" s="12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045">
        <v>0</v>
      </c>
      <c r="E21" s="1020"/>
      <c r="F21" s="1012">
        <f t="shared" si="9"/>
        <v>0</v>
      </c>
      <c r="G21" s="844"/>
      <c r="H21" s="1046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045">
        <v>0</v>
      </c>
      <c r="E22" s="1020"/>
      <c r="F22" s="1012">
        <f t="shared" si="9"/>
        <v>0</v>
      </c>
      <c r="G22" s="844"/>
      <c r="H22" s="1046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045">
        <v>0</v>
      </c>
      <c r="E23" s="1020"/>
      <c r="F23" s="1012">
        <f t="shared" si="9"/>
        <v>0</v>
      </c>
      <c r="G23" s="844"/>
      <c r="H23" s="1046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045">
        <v>0</v>
      </c>
      <c r="E24" s="1048"/>
      <c r="F24" s="1012">
        <f t="shared" si="9"/>
        <v>0</v>
      </c>
      <c r="G24" s="844"/>
      <c r="H24" s="1046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045">
        <v>0</v>
      </c>
      <c r="E25" s="1048"/>
      <c r="F25" s="1012">
        <f t="shared" si="9"/>
        <v>0</v>
      </c>
      <c r="G25" s="844"/>
      <c r="H25" s="1046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045">
        <v>0</v>
      </c>
      <c r="E26" s="1035"/>
      <c r="F26" s="1012">
        <f t="shared" si="9"/>
        <v>0</v>
      </c>
      <c r="G26" s="844"/>
      <c r="H26" s="845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045">
        <v>0</v>
      </c>
      <c r="E27" s="1035"/>
      <c r="F27" s="1012">
        <f t="shared" si="9"/>
        <v>0</v>
      </c>
      <c r="G27" s="844"/>
      <c r="H27" s="845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045">
        <v>0</v>
      </c>
      <c r="E28" s="1035"/>
      <c r="F28" s="1012">
        <f t="shared" si="9"/>
        <v>0</v>
      </c>
      <c r="G28" s="844"/>
      <c r="H28" s="845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7</v>
      </c>
      <c r="U31" s="72"/>
      <c r="W31" s="51"/>
      <c r="Z31" s="110" t="s">
        <v>4</v>
      </c>
      <c r="AA31" s="67">
        <f>AB4+AB5+AB6-+Y30</f>
        <v>28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47" t="s">
        <v>11</v>
      </c>
      <c r="D33" s="1648"/>
      <c r="E33" s="141">
        <f>E5+E4+E6+-F30</f>
        <v>168.33999999999992</v>
      </c>
      <c r="L33" s="47"/>
      <c r="N33" s="1647" t="s">
        <v>11</v>
      </c>
      <c r="O33" s="1648"/>
      <c r="P33" s="141">
        <f>P5+P4+P6+-Q30</f>
        <v>143.38999999999999</v>
      </c>
      <c r="W33" s="47"/>
      <c r="Y33" s="1647" t="s">
        <v>11</v>
      </c>
      <c r="Z33" s="1648"/>
      <c r="AA33" s="141">
        <f>AA5+AA4+AA6+-AB30</f>
        <v>740.16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0" t="s">
        <v>81</v>
      </c>
      <c r="C4" s="99"/>
      <c r="D4" s="131"/>
      <c r="E4" s="85"/>
      <c r="F4" s="72"/>
      <c r="G4" s="224"/>
    </row>
    <row r="5" spans="1:9" x14ac:dyDescent="0.25">
      <c r="A5" s="1598"/>
      <c r="B5" s="169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8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0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0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0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0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0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0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0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0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0"/>
      <c r="E16" s="401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2"/>
      <c r="E17" s="401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0"/>
      <c r="E18" s="401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0"/>
      <c r="E19" s="401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0"/>
      <c r="E20" s="401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0"/>
      <c r="E21" s="401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0"/>
      <c r="E22" s="401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0"/>
      <c r="E23" s="401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0"/>
      <c r="E24" s="401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0"/>
      <c r="E25" s="401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0"/>
      <c r="E26" s="401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8"/>
      <c r="B5" s="1601" t="s">
        <v>88</v>
      </c>
      <c r="C5" s="357"/>
      <c r="D5" s="130"/>
      <c r="E5" s="197"/>
      <c r="F5" s="61"/>
      <c r="G5" s="5"/>
    </row>
    <row r="6" spans="1:9" ht="20.25" customHeight="1" x14ac:dyDescent="0.25">
      <c r="A6" s="1598"/>
      <c r="B6" s="160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5" t="s">
        <v>11</v>
      </c>
      <c r="D83" s="159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6" t="s">
        <v>82</v>
      </c>
      <c r="C4" s="99"/>
      <c r="D4" s="131"/>
      <c r="E4" s="85"/>
      <c r="F4" s="72"/>
      <c r="G4" s="224"/>
    </row>
    <row r="5" spans="1:9" x14ac:dyDescent="0.25">
      <c r="A5" s="1598"/>
      <c r="B5" s="169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8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400"/>
      <c r="E22" s="401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400"/>
      <c r="E23" s="401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400"/>
      <c r="E24" s="40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400"/>
      <c r="E25" s="40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400"/>
      <c r="E26" s="40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400"/>
      <c r="E27" s="401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400"/>
      <c r="E28" s="401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3"/>
      <c r="B1" s="1593"/>
      <c r="C1" s="1593"/>
      <c r="D1" s="1593"/>
      <c r="E1" s="1593"/>
      <c r="F1" s="1593"/>
      <c r="G1" s="15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82"/>
      <c r="B5" s="1694" t="s">
        <v>141</v>
      </c>
      <c r="C5" s="482"/>
      <c r="D5" s="114"/>
      <c r="E5" s="712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83"/>
      <c r="B6" s="1695"/>
      <c r="C6" s="212"/>
      <c r="D6" s="114"/>
      <c r="E6" s="140"/>
      <c r="F6" s="227"/>
      <c r="I6" s="1671" t="s">
        <v>3</v>
      </c>
      <c r="J6" s="16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2"/>
      <c r="J7" s="1667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7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47" t="s">
        <v>11</v>
      </c>
      <c r="D33" s="164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B24" sqref="B2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3" t="s">
        <v>331</v>
      </c>
      <c r="B1" s="1593"/>
      <c r="C1" s="1593"/>
      <c r="D1" s="1593"/>
      <c r="E1" s="1593"/>
      <c r="F1" s="1593"/>
      <c r="G1" s="15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82" t="s">
        <v>462</v>
      </c>
      <c r="B5" s="1692" t="s">
        <v>464</v>
      </c>
      <c r="C5" s="482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683"/>
      <c r="B6" s="1693"/>
      <c r="C6" s="212"/>
      <c r="D6" s="114"/>
      <c r="E6" s="140"/>
      <c r="F6" s="227"/>
      <c r="I6" s="1671" t="s">
        <v>3</v>
      </c>
      <c r="J6" s="16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2"/>
      <c r="J7" s="1667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1515.4</v>
      </c>
      <c r="J8" s="123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1515.4</v>
      </c>
      <c r="J9" s="123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1515.4</v>
      </c>
      <c r="J10" s="123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1515.4</v>
      </c>
      <c r="J11" s="123">
        <f t="shared" si="2"/>
        <v>78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1515.4</v>
      </c>
      <c r="J12" s="123">
        <f t="shared" si="2"/>
        <v>78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1515.4</v>
      </c>
      <c r="J13" s="123">
        <f t="shared" si="2"/>
        <v>78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1515.4</v>
      </c>
      <c r="J14" s="123">
        <f t="shared" si="2"/>
        <v>78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1515.4</v>
      </c>
      <c r="J15" s="123">
        <f t="shared" si="2"/>
        <v>78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1515.4</v>
      </c>
      <c r="J16" s="123">
        <f t="shared" si="2"/>
        <v>78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79"/>
      <c r="H17" s="124"/>
      <c r="I17" s="197">
        <f t="shared" si="1"/>
        <v>1515.4</v>
      </c>
      <c r="J17" s="123">
        <f t="shared" si="2"/>
        <v>78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1515.4</v>
      </c>
      <c r="J18" s="123">
        <f t="shared" si="2"/>
        <v>78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1515.4</v>
      </c>
      <c r="J19" s="123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47" t="s">
        <v>11</v>
      </c>
      <c r="D33" s="1648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3"/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98"/>
      <c r="B5" s="1598" t="s">
        <v>147</v>
      </c>
      <c r="C5" s="357"/>
      <c r="D5" s="130"/>
      <c r="E5" s="197"/>
      <c r="F5" s="61"/>
      <c r="G5" s="5"/>
    </row>
    <row r="6" spans="1:9" ht="20.25" customHeight="1" x14ac:dyDescent="0.25">
      <c r="A6" s="1598"/>
      <c r="B6" s="1598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5" t="s">
        <v>11</v>
      </c>
      <c r="D83" s="1596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 t="s">
        <v>331</v>
      </c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99" t="s">
        <v>465</v>
      </c>
      <c r="B5" s="1602" t="s">
        <v>467</v>
      </c>
      <c r="C5" s="357">
        <v>115</v>
      </c>
      <c r="D5" s="130">
        <v>45191</v>
      </c>
      <c r="E5" s="766">
        <v>326.60000000000002</v>
      </c>
      <c r="F5" s="61">
        <v>1</v>
      </c>
      <c r="G5" s="102">
        <f>F35</f>
        <v>326.60000000000002</v>
      </c>
    </row>
    <row r="6" spans="1:9" x14ac:dyDescent="0.25">
      <c r="A6" s="1599"/>
      <c r="B6" s="1602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 t="s">
        <v>262</v>
      </c>
      <c r="C9" s="15">
        <v>1</v>
      </c>
      <c r="D9" s="68">
        <v>326.60000000000002</v>
      </c>
      <c r="E9" s="191">
        <v>45191</v>
      </c>
      <c r="F9" s="68">
        <v>326.60000000000002</v>
      </c>
      <c r="G9" s="69" t="s">
        <v>698</v>
      </c>
      <c r="H9" s="70">
        <v>117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69"/>
      <c r="G11" s="1270"/>
      <c r="H11" s="1261"/>
      <c r="I11" s="1262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69"/>
      <c r="G12" s="1270"/>
      <c r="H12" s="1261"/>
      <c r="I12" s="1262">
        <f>I11-F12</f>
        <v>0</v>
      </c>
    </row>
    <row r="13" spans="1:9" x14ac:dyDescent="0.25">
      <c r="A13" s="81"/>
      <c r="B13" s="174"/>
      <c r="C13" s="15"/>
      <c r="D13" s="68"/>
      <c r="E13" s="191"/>
      <c r="F13" s="1269"/>
      <c r="G13" s="1270"/>
      <c r="H13" s="1261"/>
      <c r="I13" s="1262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69"/>
      <c r="G14" s="1270"/>
      <c r="H14" s="1261"/>
      <c r="I14" s="1262">
        <f t="shared" si="1"/>
        <v>0</v>
      </c>
    </row>
    <row r="15" spans="1:9" x14ac:dyDescent="0.25">
      <c r="A15" s="72"/>
      <c r="B15" s="174"/>
      <c r="C15" s="15"/>
      <c r="D15" s="68"/>
      <c r="E15" s="191"/>
      <c r="F15" s="1269"/>
      <c r="G15" s="1270"/>
      <c r="H15" s="1261"/>
      <c r="I15" s="1262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1</v>
      </c>
      <c r="D35" s="6">
        <f>SUM(D9:D34)</f>
        <v>326.60000000000002</v>
      </c>
      <c r="F35" s="6">
        <f>SUM(F9:F34)</f>
        <v>326.60000000000002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95" t="s">
        <v>11</v>
      </c>
      <c r="D40" s="1596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3" t="s">
        <v>333</v>
      </c>
      <c r="B1" s="1593"/>
      <c r="C1" s="1593"/>
      <c r="D1" s="1593"/>
      <c r="E1" s="1593"/>
      <c r="F1" s="1593"/>
      <c r="G1" s="15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598" t="s">
        <v>101</v>
      </c>
      <c r="B5" s="1603" t="s">
        <v>61</v>
      </c>
      <c r="C5" s="357">
        <v>85</v>
      </c>
      <c r="D5" s="130">
        <v>45176</v>
      </c>
      <c r="E5" s="197">
        <v>595.66999999999996</v>
      </c>
      <c r="F5" s="61">
        <v>50</v>
      </c>
      <c r="G5" s="5"/>
    </row>
    <row r="6" spans="1:9" x14ac:dyDescent="0.25">
      <c r="A6" s="1598"/>
      <c r="B6" s="1603"/>
      <c r="C6" s="436">
        <v>85</v>
      </c>
      <c r="D6" s="130">
        <v>45183</v>
      </c>
      <c r="E6" s="68">
        <v>501.53</v>
      </c>
      <c r="F6" s="72">
        <v>42</v>
      </c>
      <c r="G6" s="47">
        <f>F48</f>
        <v>1097.1999999999998</v>
      </c>
      <c r="H6" s="7">
        <f>E6-G6+E7+E5-G5</f>
        <v>1.1368683772161603E-13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82</v>
      </c>
      <c r="C9" s="831">
        <v>10</v>
      </c>
      <c r="D9" s="791">
        <v>120.46</v>
      </c>
      <c r="E9" s="792">
        <v>45176</v>
      </c>
      <c r="F9" s="791">
        <f t="shared" ref="F9:F10" si="0">D9</f>
        <v>120.46</v>
      </c>
      <c r="G9" s="793" t="s">
        <v>552</v>
      </c>
      <c r="H9" s="210">
        <v>90</v>
      </c>
      <c r="I9" s="102">
        <f>E6-F9+E5+E7+E4</f>
        <v>976.74</v>
      </c>
    </row>
    <row r="10" spans="1:9" x14ac:dyDescent="0.25">
      <c r="A10" s="185"/>
      <c r="B10" s="82">
        <f>B9-C10</f>
        <v>74</v>
      </c>
      <c r="C10" s="831">
        <v>8</v>
      </c>
      <c r="D10" s="791">
        <v>96.52</v>
      </c>
      <c r="E10" s="792">
        <v>45176</v>
      </c>
      <c r="F10" s="791">
        <f t="shared" si="0"/>
        <v>96.52</v>
      </c>
      <c r="G10" s="793" t="s">
        <v>563</v>
      </c>
      <c r="H10" s="210">
        <v>90</v>
      </c>
      <c r="I10" s="102">
        <f>I9-F10</f>
        <v>880.22</v>
      </c>
    </row>
    <row r="11" spans="1:9" x14ac:dyDescent="0.25">
      <c r="A11" s="174"/>
      <c r="B11" s="82">
        <f t="shared" ref="B11:B45" si="1">B10-C11</f>
        <v>62</v>
      </c>
      <c r="C11" s="831">
        <v>12</v>
      </c>
      <c r="D11" s="791">
        <v>139.05000000000001</v>
      </c>
      <c r="E11" s="792">
        <v>45178</v>
      </c>
      <c r="F11" s="791">
        <f>D11</f>
        <v>139.05000000000001</v>
      </c>
      <c r="G11" s="793" t="s">
        <v>583</v>
      </c>
      <c r="H11" s="210">
        <v>90</v>
      </c>
      <c r="I11" s="102">
        <f t="shared" ref="I11:I45" si="2">I10-F11</f>
        <v>741.17000000000007</v>
      </c>
    </row>
    <row r="12" spans="1:9" x14ac:dyDescent="0.25">
      <c r="A12" s="174"/>
      <c r="B12" s="82">
        <f t="shared" si="1"/>
        <v>52</v>
      </c>
      <c r="C12" s="831">
        <v>10</v>
      </c>
      <c r="D12" s="791">
        <v>118.82</v>
      </c>
      <c r="E12" s="792">
        <v>45181</v>
      </c>
      <c r="F12" s="791">
        <f t="shared" ref="F12:F46" si="3">D12</f>
        <v>118.82</v>
      </c>
      <c r="G12" s="793" t="s">
        <v>616</v>
      </c>
      <c r="H12" s="210">
        <v>90</v>
      </c>
      <c r="I12" s="102">
        <f t="shared" si="2"/>
        <v>622.35000000000014</v>
      </c>
    </row>
    <row r="13" spans="1:9" x14ac:dyDescent="0.25">
      <c r="A13" s="81" t="s">
        <v>33</v>
      </c>
      <c r="B13" s="82">
        <f t="shared" si="1"/>
        <v>42</v>
      </c>
      <c r="C13" s="831">
        <v>10</v>
      </c>
      <c r="D13" s="791">
        <v>120.82</v>
      </c>
      <c r="E13" s="792">
        <v>45181</v>
      </c>
      <c r="F13" s="791">
        <f t="shared" si="3"/>
        <v>120.82</v>
      </c>
      <c r="G13" s="793" t="s">
        <v>621</v>
      </c>
      <c r="H13" s="210">
        <v>90</v>
      </c>
      <c r="I13" s="748">
        <f t="shared" si="2"/>
        <v>501.53000000000014</v>
      </c>
    </row>
    <row r="14" spans="1:9" x14ac:dyDescent="0.25">
      <c r="A14" s="72"/>
      <c r="B14" s="82">
        <f t="shared" si="1"/>
        <v>41</v>
      </c>
      <c r="C14" s="831">
        <v>1</v>
      </c>
      <c r="D14" s="791">
        <v>12.04</v>
      </c>
      <c r="E14" s="792">
        <v>45188</v>
      </c>
      <c r="F14" s="791">
        <f t="shared" si="3"/>
        <v>12.04</v>
      </c>
      <c r="G14" s="793" t="s">
        <v>672</v>
      </c>
      <c r="H14" s="210">
        <v>90</v>
      </c>
      <c r="I14" s="748">
        <f t="shared" si="2"/>
        <v>489.49000000000012</v>
      </c>
    </row>
    <row r="15" spans="1:9" x14ac:dyDescent="0.25">
      <c r="A15" s="72"/>
      <c r="B15" s="82">
        <f t="shared" si="1"/>
        <v>31</v>
      </c>
      <c r="C15" s="831">
        <v>10</v>
      </c>
      <c r="D15" s="791">
        <v>119.55</v>
      </c>
      <c r="E15" s="792">
        <v>45189</v>
      </c>
      <c r="F15" s="791">
        <f t="shared" si="3"/>
        <v>119.55</v>
      </c>
      <c r="G15" s="793" t="s">
        <v>677</v>
      </c>
      <c r="H15" s="210">
        <v>90</v>
      </c>
      <c r="I15" s="748">
        <f t="shared" si="2"/>
        <v>369.94000000000011</v>
      </c>
    </row>
    <row r="16" spans="1:9" x14ac:dyDescent="0.25">
      <c r="B16" s="82">
        <f t="shared" si="1"/>
        <v>23</v>
      </c>
      <c r="C16" s="831">
        <v>8</v>
      </c>
      <c r="D16" s="791">
        <v>99</v>
      </c>
      <c r="E16" s="792">
        <v>45189</v>
      </c>
      <c r="F16" s="791">
        <f t="shared" si="3"/>
        <v>99</v>
      </c>
      <c r="G16" s="793" t="s">
        <v>690</v>
      </c>
      <c r="H16" s="210">
        <v>90</v>
      </c>
      <c r="I16" s="748">
        <f t="shared" si="2"/>
        <v>270.94000000000011</v>
      </c>
    </row>
    <row r="17" spans="1:9" x14ac:dyDescent="0.25">
      <c r="B17" s="82">
        <f t="shared" si="1"/>
        <v>18</v>
      </c>
      <c r="C17" s="831">
        <v>5</v>
      </c>
      <c r="D17" s="791">
        <v>59.33</v>
      </c>
      <c r="E17" s="792">
        <v>45195</v>
      </c>
      <c r="F17" s="791">
        <f t="shared" si="3"/>
        <v>59.33</v>
      </c>
      <c r="G17" s="793" t="s">
        <v>724</v>
      </c>
      <c r="H17" s="210">
        <v>90</v>
      </c>
      <c r="I17" s="748">
        <f t="shared" si="2"/>
        <v>211.61000000000013</v>
      </c>
    </row>
    <row r="18" spans="1:9" x14ac:dyDescent="0.25">
      <c r="A18" s="118"/>
      <c r="B18" s="82">
        <f t="shared" si="1"/>
        <v>8</v>
      </c>
      <c r="C18" s="831">
        <v>10</v>
      </c>
      <c r="D18" s="791">
        <v>118.95</v>
      </c>
      <c r="E18" s="792">
        <v>45196</v>
      </c>
      <c r="F18" s="791">
        <f t="shared" si="3"/>
        <v>118.95</v>
      </c>
      <c r="G18" s="793" t="s">
        <v>738</v>
      </c>
      <c r="H18" s="210">
        <v>90</v>
      </c>
      <c r="I18" s="748">
        <f t="shared" si="2"/>
        <v>92.660000000000124</v>
      </c>
    </row>
    <row r="19" spans="1:9" x14ac:dyDescent="0.25">
      <c r="A19" s="118"/>
      <c r="B19" s="82">
        <f t="shared" si="1"/>
        <v>7</v>
      </c>
      <c r="C19" s="831">
        <v>1</v>
      </c>
      <c r="D19" s="791">
        <v>11.67</v>
      </c>
      <c r="E19" s="792">
        <v>45201</v>
      </c>
      <c r="F19" s="791">
        <f t="shared" si="3"/>
        <v>11.67</v>
      </c>
      <c r="G19" s="793" t="s">
        <v>782</v>
      </c>
      <c r="H19" s="210">
        <v>90</v>
      </c>
      <c r="I19" s="748">
        <f t="shared" si="2"/>
        <v>80.990000000000123</v>
      </c>
    </row>
    <row r="20" spans="1:9" x14ac:dyDescent="0.25">
      <c r="A20" s="118"/>
      <c r="B20" s="82">
        <f t="shared" si="1"/>
        <v>0</v>
      </c>
      <c r="C20" s="831">
        <v>7</v>
      </c>
      <c r="D20" s="791">
        <v>80.989999999999995</v>
      </c>
      <c r="E20" s="792">
        <v>45201</v>
      </c>
      <c r="F20" s="791">
        <f t="shared" si="3"/>
        <v>80.989999999999995</v>
      </c>
      <c r="G20" s="793" t="s">
        <v>784</v>
      </c>
      <c r="H20" s="210">
        <v>90</v>
      </c>
      <c r="I20" s="748">
        <f t="shared" si="2"/>
        <v>1.2789769243681803E-13</v>
      </c>
    </row>
    <row r="21" spans="1:9" x14ac:dyDescent="0.25">
      <c r="A21" s="118"/>
      <c r="B21" s="82">
        <f t="shared" si="1"/>
        <v>0</v>
      </c>
      <c r="C21" s="831"/>
      <c r="D21" s="791"/>
      <c r="E21" s="792"/>
      <c r="F21" s="791">
        <f t="shared" si="3"/>
        <v>0</v>
      </c>
      <c r="G21" s="793"/>
      <c r="H21" s="210"/>
      <c r="I21" s="102">
        <f t="shared" si="2"/>
        <v>1.2789769243681803E-13</v>
      </c>
    </row>
    <row r="22" spans="1:9" x14ac:dyDescent="0.25">
      <c r="A22" s="118"/>
      <c r="B22" s="219">
        <f t="shared" si="1"/>
        <v>0</v>
      </c>
      <c r="C22" s="831"/>
      <c r="D22" s="791"/>
      <c r="E22" s="792"/>
      <c r="F22" s="791">
        <f t="shared" si="3"/>
        <v>0</v>
      </c>
      <c r="G22" s="793"/>
      <c r="H22" s="210"/>
      <c r="I22" s="102">
        <f t="shared" si="2"/>
        <v>1.2789769243681803E-13</v>
      </c>
    </row>
    <row r="23" spans="1:9" x14ac:dyDescent="0.25">
      <c r="A23" s="119"/>
      <c r="B23" s="219">
        <f t="shared" si="1"/>
        <v>0</v>
      </c>
      <c r="C23" s="831"/>
      <c r="D23" s="791"/>
      <c r="E23" s="792"/>
      <c r="F23" s="1338">
        <f t="shared" si="3"/>
        <v>0</v>
      </c>
      <c r="G23" s="1339"/>
      <c r="H23" s="1340"/>
      <c r="I23" s="1262">
        <f t="shared" si="2"/>
        <v>1.2789769243681803E-13</v>
      </c>
    </row>
    <row r="24" spans="1:9" x14ac:dyDescent="0.25">
      <c r="A24" s="118"/>
      <c r="B24" s="219">
        <f t="shared" si="1"/>
        <v>0</v>
      </c>
      <c r="C24" s="831"/>
      <c r="D24" s="791"/>
      <c r="E24" s="792"/>
      <c r="F24" s="1338">
        <f t="shared" si="3"/>
        <v>0</v>
      </c>
      <c r="G24" s="1339"/>
      <c r="H24" s="1340"/>
      <c r="I24" s="1262">
        <f t="shared" si="2"/>
        <v>1.2789769243681803E-13</v>
      </c>
    </row>
    <row r="25" spans="1:9" x14ac:dyDescent="0.25">
      <c r="A25" s="118"/>
      <c r="B25" s="219">
        <f t="shared" si="1"/>
        <v>0</v>
      </c>
      <c r="C25" s="831"/>
      <c r="D25" s="791"/>
      <c r="E25" s="792"/>
      <c r="F25" s="1338">
        <f t="shared" si="3"/>
        <v>0</v>
      </c>
      <c r="G25" s="1339"/>
      <c r="H25" s="1340"/>
      <c r="I25" s="1262">
        <f t="shared" si="2"/>
        <v>1.2789769243681803E-13</v>
      </c>
    </row>
    <row r="26" spans="1:9" x14ac:dyDescent="0.25">
      <c r="A26" s="118"/>
      <c r="B26" s="174">
        <f t="shared" si="1"/>
        <v>0</v>
      </c>
      <c r="C26" s="831"/>
      <c r="D26" s="791"/>
      <c r="E26" s="792"/>
      <c r="F26" s="1338">
        <f t="shared" si="3"/>
        <v>0</v>
      </c>
      <c r="G26" s="1339"/>
      <c r="H26" s="1340"/>
      <c r="I26" s="1262">
        <f t="shared" si="2"/>
        <v>1.2789769243681803E-13</v>
      </c>
    </row>
    <row r="27" spans="1:9" x14ac:dyDescent="0.25">
      <c r="A27" s="118"/>
      <c r="B27" s="219">
        <f t="shared" si="1"/>
        <v>0</v>
      </c>
      <c r="C27" s="831"/>
      <c r="D27" s="791"/>
      <c r="E27" s="792"/>
      <c r="F27" s="791">
        <f t="shared" si="3"/>
        <v>0</v>
      </c>
      <c r="G27" s="793"/>
      <c r="H27" s="210"/>
      <c r="I27" s="102">
        <f t="shared" si="2"/>
        <v>1.2789769243681803E-13</v>
      </c>
    </row>
    <row r="28" spans="1:9" x14ac:dyDescent="0.25">
      <c r="A28" s="118"/>
      <c r="B28" s="174">
        <f t="shared" si="1"/>
        <v>0</v>
      </c>
      <c r="C28" s="831"/>
      <c r="D28" s="791"/>
      <c r="E28" s="792"/>
      <c r="F28" s="791">
        <f t="shared" si="3"/>
        <v>0</v>
      </c>
      <c r="G28" s="793"/>
      <c r="H28" s="210"/>
      <c r="I28" s="102">
        <f t="shared" si="2"/>
        <v>1.2789769243681803E-13</v>
      </c>
    </row>
    <row r="29" spans="1:9" x14ac:dyDescent="0.25">
      <c r="A29" s="118"/>
      <c r="B29" s="219">
        <f t="shared" si="1"/>
        <v>0</v>
      </c>
      <c r="C29" s="831"/>
      <c r="D29" s="791"/>
      <c r="E29" s="792"/>
      <c r="F29" s="791">
        <f t="shared" si="3"/>
        <v>0</v>
      </c>
      <c r="G29" s="793"/>
      <c r="H29" s="210"/>
      <c r="I29" s="102">
        <f t="shared" si="2"/>
        <v>1.2789769243681803E-13</v>
      </c>
    </row>
    <row r="30" spans="1:9" x14ac:dyDescent="0.25">
      <c r="A30" s="118"/>
      <c r="B30" s="219">
        <f t="shared" si="1"/>
        <v>0</v>
      </c>
      <c r="C30" s="831"/>
      <c r="D30" s="791"/>
      <c r="E30" s="792"/>
      <c r="F30" s="791">
        <f t="shared" si="3"/>
        <v>0</v>
      </c>
      <c r="G30" s="793"/>
      <c r="H30" s="210"/>
      <c r="I30" s="102">
        <f t="shared" si="2"/>
        <v>1.2789769243681803E-13</v>
      </c>
    </row>
    <row r="31" spans="1:9" x14ac:dyDescent="0.25">
      <c r="A31" s="118"/>
      <c r="B31" s="219">
        <f t="shared" si="1"/>
        <v>0</v>
      </c>
      <c r="C31" s="831"/>
      <c r="D31" s="791"/>
      <c r="E31" s="792"/>
      <c r="F31" s="791">
        <f t="shared" si="3"/>
        <v>0</v>
      </c>
      <c r="G31" s="793"/>
      <c r="H31" s="210"/>
      <c r="I31" s="102">
        <f t="shared" si="2"/>
        <v>1.2789769243681803E-13</v>
      </c>
    </row>
    <row r="32" spans="1:9" x14ac:dyDescent="0.25">
      <c r="A32" s="118"/>
      <c r="B32" s="219">
        <f t="shared" si="1"/>
        <v>0</v>
      </c>
      <c r="C32" s="831"/>
      <c r="D32" s="791"/>
      <c r="E32" s="792"/>
      <c r="F32" s="791">
        <f t="shared" si="3"/>
        <v>0</v>
      </c>
      <c r="G32" s="793"/>
      <c r="H32" s="210"/>
      <c r="I32" s="102">
        <f t="shared" si="2"/>
        <v>1.2789769243681803E-13</v>
      </c>
    </row>
    <row r="33" spans="1:9" x14ac:dyDescent="0.25">
      <c r="A33" s="118"/>
      <c r="B33" s="219">
        <f t="shared" si="1"/>
        <v>0</v>
      </c>
      <c r="C33" s="831"/>
      <c r="D33" s="791"/>
      <c r="E33" s="792"/>
      <c r="F33" s="791">
        <f t="shared" si="3"/>
        <v>0</v>
      </c>
      <c r="G33" s="793"/>
      <c r="H33" s="210"/>
      <c r="I33" s="102">
        <f t="shared" si="2"/>
        <v>1.2789769243681803E-13</v>
      </c>
    </row>
    <row r="34" spans="1:9" x14ac:dyDescent="0.25">
      <c r="A34" s="118"/>
      <c r="B34" s="219">
        <f t="shared" si="1"/>
        <v>0</v>
      </c>
      <c r="C34" s="831"/>
      <c r="D34" s="791"/>
      <c r="E34" s="792"/>
      <c r="F34" s="791">
        <f t="shared" si="3"/>
        <v>0</v>
      </c>
      <c r="G34" s="793"/>
      <c r="H34" s="210"/>
      <c r="I34" s="102">
        <f t="shared" si="2"/>
        <v>1.2789769243681803E-13</v>
      </c>
    </row>
    <row r="35" spans="1:9" x14ac:dyDescent="0.25">
      <c r="A35" s="118"/>
      <c r="B35" s="219">
        <f t="shared" si="1"/>
        <v>0</v>
      </c>
      <c r="C35" s="831"/>
      <c r="D35" s="791"/>
      <c r="E35" s="792"/>
      <c r="F35" s="791">
        <f t="shared" si="3"/>
        <v>0</v>
      </c>
      <c r="G35" s="793"/>
      <c r="H35" s="210"/>
      <c r="I35" s="102">
        <f t="shared" si="2"/>
        <v>1.2789769243681803E-13</v>
      </c>
    </row>
    <row r="36" spans="1:9" x14ac:dyDescent="0.25">
      <c r="A36" s="118" t="s">
        <v>22</v>
      </c>
      <c r="B36" s="219">
        <f t="shared" si="1"/>
        <v>0</v>
      </c>
      <c r="C36" s="831"/>
      <c r="D36" s="791"/>
      <c r="E36" s="792"/>
      <c r="F36" s="791">
        <f t="shared" si="3"/>
        <v>0</v>
      </c>
      <c r="G36" s="793"/>
      <c r="H36" s="210"/>
      <c r="I36" s="102">
        <f t="shared" si="2"/>
        <v>1.2789769243681803E-13</v>
      </c>
    </row>
    <row r="37" spans="1:9" x14ac:dyDescent="0.25">
      <c r="A37" s="119"/>
      <c r="B37" s="219">
        <f t="shared" si="1"/>
        <v>0</v>
      </c>
      <c r="C37" s="831"/>
      <c r="D37" s="791"/>
      <c r="E37" s="792"/>
      <c r="F37" s="791">
        <f t="shared" si="3"/>
        <v>0</v>
      </c>
      <c r="G37" s="793"/>
      <c r="H37" s="210"/>
      <c r="I37" s="102">
        <f t="shared" si="2"/>
        <v>1.2789769243681803E-13</v>
      </c>
    </row>
    <row r="38" spans="1:9" x14ac:dyDescent="0.25">
      <c r="A38" s="118"/>
      <c r="B38" s="219">
        <f t="shared" si="1"/>
        <v>0</v>
      </c>
      <c r="C38" s="831"/>
      <c r="D38" s="791"/>
      <c r="E38" s="792"/>
      <c r="F38" s="791">
        <f t="shared" si="3"/>
        <v>0</v>
      </c>
      <c r="G38" s="793"/>
      <c r="H38" s="210"/>
      <c r="I38" s="102">
        <f t="shared" si="2"/>
        <v>1.2789769243681803E-13</v>
      </c>
    </row>
    <row r="39" spans="1:9" x14ac:dyDescent="0.25">
      <c r="A39" s="118"/>
      <c r="B39" s="82">
        <f t="shared" si="1"/>
        <v>0</v>
      </c>
      <c r="C39" s="831"/>
      <c r="D39" s="791"/>
      <c r="E39" s="792"/>
      <c r="F39" s="791">
        <f t="shared" si="3"/>
        <v>0</v>
      </c>
      <c r="G39" s="793"/>
      <c r="H39" s="210"/>
      <c r="I39" s="102">
        <f t="shared" si="2"/>
        <v>1.2789769243681803E-13</v>
      </c>
    </row>
    <row r="40" spans="1:9" x14ac:dyDescent="0.25">
      <c r="A40" s="118"/>
      <c r="B40" s="82">
        <f t="shared" si="1"/>
        <v>0</v>
      </c>
      <c r="C40" s="831"/>
      <c r="D40" s="791"/>
      <c r="E40" s="792"/>
      <c r="F40" s="791">
        <f t="shared" si="3"/>
        <v>0</v>
      </c>
      <c r="G40" s="793"/>
      <c r="H40" s="210"/>
      <c r="I40" s="102">
        <f t="shared" si="2"/>
        <v>1.2789769243681803E-13</v>
      </c>
    </row>
    <row r="41" spans="1:9" x14ac:dyDescent="0.25">
      <c r="A41" s="118"/>
      <c r="B41" s="82">
        <f t="shared" si="1"/>
        <v>0</v>
      </c>
      <c r="C41" s="831"/>
      <c r="D41" s="791"/>
      <c r="E41" s="792"/>
      <c r="F41" s="791">
        <f t="shared" si="3"/>
        <v>0</v>
      </c>
      <c r="G41" s="793"/>
      <c r="H41" s="210"/>
      <c r="I41" s="102">
        <f t="shared" si="2"/>
        <v>1.2789769243681803E-13</v>
      </c>
    </row>
    <row r="42" spans="1:9" x14ac:dyDescent="0.25">
      <c r="A42" s="118"/>
      <c r="B42" s="82">
        <f t="shared" si="1"/>
        <v>0</v>
      </c>
      <c r="C42" s="831"/>
      <c r="D42" s="791"/>
      <c r="E42" s="792"/>
      <c r="F42" s="791">
        <f t="shared" si="3"/>
        <v>0</v>
      </c>
      <c r="G42" s="793"/>
      <c r="H42" s="210"/>
      <c r="I42" s="102">
        <f t="shared" si="2"/>
        <v>1.2789769243681803E-13</v>
      </c>
    </row>
    <row r="43" spans="1:9" x14ac:dyDescent="0.25">
      <c r="A43" s="118"/>
      <c r="B43" s="82">
        <f t="shared" si="1"/>
        <v>0</v>
      </c>
      <c r="C43" s="831"/>
      <c r="D43" s="791"/>
      <c r="E43" s="792"/>
      <c r="F43" s="791">
        <f t="shared" si="3"/>
        <v>0</v>
      </c>
      <c r="G43" s="793"/>
      <c r="H43" s="210"/>
      <c r="I43" s="102">
        <f t="shared" si="2"/>
        <v>1.2789769243681803E-13</v>
      </c>
    </row>
    <row r="44" spans="1:9" x14ac:dyDescent="0.25">
      <c r="A44" s="118"/>
      <c r="B44" s="82">
        <f t="shared" si="1"/>
        <v>0</v>
      </c>
      <c r="C44" s="831"/>
      <c r="D44" s="68"/>
      <c r="E44" s="191"/>
      <c r="F44" s="791">
        <f t="shared" si="3"/>
        <v>0</v>
      </c>
      <c r="G44" s="69"/>
      <c r="H44" s="70"/>
      <c r="I44" s="102">
        <f t="shared" si="2"/>
        <v>1.2789769243681803E-13</v>
      </c>
    </row>
    <row r="45" spans="1:9" ht="14.25" customHeight="1" x14ac:dyDescent="0.25">
      <c r="A45" s="118"/>
      <c r="B45" s="82">
        <f t="shared" si="1"/>
        <v>0</v>
      </c>
      <c r="C45" s="831"/>
      <c r="D45" s="68"/>
      <c r="E45" s="191"/>
      <c r="F45" s="791">
        <f t="shared" si="3"/>
        <v>0</v>
      </c>
      <c r="G45" s="69"/>
      <c r="H45" s="70"/>
      <c r="I45" s="102">
        <f t="shared" si="2"/>
        <v>1.2789769243681803E-13</v>
      </c>
    </row>
    <row r="46" spans="1:9" x14ac:dyDescent="0.25">
      <c r="A46" s="118"/>
      <c r="C46" s="831"/>
      <c r="D46" s="58"/>
      <c r="E46" s="198"/>
      <c r="F46" s="791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92</v>
      </c>
      <c r="D48" s="6">
        <f>SUM(D9:D47)</f>
        <v>1097.1999999999998</v>
      </c>
      <c r="F48" s="6">
        <f>SUM(F9:F47)</f>
        <v>1097.1999999999998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595" t="s">
        <v>11</v>
      </c>
      <c r="D53" s="1596"/>
      <c r="E53" s="56">
        <f>E5+E6-F48+E7</f>
        <v>0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COSTILLA    AGUJA    E V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2023-11-30T20:47:04Z</dcterms:modified>
</cp:coreProperties>
</file>